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R3630"/>
  <sheetViews>
    <sheetView workbookViewId="0">
      <selection activeCell="A1" sqref="A1"/>
    </sheetView>
  </sheetViews>
  <sheetFormatPr baseColWidth="8" defaultRowHeight="15"/>
  <sheetData>
    <row r="1">
      <c r="B1" s="1" t="inlineStr">
        <is>
          <t>ANO</t>
        </is>
      </c>
      <c r="C1" s="1" t="inlineStr">
        <is>
          <t>DATA_HORA</t>
        </is>
      </c>
      <c r="D1" s="1" t="inlineStr">
        <is>
          <t>PORTAL</t>
        </is>
      </c>
      <c r="E1" s="1" t="inlineStr">
        <is>
          <t>CATEGORIA</t>
        </is>
      </c>
      <c r="F1" s="1" t="inlineStr">
        <is>
          <t>SEÇÃO</t>
        </is>
      </c>
      <c r="G1" s="1" t="inlineStr">
        <is>
          <t>AUTORIA</t>
        </is>
      </c>
      <c r="H1" s="1" t="inlineStr">
        <is>
          <t>TÍTULO</t>
        </is>
      </c>
      <c r="I1" s="1" t="inlineStr">
        <is>
          <t>SUBTÍTULO</t>
        </is>
      </c>
      <c r="J1" s="1" t="inlineStr">
        <is>
          <t>TAGS</t>
        </is>
      </c>
      <c r="K1" s="1" t="inlineStr">
        <is>
          <t>Nº TAGS</t>
        </is>
      </c>
      <c r="L1" s="1" t="inlineStr">
        <is>
          <t>Nº IMG</t>
        </is>
      </c>
      <c r="M1" s="1" t="inlineStr">
        <is>
          <t>Nº VIDEO</t>
        </is>
      </c>
      <c r="N1" s="1" t="inlineStr">
        <is>
          <t>Nº AUDIO</t>
        </is>
      </c>
      <c r="O1" s="1" t="inlineStr">
        <is>
          <t>LINKS</t>
        </is>
      </c>
      <c r="P1" s="1" t="inlineStr">
        <is>
          <t>URL</t>
        </is>
      </c>
      <c r="Q1" s="1" t="inlineStr">
        <is>
          <t>HTML</t>
        </is>
      </c>
      <c r="R1" s="1" t="inlineStr">
        <is>
          <t>TXT</t>
        </is>
      </c>
    </row>
    <row r="2">
      <c r="A2" s="1" t="n">
        <v>0</v>
      </c>
      <c r="B2" t="n">
        <v>2022</v>
      </c>
      <c r="C2" s="2" t="n">
        <v>44795.81574074074</v>
      </c>
      <c r="D2" t="inlineStr">
        <is>
          <t>A CRITICA</t>
        </is>
      </c>
      <c r="E2" t="inlineStr">
        <is>
          <t>VENEZUELANOS</t>
        </is>
      </c>
      <c r="F2" t="inlineStr">
        <is>
          <t>POLICIA</t>
        </is>
      </c>
      <c r="G2" t="inlineStr">
        <is>
          <t>NATASHA PINTO</t>
        </is>
      </c>
      <c r="H2" t="inlineStr">
        <is>
          <t>ADOLESCENTE É MORTO A TIROS NA AV. JOAQUIM NABUCO, NO CENTRO DE MANAUS</t>
        </is>
      </c>
      <c r="I2" t="inlineStr">
        <is>
          <t>DOIS MOTOQUEIROS, QUE NÃO FORAM IDENTIFICADOS, EFETUARAM OS DISPAROS DE ARMA DE FOGO, FUGINDO EM SEGUIDA.</t>
        </is>
      </c>
      <c r="J2" t="inlineStr"/>
      <c r="K2" t="n">
        <v>0</v>
      </c>
      <c r="L2" t="n">
        <v>1</v>
      </c>
      <c r="M2" t="n">
        <v>0</v>
      </c>
      <c r="N2" t="n">
        <v>0</v>
      </c>
      <c r="O2" t="n">
        <v>0</v>
      </c>
      <c r="P2">
        <f>HYPERLINK("https://www.acritica.com/policia/adolescente-e-morto-a-tiros-na-av-joaquim-nabuco-no-centro-de-manaus-1.279381", "URL")</f>
        <v/>
      </c>
      <c r="Q2">
        <f>HYPERLINK("https://raw.githubusercontent.com/marcosmapl/dataset_imigrantes/main/materias_filtered/a_critica/venezuelanos/2022/07_ago/html/1.279381_233.html", "HTML")</f>
        <v/>
      </c>
      <c r="R2">
        <f>HYPERLINK("https://raw.githubusercontent.com/marcosmapl/dataset_imigrantes/main/materias_filtered/a_critica/venezuelanos/2022/07_ago/txt/1.279381_233.txt", "TXT")</f>
        <v/>
      </c>
    </row>
    <row r="3">
      <c r="A3" s="1" t="n">
        <v>1</v>
      </c>
      <c r="B3" t="n">
        <v>2022</v>
      </c>
      <c r="C3" s="2" t="n">
        <v>44795.73875503472</v>
      </c>
      <c r="D3" t="inlineStr">
        <is>
          <t>G1</t>
        </is>
      </c>
      <c r="E3" t="inlineStr">
        <is>
          <t>VENEZUELANOS</t>
        </is>
      </c>
      <c r="F3" t="inlineStr">
        <is>
          <t>AMAZONAS</t>
        </is>
      </c>
      <c r="G3" t="inlineStr">
        <is>
          <t>G1 AM</t>
        </is>
      </c>
      <c r="H3" t="inlineStr">
        <is>
          <t>COM MORTE DE VÍTIMA, VENEZUELANO  QUE ATEOU FOGO EM LOTÉRICA EM MANAUS AGORA VAI RESPONDER POR HOMICÍDIO QUALIFICADO</t>
        </is>
      </c>
      <c r="I3" t="inlineStr">
        <is>
          <t>CARLOS HENRIQUE DA SILVA PONTES, DE 50 ANOS, UMA DAS QUATRO VÍTIMAS DO INCÊNDIO, MORREU NO HOSPITAL.</t>
        </is>
      </c>
      <c r="J3" t="inlineStr"/>
      <c r="K3" t="n">
        <v>0</v>
      </c>
      <c r="L3" t="n">
        <v>1</v>
      </c>
      <c r="M3" t="n">
        <v>0</v>
      </c>
      <c r="N3" t="n">
        <v>0</v>
      </c>
      <c r="O3" t="n">
        <v>5</v>
      </c>
      <c r="P3">
        <f>HYPERLINK("https://g1.globo.com/am/amazonas/noticia/2022/08/22/com-morte-de-vitima-venezuelano-que-ateou-fogo-em-loterica-em-manaus-agora-vai-responder-por-homicidio-qualificado.ghtml", "URL")</f>
        <v/>
      </c>
      <c r="Q3">
        <f>HYPERLINK("https://raw.githubusercontent.com/marcosmapl/dataset_imigrantes/main/materias_filtered/g1/venezuelanos/2022/07_ago/html/g1_0a011c64-232b-11ed-b24f-6dbe51e79fca_4217.html", "HTML")</f>
        <v/>
      </c>
      <c r="R3">
        <f>HYPERLINK("https://raw.githubusercontent.com/marcosmapl/dataset_imigrantes/main/materias_filtered/g1/venezuelanos/2022/07_ago/txt/g1_0a011c64-232b-11ed-b24f-6dbe51e79fca_4217.txt", "TXT")</f>
        <v/>
      </c>
    </row>
    <row r="4">
      <c r="A4" s="1" t="n">
        <v>2</v>
      </c>
      <c r="B4" t="n">
        <v>2022</v>
      </c>
      <c r="C4" s="2" t="n">
        <v>44795.45685185185</v>
      </c>
      <c r="D4" t="inlineStr">
        <is>
          <t>A CRITICA</t>
        </is>
      </c>
      <c r="E4" t="inlineStr">
        <is>
          <t>VENEZUELANOS</t>
        </is>
      </c>
      <c r="F4" t="inlineStr"/>
      <c r="G4" t="inlineStr">
        <is>
          <t>JOANA QUEIROZ</t>
        </is>
      </c>
      <c r="H4" t="inlineStr">
        <is>
          <t>APÓS MORTE DE VÍTIMA, HOMEM QUE ATEOU NO ADOLPHO LISBOA PASSA A SER INVESTIGADO POR HOMICÍDIO</t>
        </is>
      </c>
      <c r="I4" t="inlineStr">
        <is>
          <t>OUTRAS TRÊS VÍTIMAS CONTINUAM INTERNADAS NO HPS 28 DE AGOSTO</t>
        </is>
      </c>
      <c r="J4" t="inlineStr"/>
      <c r="K4" t="n">
        <v>0</v>
      </c>
      <c r="L4" t="n">
        <v>1</v>
      </c>
      <c r="M4" t="n">
        <v>0</v>
      </c>
      <c r="N4" t="n">
        <v>0</v>
      </c>
      <c r="O4" t="n">
        <v>0</v>
      </c>
      <c r="P4">
        <f>HYPERLINK("https://www.acritica.com/apos-morte-de-vitima-homem-que-ateou-no-adolpho-lisboa-passa-a-ser-investigado-por-homicidio-1.279332", "URL")</f>
        <v/>
      </c>
      <c r="Q4">
        <f>HYPERLINK("https://raw.githubusercontent.com/marcosmapl/dataset_imigrantes/main/materias_filtered/a_critica/venezuelanos/2022/07_ago/html/1.279332_621.html", "HTML")</f>
        <v/>
      </c>
      <c r="R4">
        <f>HYPERLINK("https://raw.githubusercontent.com/marcosmapl/dataset_imigrantes/main/materias_filtered/a_critica/venezuelanos/2022/07_ago/txt/1.279332_621.txt", "TXT")</f>
        <v/>
      </c>
    </row>
    <row r="5">
      <c r="A5" s="1" t="n">
        <v>3</v>
      </c>
      <c r="B5" t="n">
        <v>2022</v>
      </c>
      <c r="C5" s="2" t="n">
        <v>44794.93918092593</v>
      </c>
      <c r="D5" t="inlineStr">
        <is>
          <t>G1</t>
        </is>
      </c>
      <c r="E5" t="inlineStr">
        <is>
          <t>HAITIANOS</t>
        </is>
      </c>
      <c r="F5" t="inlineStr">
        <is>
          <t>OLHA QUE LEGAL</t>
        </is>
      </c>
      <c r="G5" t="inlineStr">
        <is>
          <t>G1</t>
        </is>
      </c>
      <c r="H5" t="inlineStr">
        <is>
          <t>HAITIANO ARRECADA DINHEIRO PARA ADOTAR CRIANÇA QUE ACHOU COBERTA POR FORMIGAS NO LIXO</t>
        </is>
      </c>
      <c r="I5" t="inlineStr">
        <is>
          <t>ESTUDANTE, QUE VIVE NOS EUA, ONDE TRABALHA E ESTUDA, ENCONTROU O BEBÊ QUANDO ESTAVA A CAMINHO DE UMA FESTA DE RÉVEILLON.</t>
        </is>
      </c>
      <c r="J5" t="inlineStr"/>
      <c r="K5" t="n">
        <v>0</v>
      </c>
      <c r="L5" t="n">
        <v>1</v>
      </c>
      <c r="M5" t="n">
        <v>0</v>
      </c>
      <c r="N5" t="n">
        <v>0</v>
      </c>
      <c r="O5" t="n">
        <v>2</v>
      </c>
      <c r="P5">
        <f>HYPERLINK("https://g1.globo.com/olha-que-legal/noticia/2022/08/21/haitiano-arrecada-dinheiro-para-adotar-crianca-que-achou-coberta-por-formigas-no-lixo.ghtml", "URL")</f>
        <v/>
      </c>
      <c r="Q5">
        <f>HYPERLINK("https://raw.githubusercontent.com/marcosmapl/dataset_imigrantes/main/materias_filtered/g1/haitianos/2022/07_ago/html/g1_9b3902da-22f1-11ed-b24f-6dbe51e79fca_1757.html", "HTML")</f>
        <v/>
      </c>
      <c r="R5">
        <f>HYPERLINK("https://raw.githubusercontent.com/marcosmapl/dataset_imigrantes/main/materias_filtered/g1/haitianos/2022/07_ago/txt/g1_9b3902da-22f1-11ed-b24f-6dbe51e79fca_1757.txt", "TXT")</f>
        <v/>
      </c>
    </row>
    <row r="6">
      <c r="A6" s="1" t="n">
        <v>4</v>
      </c>
      <c r="B6" t="n">
        <v>2022</v>
      </c>
      <c r="C6" s="2" t="n">
        <v>44794.46302572916</v>
      </c>
      <c r="D6" t="inlineStr">
        <is>
          <t>G1</t>
        </is>
      </c>
      <c r="E6" t="inlineStr">
        <is>
          <t>VENEZUELANOS</t>
        </is>
      </c>
      <c r="F6" t="inlineStr">
        <is>
          <t>SANTA CATARINA</t>
        </is>
      </c>
      <c r="G6" t="inlineStr">
        <is>
          <t>SOFIA MAYER, G1 SC</t>
        </is>
      </c>
      <c r="H6" t="inlineStr">
        <is>
          <t>VENEZUELANO EM SITUAÇÃO DE RUA PASSA EM VESTIBULAR DA UFSC: 'NOVO CAPÍTULO'</t>
        </is>
      </c>
      <c r="I6" t="inlineStr">
        <is>
          <t>ELE BUSCOU EM JUNHO DESTE ANO A PASSARELA DA CIDADANIA, ABRIGO EM FLORIANÓPOLIS, E MANTINHA A ROTINA DE ESTUDOS.</t>
        </is>
      </c>
      <c r="J6" t="inlineStr"/>
      <c r="K6" t="n">
        <v>0</v>
      </c>
      <c r="L6" t="n">
        <v>2</v>
      </c>
      <c r="M6" t="n">
        <v>1</v>
      </c>
      <c r="N6" t="n">
        <v>0</v>
      </c>
      <c r="O6" t="n">
        <v>8</v>
      </c>
      <c r="P6">
        <f>HYPERLINK("https://g1.globo.com/sc/santa-catarina/noticia/2022/08/21/venezuelano-em-situacao-de-rua-passa-em-vestibular-da-ufsc-novo-capitulo.ghtml", "URL")</f>
        <v/>
      </c>
      <c r="Q6">
        <f>HYPERLINK("https://raw.githubusercontent.com/marcosmapl/dataset_imigrantes/main/materias_filtered/g1/venezuelanos/2022/07_ago/html/g1_2001ba74-230c-11ed-b24f-6dbe51e79fca_2606.html", "HTML")</f>
        <v/>
      </c>
      <c r="R6">
        <f>HYPERLINK("https://raw.githubusercontent.com/marcosmapl/dataset_imigrantes/main/materias_filtered/g1/venezuelanos/2022/07_ago/txt/g1_2001ba74-230c-11ed-b24f-6dbe51e79fca_2606.txt", "TXT")</f>
        <v/>
      </c>
    </row>
    <row r="7">
      <c r="A7" s="1" t="n">
        <v>5</v>
      </c>
      <c r="B7" t="n">
        <v>2022</v>
      </c>
      <c r="C7" s="2" t="n">
        <v>44792.6697337963</v>
      </c>
      <c r="D7" t="inlineStr">
        <is>
          <t>A CRITICA</t>
        </is>
      </c>
      <c r="E7" t="inlineStr">
        <is>
          <t>VENEZUELANOS</t>
        </is>
      </c>
      <c r="F7" t="inlineStr">
        <is>
          <t>POLICIA</t>
        </is>
      </c>
      <c r="G7" t="inlineStr">
        <is>
          <t>JOANA QUEIROZ</t>
        </is>
      </c>
      <c r="H7" t="inlineStr">
        <is>
          <t>PESSOAS QUE AGREDIRAM INCENDIÁRIO DE LOTÉRICA TAMBÉM SERÃO INVESTIGADAS, DIZ POLÍCIA</t>
        </is>
      </c>
      <c r="I7" t="inlineStr">
        <is>
          <t>O DELEGADO TITULAR DO CASO INFORMOU QUE VAI INSTAURAR INQUÉRITO PARA INVESTIGAR A TENTATIVA DE LINCHAMENTO CONTRA O VENEZUELANO LUÍS DOMINGO SISO. IMAGENS DAS CÂMERAS DE SEGURANÇA DEVEM AJUDAR NA INVESTIGAÇÃO</t>
        </is>
      </c>
      <c r="J7" t="inlineStr"/>
      <c r="K7" t="n">
        <v>0</v>
      </c>
      <c r="L7" t="n">
        <v>1</v>
      </c>
      <c r="M7" t="n">
        <v>0</v>
      </c>
      <c r="N7" t="n">
        <v>0</v>
      </c>
      <c r="O7" t="n">
        <v>3</v>
      </c>
      <c r="P7">
        <f>HYPERLINK("https://www.acritica.com/policia/pessoas-que-agrediram-incendiario-de-loterica-tambem-ser-o-investigadas-diz-policia-1.279156", "URL")</f>
        <v/>
      </c>
      <c r="Q7">
        <f>HYPERLINK("https://raw.githubusercontent.com/marcosmapl/dataset_imigrantes/main/materias_filtered/a_critica/venezuelanos/2022/07_ago/html/1.279156_1164.html", "HTML")</f>
        <v/>
      </c>
      <c r="R7">
        <f>HYPERLINK("https://raw.githubusercontent.com/marcosmapl/dataset_imigrantes/main/materias_filtered/a_critica/venezuelanos/2022/07_ago/txt/1.279156_1164.txt", "TXT")</f>
        <v/>
      </c>
    </row>
    <row r="8">
      <c r="A8" s="1" t="n">
        <v>6</v>
      </c>
      <c r="B8" t="n">
        <v>2022</v>
      </c>
      <c r="C8" s="2" t="n">
        <v>44792.58624412037</v>
      </c>
      <c r="D8" t="inlineStr">
        <is>
          <t>G1</t>
        </is>
      </c>
      <c r="E8" t="inlineStr">
        <is>
          <t>VENEZUELANOS</t>
        </is>
      </c>
      <c r="F8" t="inlineStr">
        <is>
          <t>TRIÂNGULO E ALTO PARANAÍBA</t>
        </is>
      </c>
      <c r="G8" t="inlineStr">
        <is>
          <t>G1 TRIÂNGULO E ALTO PARANAÍBA — UBERABA</t>
        </is>
      </c>
      <c r="H8" t="inlineStr">
        <is>
          <t>AUMENTA O NÚMERO DE PESSOAS EM SITUAÇÃO DE RUA EM UBERABA; CONFIRA DETALHES DO CENSO 2022</t>
        </is>
      </c>
      <c r="I8" t="inlineStr">
        <is>
          <t>LEVANTAMENTO FOI REALIZADO DURANTE CERCA DE 40 DIAS NA CIDADE E APONTA 41,58% DE AUMENTO EM RELAÇÃO AO ANO PASSADO. DOIS IMIGRANTES VENEZUELANOS ESTÃO ENTRE OS ENTREVISTADOS.</t>
        </is>
      </c>
      <c r="J8" t="inlineStr"/>
      <c r="K8" t="n">
        <v>0</v>
      </c>
      <c r="L8" t="n">
        <v>1</v>
      </c>
      <c r="M8" t="n">
        <v>0</v>
      </c>
      <c r="N8" t="n">
        <v>0</v>
      </c>
      <c r="O8" t="n">
        <v>3</v>
      </c>
      <c r="P8">
        <f>HYPERLINK("https://g1.globo.com/mg/triangulo-mineiro/noticia/2022/08/19/aumenta-o-numero-de-pessoas-em-situacao-de-rua-em-uberaba-confira-detalhes-do-censo-2022.ghtml", "URL")</f>
        <v/>
      </c>
      <c r="Q8">
        <f>HYPERLINK("https://raw.githubusercontent.com/marcosmapl/dataset_imigrantes/main/materias_filtered/g1/venezuelanos/2022/07_ago/html/g1_2e32b9b8-231b-11ed-b24f-6dbe51e79fca_3372.html", "HTML")</f>
        <v/>
      </c>
      <c r="R8">
        <f>HYPERLINK("https://raw.githubusercontent.com/marcosmapl/dataset_imigrantes/main/materias_filtered/g1/venezuelanos/2022/07_ago/txt/g1_2e32b9b8-231b-11ed-b24f-6dbe51e79fca_3372.txt", "TXT")</f>
        <v/>
      </c>
    </row>
    <row r="9">
      <c r="A9" s="1" t="n">
        <v>7</v>
      </c>
      <c r="B9" t="n">
        <v>2022</v>
      </c>
      <c r="C9" s="2" t="n">
        <v>44792.56364952547</v>
      </c>
      <c r="D9" t="inlineStr">
        <is>
          <t>G1</t>
        </is>
      </c>
      <c r="E9" t="inlineStr">
        <is>
          <t>VENEZUELANOS</t>
        </is>
      </c>
      <c r="F9" t="inlineStr">
        <is>
          <t>RORAIMA</t>
        </is>
      </c>
      <c r="G9" t="inlineStr">
        <is>
          <t>G1 RR — BOA VISTA</t>
        </is>
      </c>
      <c r="H9" t="inlineStr">
        <is>
          <t>MIGRANTE VENEZUELANA USA EXPERIÊNCIA COMO PROFESSORA PARA AJUDAR CRIANÇAS E ADOLESCENTES REFUGIADOS EM RORAIMA</t>
        </is>
      </c>
      <c r="I9" t="inlineStr">
        <is>
          <t>LUSMARA LÓPEZ DEDICOU 21 ANOS DE SUA VIDA À SALA DE AULA E, ATUALMENTE, USA O CONHECIMENTO QUE TEM NO TRABALHO HUMANITÁRIO. NESTA SEXTA-FEIRA (19), DIA MUNDIAL HUMANITÁRIO, LUSMARA CONTA COMO OUVIR CRIANÇAS E ADOLESCENTES MIGRANTES E REFUGIADOS TRANSFORMOU SUA VIDA.</t>
        </is>
      </c>
      <c r="J9" t="inlineStr"/>
      <c r="K9" t="n">
        <v>0</v>
      </c>
      <c r="L9" t="n">
        <v>2</v>
      </c>
      <c r="M9" t="n">
        <v>0</v>
      </c>
      <c r="N9" t="n">
        <v>0</v>
      </c>
      <c r="O9" t="n">
        <v>2</v>
      </c>
      <c r="P9">
        <f>HYPERLINK("https://g1.globo.com/rr/roraima/noticia/2022/08/19/migrante-venezuelana-usa-experiencia-como-professora-para-ajudar-criancas-e-adolescentes-refugiados-em-roraima.ghtml", "URL")</f>
        <v/>
      </c>
      <c r="Q9">
        <f>HYPERLINK("https://raw.githubusercontent.com/marcosmapl/dataset_imigrantes/main/materias_filtered/g1/venezuelanos/2022/07_ago/html/g1_23f25c22-230e-11ed-b24f-6dbe51e79fca_2724.html", "HTML")</f>
        <v/>
      </c>
      <c r="R9">
        <f>HYPERLINK("https://raw.githubusercontent.com/marcosmapl/dataset_imigrantes/main/materias_filtered/g1/venezuelanos/2022/07_ago/txt/g1_23f25c22-230e-11ed-b24f-6dbe51e79fca_2724.txt", "TXT")</f>
        <v/>
      </c>
    </row>
    <row r="10">
      <c r="A10" s="1" t="n">
        <v>8</v>
      </c>
      <c r="B10" t="n">
        <v>2022</v>
      </c>
      <c r="C10" s="2" t="n">
        <v>44791.88408831019</v>
      </c>
      <c r="D10" t="inlineStr">
        <is>
          <t>G1</t>
        </is>
      </c>
      <c r="E10" t="inlineStr">
        <is>
          <t>VENEZUELANOS</t>
        </is>
      </c>
      <c r="F10" t="inlineStr">
        <is>
          <t>ACRE</t>
        </is>
      </c>
      <c r="G10" t="inlineStr">
        <is>
          <t>G1 AC — RIO BRANCO</t>
        </is>
      </c>
      <c r="H10" t="inlineStr">
        <is>
          <t>COM 4 CASOS SUSPEITOS DE VARÍOLA DOS MACACOS EM CRIANÇAS, PROFISSIONAIS DE HOSPITAL INFANTIL E MATERNIDADE RECEBEM TREINAMENTO</t>
        </is>
      </c>
      <c r="I10" t="inlineStr">
        <is>
          <t>CAPACITAÇÃO OCORREU NESTA QUINTA-FEIRA (18) NO INTO-AC, EM RIO BRANCO. SAÚDE ESTADUAL NOTIFICOU MAIS UM CASO SUSPEITO EM UM MENINO DE 4 ANOS.</t>
        </is>
      </c>
      <c r="J10" t="inlineStr"/>
      <c r="K10" t="n">
        <v>0</v>
      </c>
      <c r="L10" t="n">
        <v>1</v>
      </c>
      <c r="M10" t="n">
        <v>0</v>
      </c>
      <c r="N10" t="n">
        <v>0</v>
      </c>
      <c r="O10" t="n">
        <v>6</v>
      </c>
      <c r="P10">
        <f>HYPERLINK("https://g1.globo.com/ac/acre/noticia/2022/08/18/com-4-casos-suspeitos-de-variola-dos-macacos-em-criancas-profissionais-de-hospital-infantil-e-maternidade-recebem-treinamento.ghtml", "URL")</f>
        <v/>
      </c>
      <c r="Q10">
        <f>HYPERLINK("https://raw.githubusercontent.com/marcosmapl/dataset_imigrantes/main/materias_filtered/g1/venezuelanos/2022/07_ago/html/g1_272c9e42-2323-11ed-b24f-6dbe51e79fca_3790.html", "HTML")</f>
        <v/>
      </c>
      <c r="R10">
        <f>HYPERLINK("https://raw.githubusercontent.com/marcosmapl/dataset_imigrantes/main/materias_filtered/g1/venezuelanos/2022/07_ago/txt/g1_272c9e42-2323-11ed-b24f-6dbe51e79fca_3790.txt", "TXT")</f>
        <v/>
      </c>
    </row>
    <row r="11">
      <c r="A11" s="1" t="n">
        <v>9</v>
      </c>
      <c r="B11" t="n">
        <v>2022</v>
      </c>
      <c r="C11" s="2" t="n">
        <v>44791.8728387037</v>
      </c>
      <c r="D11" t="inlineStr">
        <is>
          <t>G1</t>
        </is>
      </c>
      <c r="E11" t="inlineStr">
        <is>
          <t>VENEZUELANOS</t>
        </is>
      </c>
      <c r="F11" t="inlineStr">
        <is>
          <t>ESPÍRITO SANTO</t>
        </is>
      </c>
      <c r="G11" t="inlineStr">
        <is>
          <t>DIONY SILVA, TV GAZETA</t>
        </is>
      </c>
      <c r="H11" t="inlineStr">
        <is>
          <t>VENEZUELANOS DEIXADOS EM VITÓRIA SAEM DE ABRIGO E SÃO LEVADOS PARA CASA</t>
        </is>
      </c>
      <c r="I11" t="inlineStr">
        <is>
          <t>GRUPO DE 25 INDÍGENAS FORAM DEIXADOS NA CAPITAL DO ESPÍRITO SANTO POR ÔNIBUS DA PREFEITURA DO MUNICÍPIO BAIANO DE TEIXEIRA DE FREITAS.</t>
        </is>
      </c>
      <c r="J11" t="inlineStr"/>
      <c r="K11" t="n">
        <v>0</v>
      </c>
      <c r="L11" t="n">
        <v>2</v>
      </c>
      <c r="M11" t="n">
        <v>1</v>
      </c>
      <c r="N11" t="n">
        <v>0</v>
      </c>
      <c r="O11" t="n">
        <v>6</v>
      </c>
      <c r="P11">
        <f>HYPERLINK("https://g1.globo.com/es/espirito-santo/noticia/2022/08/18/venezuelanos-deixados-em-vitoria-saem-de-abrigo-e-sao-levados-para-casa.ghtml", "URL")</f>
        <v/>
      </c>
      <c r="Q11">
        <f>HYPERLINK("https://raw.githubusercontent.com/marcosmapl/dataset_imigrantes/main/materias_filtered/g1/venezuelanos/2022/07_ago/html/g1_1d5b860c-2310-11ed-b24f-6dbe51e79fca_2841.html", "HTML")</f>
        <v/>
      </c>
      <c r="R11">
        <f>HYPERLINK("https://raw.githubusercontent.com/marcosmapl/dataset_imigrantes/main/materias_filtered/g1/venezuelanos/2022/07_ago/txt/g1_1d5b860c-2310-11ed-b24f-6dbe51e79fca_2841.txt", "TXT")</f>
        <v/>
      </c>
    </row>
    <row r="12">
      <c r="A12" s="1" t="n">
        <v>10</v>
      </c>
      <c r="B12" t="n">
        <v>2022</v>
      </c>
      <c r="C12" s="2" t="n">
        <v>44791.86521296296</v>
      </c>
      <c r="D12" t="inlineStr">
        <is>
          <t>G1</t>
        </is>
      </c>
      <c r="E12" t="inlineStr">
        <is>
          <t>VENEZUELANOS</t>
        </is>
      </c>
      <c r="F12" t="inlineStr">
        <is>
          <t>AMAZONAS</t>
        </is>
      </c>
      <c r="G12" t="inlineStr">
        <is>
          <t>G1 AM</t>
        </is>
      </c>
      <c r="H12" t="inlineStr">
        <is>
          <t>JUSTIÇA DETERMINA PRISÃO PREVENTIVA DE HOMEM QUE ATEOU FOGO EM LOTÉRICA EM MANAUS</t>
        </is>
      </c>
      <c r="I12" t="inlineStr">
        <is>
          <t>MINISTÉRIO PÚBLICO PEDIU A CONVERSÃO DA PRISÃO EM FLAGRANTE PARA PREVENTIVA, DESTACANDO "A GRAVIDADE DO CRIME, AS CIRCUNSTÂNCIAS DO FATO, E A GRANDE REPERCUSSÃO DO EPISÓDIO NA CIDADE".</t>
        </is>
      </c>
      <c r="J12" t="inlineStr"/>
      <c r="K12" t="n">
        <v>0</v>
      </c>
      <c r="L12" t="n">
        <v>2</v>
      </c>
      <c r="M12" t="n">
        <v>1</v>
      </c>
      <c r="N12" t="n">
        <v>0</v>
      </c>
      <c r="O12" t="n">
        <v>5</v>
      </c>
      <c r="P12">
        <f>HYPERLINK("https://g1.globo.com/am/amazonas/noticia/2022/08/18/justica-determina-prisao-preventiva-de-homem-que-ateou-fogo-em-loterica-em-manaus.ghtml", "URL")</f>
        <v/>
      </c>
      <c r="Q12">
        <f>HYPERLINK("https://raw.githubusercontent.com/marcosmapl/dataset_imigrantes/main/materias_filtered/g1/venezuelanos/2022/07_ago/html/g1_314470f6-2325-11ed-b24f-6dbe51e79fca_3900.html", "HTML")</f>
        <v/>
      </c>
      <c r="R12">
        <f>HYPERLINK("https://raw.githubusercontent.com/marcosmapl/dataset_imigrantes/main/materias_filtered/g1/venezuelanos/2022/07_ago/txt/g1_314470f6-2325-11ed-b24f-6dbe51e79fca_3900.txt", "TXT")</f>
        <v/>
      </c>
    </row>
    <row r="13">
      <c r="A13" s="1" t="n">
        <v>11</v>
      </c>
      <c r="B13" t="n">
        <v>2022</v>
      </c>
      <c r="C13" s="2" t="n">
        <v>44791.59885868055</v>
      </c>
      <c r="D13" t="inlineStr">
        <is>
          <t>G1</t>
        </is>
      </c>
      <c r="E13" t="inlineStr">
        <is>
          <t>VENEZUELANOS</t>
        </is>
      </c>
      <c r="F13" t="inlineStr">
        <is>
          <t>AMAZONAS</t>
        </is>
      </c>
      <c r="G13" t="inlineStr">
        <is>
          <t>G1 AM</t>
        </is>
      </c>
      <c r="H13" t="inlineStr">
        <is>
          <t>BEBÊ DE 1 ANO FICA COM ESPETO DE CHURRASCO PRESO AO OMBRO, NO AMAZONAS</t>
        </is>
      </c>
      <c r="I13" t="inlineStr">
        <is>
          <t>A MÃE DA CRIANÇA NÃO SOUBE DIZER COMO O ACIDENTE ACONTECEU, POIS O BEBÊ JÁ TERIA SE APROXIMADO DELA COM O OBJETO NO OMBRO.</t>
        </is>
      </c>
      <c r="J13" t="inlineStr"/>
      <c r="K13" t="n">
        <v>0</v>
      </c>
      <c r="L13" t="n">
        <v>4</v>
      </c>
      <c r="M13" t="n">
        <v>0</v>
      </c>
      <c r="N13" t="n">
        <v>0</v>
      </c>
      <c r="O13" t="n">
        <v>1</v>
      </c>
      <c r="P13">
        <f>HYPERLINK("https://g1.globo.com/am/amazonas/noticia/2022/08/18/bebe-de-1-ano-fica-com-espeto-preso-ao-ombro-no-amazonas.ghtml", "URL")</f>
        <v/>
      </c>
      <c r="Q13">
        <f>HYPERLINK("https://raw.githubusercontent.com/marcosmapl/dataset_imigrantes/main/materias_filtered/g1/venezuelanos/2022/07_ago/html/g1_5a0df7c2-2312-11ed-b24f-6dbe51e79fca_2962.html", "HTML")</f>
        <v/>
      </c>
      <c r="R13">
        <f>HYPERLINK("https://raw.githubusercontent.com/marcosmapl/dataset_imigrantes/main/materias_filtered/g1/venezuelanos/2022/07_ago/txt/g1_5a0df7c2-2312-11ed-b24f-6dbe51e79fca_2962.txt", "TXT")</f>
        <v/>
      </c>
    </row>
    <row r="14">
      <c r="A14" s="1" t="n">
        <v>12</v>
      </c>
      <c r="B14" t="n">
        <v>2022</v>
      </c>
      <c r="C14" s="2" t="n">
        <v>44790.9650872338</v>
      </c>
      <c r="D14" t="inlineStr">
        <is>
          <t>G1</t>
        </is>
      </c>
      <c r="E14" t="inlineStr">
        <is>
          <t>VENEZUELANOS</t>
        </is>
      </c>
      <c r="F14" t="inlineStr">
        <is>
          <t>AMAZONAS</t>
        </is>
      </c>
      <c r="G14" t="inlineStr">
        <is>
          <t>G1 AM</t>
        </is>
      </c>
      <c r="H14" t="inlineStr">
        <is>
          <t>HOMEM QUE INCENDIOU LOTÉRICA NO CENTRO DE MANAUS VAI RESPONDER POR TRÊS CRIMES, DIZ PC</t>
        </is>
      </c>
      <c r="I14" t="inlineStr">
        <is>
          <t>QUATRO PESSOAS, ALÉM DO SUSPEITO, ESTÃO INTERNADAS EM ESTADO GRAVE.</t>
        </is>
      </c>
      <c r="J14" t="inlineStr"/>
      <c r="K14" t="n">
        <v>0</v>
      </c>
      <c r="L14" t="n">
        <v>2</v>
      </c>
      <c r="M14" t="n">
        <v>1</v>
      </c>
      <c r="N14" t="n">
        <v>0</v>
      </c>
      <c r="O14" t="n">
        <v>5</v>
      </c>
      <c r="P14">
        <f>HYPERLINK("https://g1.globo.com/am/amazonas/noticia/2022/08/17/homem-que-incendiou-loterica-no-centro-de-manaus-vai-responder-por-tres-crimes-diz-pc.ghtml", "URL")</f>
        <v/>
      </c>
      <c r="Q14">
        <f>HYPERLINK("https://raw.githubusercontent.com/marcosmapl/dataset_imigrantes/main/materias_filtered/g1/venezuelanos/2022/07_ago/html/g1_c225c786-2321-11ed-b24f-6dbe51e79fca_3716.html", "HTML")</f>
        <v/>
      </c>
      <c r="R14">
        <f>HYPERLINK("https://raw.githubusercontent.com/marcosmapl/dataset_imigrantes/main/materias_filtered/g1/venezuelanos/2022/07_ago/txt/g1_c225c786-2321-11ed-b24f-6dbe51e79fca_3716.txt", "TXT")</f>
        <v/>
      </c>
    </row>
    <row r="15">
      <c r="A15" s="1" t="n">
        <v>13</v>
      </c>
      <c r="B15" t="n">
        <v>2022</v>
      </c>
      <c r="C15" s="2" t="n">
        <v>44790.83478009259</v>
      </c>
      <c r="D15" t="inlineStr">
        <is>
          <t>A CRITICA</t>
        </is>
      </c>
      <c r="E15" t="inlineStr">
        <is>
          <t>VENEZUELANOS</t>
        </is>
      </c>
      <c r="F15" t="inlineStr">
        <is>
          <t>POLICIA</t>
        </is>
      </c>
      <c r="G15" t="inlineStr">
        <is>
          <t>MICHAEL DOUGLAS</t>
        </is>
      </c>
      <c r="H15" t="inlineStr">
        <is>
          <t>INCÊNDIO ADOLPHO LISBOA: VÍTIMAS E INCENDIÁRIO SEGUEM EM ESTADO GRAVE</t>
        </is>
      </c>
      <c r="I15" t="inlineStr">
        <is>
          <t>DOIS HOMENS E DUAS MULHERES, FUNCIONÁRIOS DA LOTÉRICA, SEGUEM RECEBENDO CUIDADOS NO CENTRO DE TRATAMENTO DE QUEIMADOS (CTQ) DO 28 DE AGOSTO. INCENDIÁRIO ESTÁ EM ESTADO GRAVE NO HOSPITAL JOÃO LÚCIO</t>
        </is>
      </c>
      <c r="J15" t="inlineStr">
        <is>
          <t>ADOLPHO LISBOA, ESTADO DE SAÚDE, INCÊNDIO, VÍTIMAS</t>
        </is>
      </c>
      <c r="K15" t="n">
        <v>4</v>
      </c>
      <c r="L15" t="n">
        <v>1</v>
      </c>
      <c r="M15" t="n">
        <v>0</v>
      </c>
      <c r="N15" t="n">
        <v>0</v>
      </c>
      <c r="O15" t="n">
        <v>5</v>
      </c>
      <c r="P15">
        <f>HYPERLINK("https://www.acritica.com/policia/incendio-adolpho-lisboa-vitimas-e-incendiario-seguem-em-estado-grave-1.278990", "URL")</f>
        <v/>
      </c>
      <c r="Q15">
        <f>HYPERLINK("https://raw.githubusercontent.com/marcosmapl/dataset_imigrantes/main/materias_filtered/a_critica/venezuelanos/2022/07_ago/html/1.278990_902.html", "HTML")</f>
        <v/>
      </c>
      <c r="R15">
        <f>HYPERLINK("https://raw.githubusercontent.com/marcosmapl/dataset_imigrantes/main/materias_filtered/a_critica/venezuelanos/2022/07_ago/txt/1.278990_902.txt", "TXT")</f>
        <v/>
      </c>
    </row>
    <row r="16">
      <c r="A16" s="1" t="n">
        <v>14</v>
      </c>
      <c r="B16" t="n">
        <v>2022</v>
      </c>
      <c r="C16" s="2" t="n">
        <v>44790.64637201389</v>
      </c>
      <c r="D16" t="inlineStr">
        <is>
          <t>G1</t>
        </is>
      </c>
      <c r="E16" t="inlineStr">
        <is>
          <t>VENEZUELANOS</t>
        </is>
      </c>
      <c r="F16" t="inlineStr">
        <is>
          <t>AMAZONAS</t>
        </is>
      </c>
      <c r="G16" t="inlineStr">
        <is>
          <t>G1 AM</t>
        </is>
      </c>
      <c r="H16" t="inlineStr">
        <is>
          <t>VÍTIMAS DE INCÊNDIO EM LOTÉRICA NO CENTRO DE MANAUS SEGUEM INTERNADAS EM ESTADO GRAVE</t>
        </is>
      </c>
      <c r="I16" t="inlineStr">
        <is>
          <t>O FOGO FOI PROVOCADO POR UM VENEZUELANO, QUE TAMBÉM ESTÁ INTERNADO APÓS TER SIDO AGREDIDO.</t>
        </is>
      </c>
      <c r="J16" t="inlineStr"/>
      <c r="K16" t="n">
        <v>0</v>
      </c>
      <c r="L16" t="n">
        <v>1</v>
      </c>
      <c r="M16" t="n">
        <v>0</v>
      </c>
      <c r="N16" t="n">
        <v>0</v>
      </c>
      <c r="O16" t="n">
        <v>4</v>
      </c>
      <c r="P16">
        <f>HYPERLINK("https://g1.globo.com/am/amazonas/noticia/2022/08/17/vitimas-de-incendio-em-loterica-no-centro-de-manaus-seguem-internadas-em-estado-grave.ghtml", "URL")</f>
        <v/>
      </c>
      <c r="Q16">
        <f>HYPERLINK("https://raw.githubusercontent.com/marcosmapl/dataset_imigrantes/main/materias_filtered/g1/venezuelanos/2022/07_ago/html/g1_c0a0ec94-2310-11ed-b24f-6dbe51e79fca_2873.html", "HTML")</f>
        <v/>
      </c>
      <c r="R16">
        <f>HYPERLINK("https://raw.githubusercontent.com/marcosmapl/dataset_imigrantes/main/materias_filtered/g1/venezuelanos/2022/07_ago/txt/g1_c0a0ec94-2310-11ed-b24f-6dbe51e79fca_2873.txt", "TXT")</f>
        <v/>
      </c>
    </row>
    <row r="17">
      <c r="A17" s="1" t="n">
        <v>15</v>
      </c>
      <c r="B17" t="n">
        <v>2022</v>
      </c>
      <c r="C17" s="2" t="n">
        <v>44790.64145107639</v>
      </c>
      <c r="D17" t="inlineStr">
        <is>
          <t>G1</t>
        </is>
      </c>
      <c r="E17" t="inlineStr">
        <is>
          <t>VENEZUELANOS</t>
        </is>
      </c>
      <c r="F17" t="inlineStr">
        <is>
          <t>RORAIMA</t>
        </is>
      </c>
      <c r="G17" t="inlineStr">
        <is>
          <t>G1 RR — BOA VISTA</t>
        </is>
      </c>
      <c r="H17" t="inlineStr">
        <is>
          <t>DOIS HOMENS SÃO MORTOS A TIROS E OUTROS FICAM FERIDOS NA ZONA OESTE DE BOA VISTA</t>
        </is>
      </c>
      <c r="I17" t="inlineStr">
        <is>
          <t>CRIME FOI NA TARDE DESSA QUARTA-FEIRA (17) NO BAIRRO SENADOR HÉLIO CAMPOS.</t>
        </is>
      </c>
      <c r="J17" t="inlineStr"/>
      <c r="K17" t="n">
        <v>0</v>
      </c>
      <c r="L17" t="n">
        <v>1</v>
      </c>
      <c r="M17" t="n">
        <v>0</v>
      </c>
      <c r="N17" t="n">
        <v>0</v>
      </c>
      <c r="O17" t="n">
        <v>1</v>
      </c>
      <c r="P17">
        <f>HYPERLINK("https://g1.globo.com/rr/roraima/noticia/2022/08/17/dois-homens-sao-mortos-a-tiros-e-outros-ficam-feridos-na-zona-oeste-de-boa-vista.ghtml", "URL")</f>
        <v/>
      </c>
      <c r="Q17">
        <f>HYPERLINK("https://raw.githubusercontent.com/marcosmapl/dataset_imigrantes/main/materias_filtered/g1/venezuelanos/2022/07_ago/html/g1_4d356aa0-2324-11ed-b24f-6dbe51e79fca_3862.html", "HTML")</f>
        <v/>
      </c>
      <c r="R17">
        <f>HYPERLINK("https://raw.githubusercontent.com/marcosmapl/dataset_imigrantes/main/materias_filtered/g1/venezuelanos/2022/07_ago/txt/g1_4d356aa0-2324-11ed-b24f-6dbe51e79fca_3862.txt", "TXT")</f>
        <v/>
      </c>
    </row>
    <row r="18">
      <c r="A18" s="1" t="n">
        <v>16</v>
      </c>
      <c r="B18" t="n">
        <v>2022</v>
      </c>
      <c r="C18" s="2" t="n">
        <v>44789.97297965278</v>
      </c>
      <c r="D18" t="inlineStr">
        <is>
          <t>G1</t>
        </is>
      </c>
      <c r="E18" t="inlineStr">
        <is>
          <t>VENEZUELANOS</t>
        </is>
      </c>
      <c r="F18" t="inlineStr">
        <is>
          <t>ESPÍRITO SANTO</t>
        </is>
      </c>
      <c r="G18" t="inlineStr">
        <is>
          <t>ÁLVARO GUARESQUI, G1 ES</t>
        </is>
      </c>
      <c r="H18" t="inlineStr">
        <is>
          <t>VENEZUELANOS DEIXADOS NO ES POR ÔNIBUS DA BAHIA VÃO PARA ABRIGO</t>
        </is>
      </c>
      <c r="I18" t="inlineStr">
        <is>
          <t>PREFEITURA INFORMOU QUE ESTÁ BUSCANDO ALTERNATIVAS LEGAIS PARA O CASO.</t>
        </is>
      </c>
      <c r="J18" t="inlineStr"/>
      <c r="K18" t="n">
        <v>0</v>
      </c>
      <c r="L18" t="n">
        <v>1</v>
      </c>
      <c r="M18" t="n">
        <v>1</v>
      </c>
      <c r="N18" t="n">
        <v>0</v>
      </c>
      <c r="O18" t="n">
        <v>10</v>
      </c>
      <c r="P18">
        <f>HYPERLINK("https://g1.globo.com/es/espirito-santo/noticia/2022/08/16/vao-para-abrigo-indigenas-venezuelanos-deixados-no-es-por-onibus-da-bahia.ghtml", "URL")</f>
        <v/>
      </c>
      <c r="Q18">
        <f>HYPERLINK("https://raw.githubusercontent.com/marcosmapl/dataset_imigrantes/main/materias_filtered/g1/venezuelanos/2022/07_ago/html/g1_e59a0896-2324-11ed-b24f-6dbe51e79fca_3888.html", "HTML")</f>
        <v/>
      </c>
      <c r="R18">
        <f>HYPERLINK("https://raw.githubusercontent.com/marcosmapl/dataset_imigrantes/main/materias_filtered/g1/venezuelanos/2022/07_ago/txt/g1_e59a0896-2324-11ed-b24f-6dbe51e79fca_3888.txt", "TXT")</f>
        <v/>
      </c>
    </row>
    <row r="19">
      <c r="A19" s="1" t="n">
        <v>17</v>
      </c>
      <c r="B19" t="n">
        <v>2022</v>
      </c>
      <c r="C19" s="2" t="n">
        <v>44789.96839150463</v>
      </c>
      <c r="D19" t="inlineStr">
        <is>
          <t>G1</t>
        </is>
      </c>
      <c r="E19" t="inlineStr">
        <is>
          <t>VENEZUELANOS</t>
        </is>
      </c>
      <c r="F19" t="inlineStr">
        <is>
          <t>AMAZONAS</t>
        </is>
      </c>
      <c r="G19" t="inlineStr">
        <is>
          <t>G1 AM</t>
        </is>
      </c>
      <c r="H19" t="inlineStr">
        <is>
          <t>VENEZUELANO SUSPEITO DE INCENDIAR LOTÉRICA EM MANAUS TENTOU COMETER O MESMO CRIME EM 2020, DIZ POLÍCIA</t>
        </is>
      </c>
      <c r="I19" t="inlineStr">
        <is>
          <t>NA ÉPOCA, O SUSPEITO ENTROU EM UMA AGÊNCIA LOTÉRICA QUE FICA DENTRO DE UMA LOJA, NO CENTRO, E ALEGOU QUE TINHA UM BILHETE PREMIADO. AO RECEBER UMA RESPOSTA NEGATIVA, TENTOU ATEAR FOGO NO LOCAL E FOI PRESO.</t>
        </is>
      </c>
      <c r="J19" t="inlineStr"/>
      <c r="K19" t="n">
        <v>0</v>
      </c>
      <c r="L19" t="n">
        <v>2</v>
      </c>
      <c r="M19" t="n">
        <v>1</v>
      </c>
      <c r="N19" t="n">
        <v>0</v>
      </c>
      <c r="O19" t="n">
        <v>3</v>
      </c>
      <c r="P19">
        <f>HYPERLINK("https://g1.globo.com/am/amazonas/noticia/2022/08/16/venezuelano-suspeito-de-incendiar-loterica-em-manaus-tentou-cometer-o-mesmo-crime-em-2020-diz-policia.ghtml", "URL")</f>
        <v/>
      </c>
      <c r="Q19">
        <f>HYPERLINK("https://raw.githubusercontent.com/marcosmapl/dataset_imigrantes/main/materias_filtered/g1/venezuelanos/2022/07_ago/html/g1_4f0b9042-2325-11ed-b24f-6dbe51e79fca_3906.html", "HTML")</f>
        <v/>
      </c>
      <c r="R19">
        <f>HYPERLINK("https://raw.githubusercontent.com/marcosmapl/dataset_imigrantes/main/materias_filtered/g1/venezuelanos/2022/07_ago/txt/g1_4f0b9042-2325-11ed-b24f-6dbe51e79fca_3906.txt", "TXT")</f>
        <v/>
      </c>
    </row>
    <row r="20">
      <c r="A20" s="1" t="n">
        <v>18</v>
      </c>
      <c r="B20" t="n">
        <v>2022</v>
      </c>
      <c r="C20" s="2" t="n">
        <v>44789.93281770833</v>
      </c>
      <c r="D20" t="inlineStr">
        <is>
          <t>G1</t>
        </is>
      </c>
      <c r="E20" t="inlineStr">
        <is>
          <t>VENEZUELANOS</t>
        </is>
      </c>
      <c r="F20" t="inlineStr">
        <is>
          <t>ESPÍRITO SANTO</t>
        </is>
      </c>
      <c r="G20" t="inlineStr">
        <is>
          <t>ÁLVARO GUARESQUI E CAÍQUE VERLI, G1 ES E TV GAZETA — VITÓRIA</t>
        </is>
      </c>
      <c r="H20" t="inlineStr">
        <is>
          <t>'ESTAVA MUITO DIFÍCIL CONSEGUIR COMIDA', DIZ CACIQUE DE INDÍGENAS VENEZUELANOS QUE FORAM DEIXADOS NO ES POR ÔNIBUS CLANDESTINO DA BAHIA</t>
        </is>
      </c>
      <c r="I20" t="inlineStr">
        <is>
          <t>GRUPO COM 25 INDÍGENAS DO POVO WARAO FOI DEIXADO NA RODOVIÁRIA DE VITÓRIA POR ÔNIBUS QUE SAIU DO MUNICÍPIO BAIANO DE TEIXEIRA DE FREITAS. SEGUNDO O CACIQUE, A FOME FOI O MOTIVO QUE LEVOU O GRUPO A DEIXAR A VENEZUELA RUMO AO BRASIL.</t>
        </is>
      </c>
      <c r="J20" t="inlineStr"/>
      <c r="K20" t="n">
        <v>0</v>
      </c>
      <c r="L20" t="n">
        <v>2</v>
      </c>
      <c r="M20" t="n">
        <v>1</v>
      </c>
      <c r="N20" t="n">
        <v>0</v>
      </c>
      <c r="O20" t="n">
        <v>10</v>
      </c>
      <c r="P20">
        <f>HYPERLINK("https://g1.globo.com/es/espirito-santo/noticia/2022/08/16/estava-muito-dificil-conseguir-comida-diz-cacique-de-indigenas-venezuelanos-que-foram-deixados-no-es-por-onibus-clandestino-da-bahia.ghtml", "URL")</f>
        <v/>
      </c>
      <c r="Q20">
        <f>HYPERLINK("https://raw.githubusercontent.com/marcosmapl/dataset_imigrantes/main/materias_filtered/g1/venezuelanos/2022/07_ago/html/g1_86cf36c0-230f-11ed-b24f-6dbe51e79fca_2801.html", "HTML")</f>
        <v/>
      </c>
      <c r="R20">
        <f>HYPERLINK("https://raw.githubusercontent.com/marcosmapl/dataset_imigrantes/main/materias_filtered/g1/venezuelanos/2022/07_ago/txt/g1_86cf36c0-230f-11ed-b24f-6dbe51e79fca_2801.txt", "TXT")</f>
        <v/>
      </c>
    </row>
    <row r="21">
      <c r="A21" s="1" t="n">
        <v>19</v>
      </c>
      <c r="B21" t="n">
        <v>2022</v>
      </c>
      <c r="C21" s="2" t="n">
        <v>44789.80668981482</v>
      </c>
      <c r="D21" t="inlineStr">
        <is>
          <t>A CRITICA</t>
        </is>
      </c>
      <c r="E21" t="inlineStr">
        <is>
          <t>VENEZUELANOS</t>
        </is>
      </c>
      <c r="F21" t="inlineStr">
        <is>
          <t>POLICIA</t>
        </is>
      </c>
      <c r="G21" t="inlineStr">
        <is>
          <t>AMARILES GAMA</t>
        </is>
      </c>
      <c r="H21" t="inlineStr">
        <is>
          <t>TAXISTA QUE LEVOU INCENDIÁRIO ATÉ O ADOLPHO LISBOA É OUVIDO PELA POLÍCIA</t>
        </is>
      </c>
      <c r="I21" t="inlineStr">
        <is>
          <t>POLÍCIA NÃO QUIS DAR DETALHES DA INVESTIGAÇÃO. ALÉM DO PRÓPRIO INCENDIÁRIO, LUIZ DOMINGO SISO, DE 60 ANOS, QUATRO FUNCIONÁRIOS DA LOTÉRICA ESTÃO INTERNADOS EM ESTADO GRAVE POR CONTA DAS QUEIMADURAS</t>
        </is>
      </c>
      <c r="J21" t="inlineStr">
        <is>
          <t>ADOLPHO LISBOA, INCÊNDIO, LOTÉRICA</t>
        </is>
      </c>
      <c r="K21" t="n">
        <v>3</v>
      </c>
      <c r="L21" t="n">
        <v>1</v>
      </c>
      <c r="M21" t="n">
        <v>0</v>
      </c>
      <c r="N21" t="n">
        <v>0</v>
      </c>
      <c r="O21" t="n">
        <v>8</v>
      </c>
      <c r="P21">
        <f>HYPERLINK("https://www.acritica.com/policia/taxista-que-levou-incendiario-ate-o-adolpho-lisboa-e-ouvido-pela-policia-1.278910", "URL")</f>
        <v/>
      </c>
      <c r="Q21">
        <f>HYPERLINK("https://raw.githubusercontent.com/marcosmapl/dataset_imigrantes/main/materias_filtered/a_critica/venezuelanos/2022/07_ago/html/1.278910_590.html", "HTML")</f>
        <v/>
      </c>
      <c r="R21">
        <f>HYPERLINK("https://raw.githubusercontent.com/marcosmapl/dataset_imigrantes/main/materias_filtered/a_critica/venezuelanos/2022/07_ago/txt/1.278910_590.txt", "TXT")</f>
        <v/>
      </c>
    </row>
    <row r="22">
      <c r="A22" s="1" t="n">
        <v>20</v>
      </c>
      <c r="B22" t="n">
        <v>2022</v>
      </c>
      <c r="C22" s="2" t="n">
        <v>44789.7651774074</v>
      </c>
      <c r="D22" t="inlineStr">
        <is>
          <t>G1</t>
        </is>
      </c>
      <c r="E22" t="inlineStr">
        <is>
          <t>VENEZUELANOS</t>
        </is>
      </c>
      <c r="F22" t="inlineStr">
        <is>
          <t>AMAZONAS</t>
        </is>
      </c>
      <c r="G22" t="inlineStr">
        <is>
          <t>G1*</t>
        </is>
      </c>
      <c r="H22" t="inlineStr">
        <is>
          <t>INCÊNDIO EM LOTÉRICA NO MERCADO MUNICIPAL DE MANAUS DEIXA FERIDOS</t>
        </is>
      </c>
      <c r="I22" t="inlineStr">
        <is>
          <t>SEGUNDO O CORPO DE BOMBEIROS, OS FERIDOS FORAM LEVADOS PELA POPULAÇÃO PARA O HOSPITAL PRONTO-SOCORRO 28 DE AGOSTO, NA ZONA CENTRO-SUL DA CAPITAL.</t>
        </is>
      </c>
      <c r="J22" t="inlineStr"/>
      <c r="K22" t="n">
        <v>0</v>
      </c>
      <c r="L22" t="n">
        <v>2</v>
      </c>
      <c r="M22" t="n">
        <v>0</v>
      </c>
      <c r="N22" t="n">
        <v>0</v>
      </c>
      <c r="O22" t="n">
        <v>2</v>
      </c>
      <c r="P22">
        <f>HYPERLINK("https://g1.globo.com/am/amazonas/noticia/2022/08/16/incendio-em-loterica-no-mercado-municipal-de-manaus-deixa-feridos.ghtml", "URL")</f>
        <v/>
      </c>
      <c r="Q22">
        <f>HYPERLINK("https://raw.githubusercontent.com/marcosmapl/dataset_imigrantes/main/materias_filtered/g1/venezuelanos/2022/07_ago/html/g1_da73369a-230b-11ed-b24f-6dbe51e79fca_2591.html", "HTML")</f>
        <v/>
      </c>
      <c r="R22">
        <f>HYPERLINK("https://raw.githubusercontent.com/marcosmapl/dataset_imigrantes/main/materias_filtered/g1/venezuelanos/2022/07_ago/txt/g1_da73369a-230b-11ed-b24f-6dbe51e79fca_2591.txt", "TXT")</f>
        <v/>
      </c>
    </row>
    <row r="23">
      <c r="A23" s="1" t="n">
        <v>21</v>
      </c>
      <c r="B23" t="n">
        <v>2022</v>
      </c>
      <c r="C23" s="2" t="n">
        <v>44789.71084490741</v>
      </c>
      <c r="D23" t="inlineStr">
        <is>
          <t>A CRITICA</t>
        </is>
      </c>
      <c r="E23" t="inlineStr">
        <is>
          <t>VENEZUELANOS</t>
        </is>
      </c>
      <c r="F23" t="inlineStr">
        <is>
          <t>POLICIA</t>
        </is>
      </c>
      <c r="G23" t="inlineStr">
        <is>
          <t>NATASHA PINTO</t>
        </is>
      </c>
      <c r="H23" t="inlineStr">
        <is>
          <t>VÍTIMAS EM ESTADO GRAVE APÓS INCÊNDIO NO ADOLPHO LISBOA SÃO FUNCIONÁRIOS DE LOTÉRICA</t>
        </is>
      </c>
      <c r="I23" t="inlineStr">
        <is>
          <t>HENISON DIOGO DA SILVA, 33,  ADRIELEN MOTA DE ASSIS, 35, CARLOS HENRIQUE DA SILVA COSTA, 50, E STEPHANIE DO NASCIMENTO LIMA, 23, ESTÃO INTERNADOS NO HOSPITAL E PRONTO-SOCORRO 28 DE AGOSTO</t>
        </is>
      </c>
      <c r="J23" t="inlineStr">
        <is>
          <t>ADOLPHO LISBOA, FUNCIONÁRIOS, INCÊNDIO, LOTÉRICA, VÍTIMAS</t>
        </is>
      </c>
      <c r="K23" t="n">
        <v>5</v>
      </c>
      <c r="L23" t="n">
        <v>1</v>
      </c>
      <c r="M23" t="n">
        <v>0</v>
      </c>
      <c r="N23" t="n">
        <v>0</v>
      </c>
      <c r="O23" t="n">
        <v>6</v>
      </c>
      <c r="P23">
        <f>HYPERLINK("https://www.acritica.com/policia/vitimas-em-estado-grave-apos-incendio-no-adolpho-lisboa-s-o-funcionarios-de-loterica-1.278889", "URL")</f>
        <v/>
      </c>
      <c r="Q23">
        <f>HYPERLINK("https://raw.githubusercontent.com/marcosmapl/dataset_imigrantes/main/materias_filtered/a_critica/venezuelanos/2022/07_ago/html/1.278889_964.html", "HTML")</f>
        <v/>
      </c>
      <c r="R23">
        <f>HYPERLINK("https://raw.githubusercontent.com/marcosmapl/dataset_imigrantes/main/materias_filtered/a_critica/venezuelanos/2022/07_ago/txt/1.278889_964.txt", "TXT")</f>
        <v/>
      </c>
    </row>
    <row r="24">
      <c r="A24" s="1" t="n">
        <v>22</v>
      </c>
      <c r="B24" t="n">
        <v>2022</v>
      </c>
      <c r="C24" s="2" t="n">
        <v>44789.7006555787</v>
      </c>
      <c r="D24" t="inlineStr">
        <is>
          <t>G1</t>
        </is>
      </c>
      <c r="E24" t="inlineStr">
        <is>
          <t>VENEZUELANOS</t>
        </is>
      </c>
      <c r="F24" t="inlineStr">
        <is>
          <t>ESPÍRITO SANTO</t>
        </is>
      </c>
      <c r="G24" t="inlineStr">
        <is>
          <t>FABIANA OLIVEIRA, G1 ES</t>
        </is>
      </c>
      <c r="H24" t="inlineStr">
        <is>
          <t>VENEZUELANOS DEIXADOS EM RODOVIÁRIA DO ES AINDA NÃO TÊM PARA ONDE IR: 'O ÔNIBUS DEIXOU A GENTE PARA TRÁS'</t>
        </is>
      </c>
      <c r="I24" t="inlineStr">
        <is>
          <t>ÔNIBUS COM CERCA DE 20 VENEZUELANOS, ENTRE ADULTOS E CRIANÇAS, CHEGOU À RODOVIÁRIA POR VOLTA DE 3H DESTA TERÇA (16). ELES SÃO INDÍGENAS DA ETNIA WARAO E TÊM DIFICULDADES PARA ENTENDER PORTUGUÊS.</t>
        </is>
      </c>
      <c r="J24" t="inlineStr"/>
      <c r="K24" t="n">
        <v>0</v>
      </c>
      <c r="L24" t="n">
        <v>2</v>
      </c>
      <c r="M24" t="n">
        <v>0</v>
      </c>
      <c r="N24" t="n">
        <v>0</v>
      </c>
      <c r="O24" t="n">
        <v>4</v>
      </c>
      <c r="P24">
        <f>HYPERLINK("https://g1.globo.com/es/espirito-santo/noticia/2022/08/16/venezuelanos-deixados-em-rodoviaria-do-es-ainda-nao-tem-para-onde-ir-o-onibus-deixou-a-gente-para-tras.ghtml", "URL")</f>
        <v/>
      </c>
      <c r="Q24">
        <f>HYPERLINK("https://raw.githubusercontent.com/marcosmapl/dataset_imigrantes/main/materias_filtered/g1/venezuelanos/2022/07_ago/html/g1_c9eb7aaa-232c-11ed-b24f-6dbe51e79fca_4325.html", "HTML")</f>
        <v/>
      </c>
      <c r="R24">
        <f>HYPERLINK("https://raw.githubusercontent.com/marcosmapl/dataset_imigrantes/main/materias_filtered/g1/venezuelanos/2022/07_ago/txt/g1_c9eb7aaa-232c-11ed-b24f-6dbe51e79fca_4325.txt", "TXT")</f>
        <v/>
      </c>
    </row>
    <row r="25">
      <c r="A25" s="1" t="n">
        <v>23</v>
      </c>
      <c r="B25" t="n">
        <v>2022</v>
      </c>
      <c r="C25" s="2" t="n">
        <v>44789.66300925926</v>
      </c>
      <c r="D25" t="inlineStr">
        <is>
          <t>A CRITICA</t>
        </is>
      </c>
      <c r="E25" t="inlineStr">
        <is>
          <t>VENEZUELANOS</t>
        </is>
      </c>
      <c r="F25" t="inlineStr">
        <is>
          <t>POLICIA</t>
        </is>
      </c>
      <c r="G25" t="inlineStr">
        <is>
          <t>MICHAEL DOUGLAS</t>
        </is>
      </c>
      <c r="H25" t="inlineStr">
        <is>
          <t>EM ESTADO GRAVE APÓS AGRESSÕES, INCENDIÁRIO JÁ FOI PRESO POR ATIRAR PEDRAS EM LOTÉRICA EM 2020</t>
        </is>
      </c>
      <c r="I25" t="inlineStr">
        <is>
          <t>LUIZ DOMINGOS SISO, DE 60 ANOS, JÁ HAVIA SIDO PRESO EM AGOSTO DE 2020 APÓS ATIRAR PEDRAS EM UMA LOTÉRICA E AINDA RESISTIU A ABORDAGEM POLICIAL. ELE, ALÉM DE QUATRO VÍTIMAS, ESTÃO EM ESTADO GRAVE.</t>
        </is>
      </c>
      <c r="J25" t="inlineStr">
        <is>
          <t>28 DE AGOSTO, ADOLPHO LISBOA, INCÊNDIO, LUIZ DOMINGOS, VÍTIMAS</t>
        </is>
      </c>
      <c r="K25" t="n">
        <v>5</v>
      </c>
      <c r="L25" t="n">
        <v>1</v>
      </c>
      <c r="M25" t="n">
        <v>0</v>
      </c>
      <c r="N25" t="n">
        <v>0</v>
      </c>
      <c r="O25" t="n">
        <v>7</v>
      </c>
      <c r="P25">
        <f>HYPERLINK("https://www.acritica.com/policia/em-estado-grave-apos-agress-es-incendiario-ja-foi-preso-por-atirar-pedras-em-loterica-em-2020-1.278876", "URL")</f>
        <v/>
      </c>
      <c r="Q25">
        <f>HYPERLINK("https://raw.githubusercontent.com/marcosmapl/dataset_imigrantes/main/materias_filtered/a_critica/venezuelanos/2022/07_ago/html/1.278876_237.html", "HTML")</f>
        <v/>
      </c>
      <c r="R25">
        <f>HYPERLINK("https://raw.githubusercontent.com/marcosmapl/dataset_imigrantes/main/materias_filtered/a_critica/venezuelanos/2022/07_ago/txt/1.278876_237.txt", "TXT")</f>
        <v/>
      </c>
    </row>
    <row r="26">
      <c r="A26" s="1" t="n">
        <v>24</v>
      </c>
      <c r="B26" t="n">
        <v>2022</v>
      </c>
      <c r="C26" s="2" t="n">
        <v>44789.58209886574</v>
      </c>
      <c r="D26" t="inlineStr">
        <is>
          <t>G1</t>
        </is>
      </c>
      <c r="E26" t="inlineStr">
        <is>
          <t>VENEZUELANOS</t>
        </is>
      </c>
      <c r="F26" t="inlineStr">
        <is>
          <t>ESPÍRITO SANTO</t>
        </is>
      </c>
      <c r="G26" t="inlineStr">
        <is>
          <t>FABIANA OLIVEIRA, G1 ES</t>
        </is>
      </c>
      <c r="H26" t="inlineStr">
        <is>
          <t>GRUPO DE VENEZUELANOS INDÍGENAS CHEGA DA BAHIA AO ES EM ÔNIBUS CLANDESTINO E É DEIXADO EM RODOVIÁRIA</t>
        </is>
      </c>
      <c r="I26" t="inlineStr">
        <is>
          <t>ÔNIBUS COM CERCA DE 20 VENEZUELANOS, ENTRE ADULTOS E CRIANÇAS, CHEGOU À RODOVIÁRIA POR VOLTA DE 3H. ELES SÃO INDÍGENAS DA ETNIA WARAO E TÊM DIFICULDADES PARA ENTENDER PORTUGUÊS.</t>
        </is>
      </c>
      <c r="J26" t="inlineStr"/>
      <c r="K26" t="n">
        <v>0</v>
      </c>
      <c r="L26" t="n">
        <v>2</v>
      </c>
      <c r="M26" t="n">
        <v>0</v>
      </c>
      <c r="N26" t="n">
        <v>0</v>
      </c>
      <c r="O26" t="n">
        <v>4</v>
      </c>
      <c r="P26">
        <f>HYPERLINK("https://g1.globo.com/es/espirito-santo/noticia/2022/08/16/grupo-de-venezuelanos-indigenas-chega-da-bahia-ao-es-em-onibus-clandestino-e-e-deixado-em-rodoviaria.ghtml", "URL")</f>
        <v/>
      </c>
      <c r="Q26">
        <f>HYPERLINK("https://raw.githubusercontent.com/marcosmapl/dataset_imigrantes/main/materias_filtered/g1/venezuelanos/2022/07_ago/html/g1_f9f2879e-230d-11ed-b24f-6dbe51e79fca_2714.html", "HTML")</f>
        <v/>
      </c>
      <c r="R26">
        <f>HYPERLINK("https://raw.githubusercontent.com/marcosmapl/dataset_imigrantes/main/materias_filtered/g1/venezuelanos/2022/07_ago/txt/g1_f9f2879e-230d-11ed-b24f-6dbe51e79fca_2714.txt", "TXT")</f>
        <v/>
      </c>
    </row>
    <row r="27">
      <c r="A27" s="1" t="n">
        <v>25</v>
      </c>
      <c r="B27" t="n">
        <v>2022</v>
      </c>
      <c r="C27" s="2" t="n">
        <v>44787.5816053588</v>
      </c>
      <c r="D27" t="inlineStr">
        <is>
          <t>G1</t>
        </is>
      </c>
      <c r="E27" t="inlineStr">
        <is>
          <t>VENEZUELANOS</t>
        </is>
      </c>
      <c r="F27" t="inlineStr">
        <is>
          <t>AMAZONAS</t>
        </is>
      </c>
      <c r="G27" t="inlineStr">
        <is>
          <t>G1 AM</t>
        </is>
      </c>
      <c r="H27" t="inlineStr">
        <is>
          <t>UNIDADES DE SAÚDE DE MANAUS TERÃO INFORMATIVOS DE EDUCAÇÃO EM ESPANHOL E WARAO</t>
        </is>
      </c>
      <c r="I27" t="inlineStr">
        <is>
          <t>AÇÃO TEM INTUITO DE BENEFICIAR MIGRANTES E REFUGIADOS VENEZUELANOS QUE SÃO USUÁRIOS DO SISTEMA ÚNICO DE SAÚDE (SUS) NA CIDADE.</t>
        </is>
      </c>
      <c r="J27" t="inlineStr"/>
      <c r="K27" t="n">
        <v>0</v>
      </c>
      <c r="L27" t="n">
        <v>1</v>
      </c>
      <c r="M27" t="n">
        <v>0</v>
      </c>
      <c r="N27" t="n">
        <v>0</v>
      </c>
      <c r="O27" t="n">
        <v>1</v>
      </c>
      <c r="P27">
        <f>HYPERLINK("https://g1.globo.com/am/amazonas/noticia/2022/08/14/unidades-de-saude-de-manaus-terao-informativos-de-educacao-em-espanhol-e-warao.ghtml", "URL")</f>
        <v/>
      </c>
      <c r="Q27">
        <f>HYPERLINK("https://raw.githubusercontent.com/marcosmapl/dataset_imigrantes/main/materias_filtered/g1/venezuelanos/2022/07_ago/html/g1_d02b8672-230d-11ed-b24f-6dbe51e79fca_2706.html", "HTML")</f>
        <v/>
      </c>
      <c r="R27">
        <f>HYPERLINK("https://raw.githubusercontent.com/marcosmapl/dataset_imigrantes/main/materias_filtered/g1/venezuelanos/2022/07_ago/txt/g1_d02b8672-230d-11ed-b24f-6dbe51e79fca_2706.txt", "TXT")</f>
        <v/>
      </c>
    </row>
    <row r="28">
      <c r="A28" s="1" t="n">
        <v>26</v>
      </c>
      <c r="B28" t="n">
        <v>2022</v>
      </c>
      <c r="C28" s="2" t="n">
        <v>44787.51384259259</v>
      </c>
      <c r="D28" t="inlineStr">
        <is>
          <t>A CRITICA</t>
        </is>
      </c>
      <c r="E28" t="inlineStr">
        <is>
          <t>VENEZUELANOS</t>
        </is>
      </c>
      <c r="F28" t="inlineStr">
        <is>
          <t>MANAUS</t>
        </is>
      </c>
      <c r="G28" t="inlineStr">
        <is>
          <t>NATASHA PINTO</t>
        </is>
      </c>
      <c r="H28" t="inlineStr">
        <is>
          <t>INCÊNDIO DESTRÓI MARCENARIA E CAUSA PREJUÍZO DE APROXIMADAMENTE R$20 MIL</t>
        </is>
      </c>
      <c r="I28" t="inlineStr">
        <is>
          <t>DOZE VENEZUELANOS TRABALHAVAM NO LOCAL E FICARAM SEM EMPREGOS POR CONTA DO SINISTRO</t>
        </is>
      </c>
      <c r="J28" t="inlineStr">
        <is>
          <t>INCÊNDIO, MARCENARIA, MDF, PETRÓPOLIS</t>
        </is>
      </c>
      <c r="K28" t="n">
        <v>4</v>
      </c>
      <c r="L28" t="n">
        <v>1</v>
      </c>
      <c r="M28" t="n">
        <v>0</v>
      </c>
      <c r="N28" t="n">
        <v>0</v>
      </c>
      <c r="O28" t="n">
        <v>4</v>
      </c>
      <c r="P28">
        <f>HYPERLINK("https://www.acritica.com/manaus/incendio-destroi-marcenaria-e-causa-prejuizo-de-aproximadamente-r-20-mil-1.278683", "URL")</f>
        <v/>
      </c>
      <c r="Q28">
        <f>HYPERLINK("https://raw.githubusercontent.com/marcosmapl/dataset_imigrantes/main/materias_filtered/a_critica/venezuelanos/2022/07_ago/html/1.278683_620.html", "HTML")</f>
        <v/>
      </c>
      <c r="R28">
        <f>HYPERLINK("https://raw.githubusercontent.com/marcosmapl/dataset_imigrantes/main/materias_filtered/a_critica/venezuelanos/2022/07_ago/txt/1.278683_620.txt", "TXT")</f>
        <v/>
      </c>
    </row>
    <row r="29">
      <c r="A29" s="1" t="n">
        <v>27</v>
      </c>
      <c r="B29" t="n">
        <v>2022</v>
      </c>
      <c r="C29" s="2" t="n">
        <v>44786.79670881944</v>
      </c>
      <c r="D29" t="inlineStr">
        <is>
          <t>G1</t>
        </is>
      </c>
      <c r="E29" t="inlineStr">
        <is>
          <t>HAITIANOS</t>
        </is>
      </c>
      <c r="F29" t="inlineStr">
        <is>
          <t>TRIÂNGULO E ALTO PARANAÍBA</t>
        </is>
      </c>
      <c r="G29" t="inlineStr">
        <is>
          <t>G1 TRIÂNGULO E ALTO PARANAÍBA — UBERLÂNDIA</t>
        </is>
      </c>
      <c r="H29" t="inlineStr">
        <is>
          <t>FOGO DESTRÓI CÔMODO DE CASA DE HAITIANOS NO BAIRRO TIBERY EM UBERLÂNDIA</t>
        </is>
      </c>
      <c r="I29" t="inlineStr">
        <is>
          <t>OCORRÊNCIA FOI REGISTRADA NA TARDE DESTE SÁBADO (13). SUSPEITA É QUE CRIANÇA DE TRÊS ANOS TENHA INICIADO O FOGO EM UM COLCHÃO.</t>
        </is>
      </c>
      <c r="J29" t="inlineStr"/>
      <c r="K29" t="n">
        <v>0</v>
      </c>
      <c r="L29" t="n">
        <v>2</v>
      </c>
      <c r="M29" t="n">
        <v>0</v>
      </c>
      <c r="N29" t="n">
        <v>0</v>
      </c>
      <c r="O29" t="n">
        <v>3</v>
      </c>
      <c r="P29">
        <f>HYPERLINK("https://g1.globo.com/mg/triangulo-mineiro/noticia/2022/08/13/fogo-destroi-comodo-de-casa-de-haitianos-no-bairro-tibery-em-uberlandia.ghtml", "URL")</f>
        <v/>
      </c>
      <c r="Q29">
        <f>HYPERLINK("https://raw.githubusercontent.com/marcosmapl/dataset_imigrantes/main/materias_filtered/g1/haitianos/2022/07_ago/html/g1_085dcade-22f3-11ed-b24f-6dbe51e79fca_1821.html", "HTML")</f>
        <v/>
      </c>
      <c r="R29">
        <f>HYPERLINK("https://raw.githubusercontent.com/marcosmapl/dataset_imigrantes/main/materias_filtered/g1/haitianos/2022/07_ago/txt/g1_085dcade-22f3-11ed-b24f-6dbe51e79fca_1821.txt", "TXT")</f>
        <v/>
      </c>
    </row>
    <row r="30">
      <c r="A30" s="1" t="n">
        <v>28</v>
      </c>
      <c r="B30" t="n">
        <v>2022</v>
      </c>
      <c r="C30" s="2" t="n">
        <v>44786.77250148148</v>
      </c>
      <c r="D30" t="inlineStr">
        <is>
          <t>G1</t>
        </is>
      </c>
      <c r="E30" t="inlineStr">
        <is>
          <t>VENEZUELANOS</t>
        </is>
      </c>
      <c r="F30" t="inlineStr">
        <is>
          <t>SANTA CATARINA</t>
        </is>
      </c>
      <c r="G30" t="inlineStr">
        <is>
          <t>CLARÌSSA BATÌSTELA, BIANCA BERTOLI, FELIPE SALES E TALITA CATIE, G1 SC E NSC</t>
        </is>
      </c>
      <c r="H30" t="inlineStr">
        <is>
          <t>MÃES PERDEM GUARDA, TÊM FILHOS COLOCADOS PARA ADOÇÃO EM SC E DENUNCIAM VIOLAÇÃO DE DIREITOS</t>
        </is>
      </c>
      <c r="I30" t="inlineStr">
        <is>
          <t>CARTAS COM RELATOS DE MÃES SÃO ENCAMINHADAS DESDE JUNHO À COMISSÃO DE DIREITOS HUMANOS DA OAB DE BLUMENAU.</t>
        </is>
      </c>
      <c r="J30" t="inlineStr"/>
      <c r="K30" t="n">
        <v>0</v>
      </c>
      <c r="L30" t="n">
        <v>1</v>
      </c>
      <c r="M30" t="n">
        <v>1</v>
      </c>
      <c r="N30" t="n">
        <v>0</v>
      </c>
      <c r="O30" t="n">
        <v>7</v>
      </c>
      <c r="P30">
        <f>HYPERLINK("https://g1.globo.com/sc/santa-catarina/noticia/2022/08/13/maes-perdem-guarda-tem-filhos-colocados-para-adocao-e-denunciam-violacao-de-direitos-em-sc.ghtml", "URL")</f>
        <v/>
      </c>
      <c r="Q30">
        <f>HYPERLINK("https://raw.githubusercontent.com/marcosmapl/dataset_imigrantes/main/materias_filtered/g1/venezuelanos/2022/07_ago/html/g1_8b7894da-2307-11ed-b24f-6dbe51e79fca_2325.html", "HTML")</f>
        <v/>
      </c>
      <c r="R30">
        <f>HYPERLINK("https://raw.githubusercontent.com/marcosmapl/dataset_imigrantes/main/materias_filtered/g1/venezuelanos/2022/07_ago/txt/g1_8b7894da-2307-11ed-b24f-6dbe51e79fca_2325.txt", "TXT")</f>
        <v/>
      </c>
    </row>
    <row r="31">
      <c r="A31" s="1" t="n">
        <v>29</v>
      </c>
      <c r="B31" t="n">
        <v>2022</v>
      </c>
      <c r="C31" s="2" t="n">
        <v>44786.29204771991</v>
      </c>
      <c r="D31" t="inlineStr">
        <is>
          <t>G1</t>
        </is>
      </c>
      <c r="E31" t="inlineStr">
        <is>
          <t>VENEZUELANOS</t>
        </is>
      </c>
      <c r="F31" t="inlineStr">
        <is>
          <t>RIO DE JANEIRO</t>
        </is>
      </c>
      <c r="G31" t="inlineStr">
        <is>
          <t>MARCO ANTÔNIO MARTINS, G1 RIO</t>
        </is>
      </c>
      <c r="H31" t="inlineStr">
        <is>
          <t>QUEM É PILOTO? COMPARSA DE PABLO ESCOBAR FOI CONDENADO POR TRÁFICO E HOJE OPERA QUADRILHA DE GLAIDSON NOS EUA</t>
        </is>
      </c>
      <c r="I31" t="inlineStr">
        <is>
          <t>COM BREVÊ DE COMANDANTE DE VOO, BRASILEIRO DEIXOU O PAÍS EM 2021 COM PASSAPORTE FALSO E DESDE ENTÃO É UMA ESPÉCIE DE ASSISTENTE PESSOAL DO FARAÓ DOS BITCOINS NO EXTERIOR. PILOTO ABRIU UMA EMPRESA EM SOLO AMERICANO, ENVIOU ÓLEO DE CANABIDIOL PARA O BRASIL E ARRUMOU GAROTAS DE PROGRAMA PARA GLAIDSON.</t>
        </is>
      </c>
      <c r="J31" t="inlineStr"/>
      <c r="K31" t="n">
        <v>0</v>
      </c>
      <c r="L31" t="n">
        <v>1</v>
      </c>
      <c r="M31" t="n">
        <v>0</v>
      </c>
      <c r="N31" t="n">
        <v>0</v>
      </c>
      <c r="O31" t="n">
        <v>12</v>
      </c>
      <c r="P31">
        <f>HYPERLINK("https://g1.globo.com/rj/rio-de-janeiro/noticia/2022/08/13/quem-e-piloto-condenado-por-trafico-de-drogas-e-que-da-suporte-a-quadrilha-de-glaidson-nos-estados-unidos.ghtml", "URL")</f>
        <v/>
      </c>
      <c r="Q31">
        <f>HYPERLINK("https://raw.githubusercontent.com/marcosmapl/dataset_imigrantes/main/materias_filtered/g1/venezuelanos/2022/07_ago/html/g1_ef2433b8-230c-11ed-b24f-6dbe51e79fca_2658.html", "HTML")</f>
        <v/>
      </c>
      <c r="R31">
        <f>HYPERLINK("https://raw.githubusercontent.com/marcosmapl/dataset_imigrantes/main/materias_filtered/g1/venezuelanos/2022/07_ago/txt/g1_ef2433b8-230c-11ed-b24f-6dbe51e79fca_2658.txt", "TXT")</f>
        <v/>
      </c>
    </row>
    <row r="32">
      <c r="A32" s="1" t="n">
        <v>30</v>
      </c>
      <c r="B32" t="n">
        <v>2022</v>
      </c>
      <c r="C32" s="2" t="n">
        <v>44786.03116175926</v>
      </c>
      <c r="D32" t="inlineStr">
        <is>
          <t>G1</t>
        </is>
      </c>
      <c r="E32" t="inlineStr">
        <is>
          <t>VENEZUELANOS</t>
        </is>
      </c>
      <c r="F32" t="inlineStr">
        <is>
          <t>PARANÁ</t>
        </is>
      </c>
      <c r="G32" t="inlineStr">
        <is>
          <t>G1 PR E RPC CURITIBA — CURITIBA</t>
        </is>
      </c>
      <c r="H32" t="inlineStr">
        <is>
          <t>MAIS DE 13 MIL VENEZUELANOS TENTAM CONSTRUIR A VIDA NO PARANÁ</t>
        </is>
      </c>
      <c r="I32" t="inlineStr">
        <is>
          <t>EM CURITIBA, SEGUNDA CIDADE DO PAÍS QUE MAIS RECEBE VENEZUELANOS DESDE 2018, SERVIÇO DÁ ORIENTAÇÕES E ENCAMINHA IMIGRANTES PARA CADASTROS SOCIAIS.</t>
        </is>
      </c>
      <c r="J32" t="inlineStr"/>
      <c r="K32" t="n">
        <v>0</v>
      </c>
      <c r="L32" t="n">
        <v>2</v>
      </c>
      <c r="M32" t="n">
        <v>1</v>
      </c>
      <c r="N32" t="n">
        <v>0</v>
      </c>
      <c r="O32" t="n">
        <v>3</v>
      </c>
      <c r="P32">
        <f>HYPERLINK("https://g1.globo.com/pr/parana/noticia/2022/08/12/mais-de-13-mil-venezuelanos-tentam-construir-a-vida-no-parana.ghtml", "URL")</f>
        <v/>
      </c>
      <c r="Q32">
        <f>HYPERLINK("https://raw.githubusercontent.com/marcosmapl/dataset_imigrantes/main/materias_filtered/g1/venezuelanos/2022/07_ago/html/g1_ecd1892a-232b-11ed-b24f-6dbe51e79fca_4278.html", "HTML")</f>
        <v/>
      </c>
      <c r="R32">
        <f>HYPERLINK("https://raw.githubusercontent.com/marcosmapl/dataset_imigrantes/main/materias_filtered/g1/venezuelanos/2022/07_ago/txt/g1_ecd1892a-232b-11ed-b24f-6dbe51e79fca_4278.txt", "TXT")</f>
        <v/>
      </c>
    </row>
    <row r="33">
      <c r="A33" s="1" t="n">
        <v>31</v>
      </c>
      <c r="B33" t="n">
        <v>2022</v>
      </c>
      <c r="C33" s="2" t="n">
        <v>44785.91861625</v>
      </c>
      <c r="D33" t="inlineStr">
        <is>
          <t>G1</t>
        </is>
      </c>
      <c r="E33" t="inlineStr">
        <is>
          <t>VENEZUELANOS</t>
        </is>
      </c>
      <c r="F33" t="inlineStr">
        <is>
          <t>RIO DE JANEIRO</t>
        </is>
      </c>
      <c r="G33" t="inlineStr">
        <is>
          <t>MARCO ANTÔNIO MARTINS, G1 RIO</t>
        </is>
      </c>
      <c r="H33" t="inlineStr">
        <is>
          <t>MULHER DE GLAIDSON COMANDA A QUADRILHA DOS EUA, DIZ PF</t>
        </is>
      </c>
      <c r="I33" t="inlineStr">
        <is>
          <t>MESMO FORAGIDA DA JUSTIÇA, MIRELIS ZERPA VEM ATUANDO NA GESTÃO REMOTA DA PRÉ-CANDIDATURA DO MARIDO A DEPUTADO FEDERAL E NOS NEGÓCIOS DO FARAÓ DOS BITCOINS.</t>
        </is>
      </c>
      <c r="J33" t="inlineStr"/>
      <c r="K33" t="n">
        <v>0</v>
      </c>
      <c r="L33" t="n">
        <v>2</v>
      </c>
      <c r="M33" t="n">
        <v>1</v>
      </c>
      <c r="N33" t="n">
        <v>0</v>
      </c>
      <c r="O33" t="n">
        <v>9</v>
      </c>
      <c r="P33">
        <f>HYPERLINK("https://g1.globo.com/rj/rio-de-janeiro/noticia/2022/08/12/mulher-de-glaidson-comanda-a-quadrilha-dos-estados-unidos-diz-pf.ghtml", "URL")</f>
        <v/>
      </c>
      <c r="Q33">
        <f>HYPERLINK("https://raw.githubusercontent.com/marcosmapl/dataset_imigrantes/main/materias_filtered/g1/venezuelanos/2022/07_ago/html/g1_95c31950-2317-11ed-b24f-6dbe51e79fca_3218.html", "HTML")</f>
        <v/>
      </c>
      <c r="R33">
        <f>HYPERLINK("https://raw.githubusercontent.com/marcosmapl/dataset_imigrantes/main/materias_filtered/g1/venezuelanos/2022/07_ago/txt/g1_95c31950-2317-11ed-b24f-6dbe51e79fca_3218.txt", "TXT")</f>
        <v/>
      </c>
    </row>
    <row r="34">
      <c r="A34" s="1" t="n">
        <v>32</v>
      </c>
      <c r="B34" t="n">
        <v>2022</v>
      </c>
      <c r="C34" s="2" t="n">
        <v>44785.70763888889</v>
      </c>
      <c r="D34" t="inlineStr">
        <is>
          <t>PORTAL AMAZONIA</t>
        </is>
      </c>
      <c r="E34" t="inlineStr">
        <is>
          <t>VENEZUELANOS</t>
        </is>
      </c>
      <c r="F34" t="inlineStr">
        <is>
          <t>FRAM</t>
        </is>
      </c>
      <c r="G34" t="inlineStr">
        <is>
          <t>GABRIELY SANTOS - GABRIELY.SANTOS@FRAM.ORG.BR</t>
        </is>
      </c>
      <c r="H34" t="inlineStr">
        <is>
          <t>CONFIRA A LISTA DE PROJETOS APROVADOS PARA O 1º EDITAL DE ACELERAÇÃO DA REDE IGAPÓ EM CORREALIZAÇÃO COM FUNDAÇÃO REDE AMAZÔNICA</t>
        </is>
      </c>
      <c r="I34" t="inlineStr">
        <is>
          <t>OS EMPREENDEDORES SOCIAIS FORAM SELECIONADOS PELO 1º EDITAL DE ACELERAÇÃO DA REDE IGAPÓ PARA PROPONENTES DA AMAZÔNIA LEGAL E JÁ INICIARAM A ETAPA DE CAPACITAÇÃO EM MECANISMOS DE INCENTIVO FISCAL.</t>
        </is>
      </c>
      <c r="J34" t="inlineStr">
        <is>
          <t>EDITAL, EMPREENDIMENTO, EMPREENDIMENTO DIGITAL, EMPREENDIMENTO SOCIAL, EMPRESAS, FRAM, IGAPÓ, INCENTIVO</t>
        </is>
      </c>
      <c r="K34" t="n">
        <v>8</v>
      </c>
      <c r="L34" t="n">
        <v>1</v>
      </c>
      <c r="M34" t="n">
        <v>0</v>
      </c>
      <c r="N34" t="n">
        <v>0</v>
      </c>
      <c r="O34" t="n">
        <v>18</v>
      </c>
      <c r="P34">
        <f>HYPERLINK("https://portalamazonia.com/fram/confira-a-lista-de-projetos-aprovados-para-o-1-edital-de-aceleracao-da-rede-igapo-em-correalizacao-com-fundacao-rede-amazonica-1", "URL")</f>
        <v/>
      </c>
      <c r="Q34">
        <f>HYPERLINK("https://raw.githubusercontent.com/marcosmapl/dataset_imigrantes/main/materias_filtered/portal_amazonia/venezuelanos/2022/07_ago/html/36302.88505_1503.html", "HTML")</f>
        <v/>
      </c>
      <c r="R34">
        <f>HYPERLINK("https://raw.githubusercontent.com/marcosmapl/dataset_imigrantes/main/materias_filtered/portal_amazonia/venezuelanos/2022/07_ago/txt/36302.88505_1503.txt", "TXT")</f>
        <v/>
      </c>
    </row>
    <row r="35">
      <c r="A35" s="1" t="n">
        <v>33</v>
      </c>
      <c r="B35" t="n">
        <v>2022</v>
      </c>
      <c r="C35" s="2" t="n">
        <v>44785.45995706019</v>
      </c>
      <c r="D35" t="inlineStr">
        <is>
          <t>G1</t>
        </is>
      </c>
      <c r="E35" t="inlineStr">
        <is>
          <t>VENEZUELANOS</t>
        </is>
      </c>
      <c r="F35" t="inlineStr">
        <is>
          <t>BAHIA</t>
        </is>
      </c>
      <c r="G35" t="inlineStr">
        <is>
          <t>G1 BA</t>
        </is>
      </c>
      <c r="H35" t="inlineStr">
        <is>
          <t>POLÍCIA DE PORTUGAL ABRE INQUÉRITO PARA INVESTIGAR AGRESSÃO A BRASILEIRO EXPULSO DE BOATE</t>
        </is>
      </c>
      <c r="I35" t="inlineStr">
        <is>
          <t>VÍTIMA NASCEU EM ILHÉUS, NO SUL DA BAHIA, E MORA NA CIDADE DE FARO HÁ TRÊS ANOS.</t>
        </is>
      </c>
      <c r="J35" t="inlineStr"/>
      <c r="K35" t="n">
        <v>0</v>
      </c>
      <c r="L35" t="n">
        <v>2</v>
      </c>
      <c r="M35" t="n">
        <v>1</v>
      </c>
      <c r="N35" t="n">
        <v>0</v>
      </c>
      <c r="O35" t="n">
        <v>8</v>
      </c>
      <c r="P35">
        <f>HYPERLINK("https://g1.globo.com/ba/bahia/noticia/2022/08/12/policia-de-portugal-investiga-abriu-inquerito-para-investigar-agressao-a-brasileiro-expulso-de-boate.ghtml", "URL")</f>
        <v/>
      </c>
      <c r="Q35">
        <f>HYPERLINK("https://raw.githubusercontent.com/marcosmapl/dataset_imigrantes/main/materias_filtered/g1/venezuelanos/2022/07_ago/html/g1_8d577318-230f-11ed-b24f-6dbe51e79fca_2803.html", "HTML")</f>
        <v/>
      </c>
      <c r="R35">
        <f>HYPERLINK("https://raw.githubusercontent.com/marcosmapl/dataset_imigrantes/main/materias_filtered/g1/venezuelanos/2022/07_ago/txt/g1_8d577318-230f-11ed-b24f-6dbe51e79fca_2803.txt", "TXT")</f>
        <v/>
      </c>
    </row>
    <row r="36">
      <c r="A36" s="1" t="n">
        <v>34</v>
      </c>
      <c r="B36" t="n">
        <v>2022</v>
      </c>
      <c r="C36" s="2" t="n">
        <v>44785.33267591435</v>
      </c>
      <c r="D36" t="inlineStr">
        <is>
          <t>G1</t>
        </is>
      </c>
      <c r="E36" t="inlineStr">
        <is>
          <t>HAITIANOS</t>
        </is>
      </c>
      <c r="F36" t="inlineStr">
        <is>
          <t>SANTOS E REGIÃO</t>
        </is>
      </c>
      <c r="G36" t="inlineStr">
        <is>
          <t>MAURÍCIO MARTINS, G1 SANTOS</t>
        </is>
      </c>
      <c r="H36" t="inlineStr">
        <is>
          <t>PRESIDENTE DE ONG QUE ATUA NO BRASIL É ACUSADO DE DAR GOLPE DE R$ 800 MIL EM 300 HAITIANOS</t>
        </is>
      </c>
      <c r="I36" t="inlineStr">
        <is>
          <t>CHERUBIN MATINEAU, DA ORGANIZAÇÃO DOS HAITIANOS QUE VIVEM NO BRASIL, TERIA SUMIDO COM O DINHEIRO DE PASSAGENS AÉREAS PARA 300 PESSOAS.</t>
        </is>
      </c>
      <c r="J36" t="inlineStr"/>
      <c r="K36" t="n">
        <v>0</v>
      </c>
      <c r="L36" t="n">
        <v>1</v>
      </c>
      <c r="M36" t="n">
        <v>0</v>
      </c>
      <c r="N36" t="n">
        <v>0</v>
      </c>
      <c r="O36" t="n">
        <v>2</v>
      </c>
      <c r="P36">
        <f>HYPERLINK("https://g1.globo.com/sp/santos-regiao/noticia/2022/08/12/presidente-de-ong-que-representa-refugiados-haitianos-no-brasil-e-acusado-de-golpe-de-quase-r-1-milhao.ghtml", "URL")</f>
        <v/>
      </c>
      <c r="Q36">
        <f>HYPERLINK("https://raw.githubusercontent.com/marcosmapl/dataset_imigrantes/main/materias_filtered/g1/haitianos/2022/07_ago/html/g1_d894f876-22f8-11ed-b24f-6dbe51e79fca_2161.html", "HTML")</f>
        <v/>
      </c>
      <c r="R36">
        <f>HYPERLINK("https://raw.githubusercontent.com/marcosmapl/dataset_imigrantes/main/materias_filtered/g1/haitianos/2022/07_ago/txt/g1_d894f876-22f8-11ed-b24f-6dbe51e79fca_2161.txt", "TXT")</f>
        <v/>
      </c>
    </row>
    <row r="37">
      <c r="A37" s="1" t="n">
        <v>35</v>
      </c>
      <c r="B37" t="n">
        <v>2022</v>
      </c>
      <c r="C37" s="2" t="n">
        <v>44784.95779030093</v>
      </c>
      <c r="D37" t="inlineStr">
        <is>
          <t>G1</t>
        </is>
      </c>
      <c r="E37" t="inlineStr">
        <is>
          <t>VENEZUELANOS</t>
        </is>
      </c>
      <c r="F37" t="inlineStr">
        <is>
          <t>ACRE</t>
        </is>
      </c>
      <c r="G37" t="inlineStr">
        <is>
          <t>G1 AC — RIO BRANCO</t>
        </is>
      </c>
      <c r="H37" t="inlineStr">
        <is>
          <t>IDOSO DE 69 ANOS BUSCA ATENDIMENTO EM UPA DO ACRE COM SINTOMAS DA VARÍOLA DOS MACACOS</t>
        </is>
      </c>
      <c r="I37" t="inlineStr">
        <is>
          <t>IDOSO BUSCOU A UPA DA SOBRAL NESTA QUINTA-FEIRA (11) COM FEBRE, ERUPÇÃO CUTÂNEA, TOSSE, DOR DE CABEÇA E NAS COSTAS.</t>
        </is>
      </c>
      <c r="J37" t="inlineStr"/>
      <c r="K37" t="n">
        <v>0</v>
      </c>
      <c r="L37" t="n">
        <v>2</v>
      </c>
      <c r="M37" t="n">
        <v>1</v>
      </c>
      <c r="N37" t="n">
        <v>0</v>
      </c>
      <c r="O37" t="n">
        <v>9</v>
      </c>
      <c r="P37">
        <f>HYPERLINK("https://g1.globo.com/ac/acre/noticia/2022/08/11/idoso-de-69-anos-busca-atendimento-em-upa-do-acre-com-sintomas-da-variola-dos-macacos.ghtml", "URL")</f>
        <v/>
      </c>
      <c r="Q37">
        <f>HYPERLINK("https://raw.githubusercontent.com/marcosmapl/dataset_imigrantes/main/materias_filtered/g1/venezuelanos/2022/07_ago/html/g1_9e09d146-231f-11ed-b24f-6dbe51e79fca_3634.html", "HTML")</f>
        <v/>
      </c>
      <c r="R37">
        <f>HYPERLINK("https://raw.githubusercontent.com/marcosmapl/dataset_imigrantes/main/materias_filtered/g1/venezuelanos/2022/07_ago/txt/g1_9e09d146-231f-11ed-b24f-6dbe51e79fca_3634.txt", "TXT")</f>
        <v/>
      </c>
    </row>
    <row r="38">
      <c r="A38" s="1" t="n">
        <v>36</v>
      </c>
      <c r="B38" t="n">
        <v>2022</v>
      </c>
      <c r="C38" s="2" t="n">
        <v>44784.92841350695</v>
      </c>
      <c r="D38" t="inlineStr">
        <is>
          <t>G1</t>
        </is>
      </c>
      <c r="E38" t="inlineStr">
        <is>
          <t>VENEZUELANOS</t>
        </is>
      </c>
      <c r="F38" t="inlineStr">
        <is>
          <t>RORAIMA</t>
        </is>
      </c>
      <c r="G38" t="inlineStr">
        <is>
          <t>G1 RR — BOA VISTA</t>
        </is>
      </c>
      <c r="H38" t="inlineStr">
        <is>
          <t>MANIFESTANTES LEEM CARTA EM DEFESA DA DEMOCRACIA EM BOA VISTA</t>
        </is>
      </c>
      <c r="I38" t="inlineStr">
        <is>
          <t>MOVIMENTO FOI ORGANIZADO POR ENTIDADES DA SOCIEDADE CIVIL E OCORREU NA UNIVERSIDADE FEDERAL DE RORAIMA (UFRR). DATA MARCA ANIVERSÁRIO DA CRIAÇÃO DOS CURSOS DE DIREITO NO PAÍS E COINCIDE COM A LEITURA DO MANIFESTO DE 1977, FEITO PARA DENUNCIAR A DITADURA MILITAR.</t>
        </is>
      </c>
      <c r="J38" t="inlineStr"/>
      <c r="K38" t="n">
        <v>0</v>
      </c>
      <c r="L38" t="n">
        <v>2</v>
      </c>
      <c r="M38" t="n">
        <v>0</v>
      </c>
      <c r="N38" t="n">
        <v>0</v>
      </c>
      <c r="O38" t="n">
        <v>4</v>
      </c>
      <c r="P38">
        <f>HYPERLINK("https://g1.globo.com/rr/roraima/noticia/2022/08/11/manifestantes-leem-carta-em-defesa-da-democracia-em-boa-vista.ghtml", "URL")</f>
        <v/>
      </c>
      <c r="Q38">
        <f>HYPERLINK("https://raw.githubusercontent.com/marcosmapl/dataset_imigrantes/main/materias_filtered/g1/venezuelanos/2022/07_ago/html/g1_e60825ba-231a-11ed-b24f-6dbe51e79fca_3360.html", "HTML")</f>
        <v/>
      </c>
      <c r="R38">
        <f>HYPERLINK("https://raw.githubusercontent.com/marcosmapl/dataset_imigrantes/main/materias_filtered/g1/venezuelanos/2022/07_ago/txt/g1_e60825ba-231a-11ed-b24f-6dbe51e79fca_3360.txt", "TXT")</f>
        <v/>
      </c>
    </row>
    <row r="39">
      <c r="A39" s="1" t="n">
        <v>37</v>
      </c>
      <c r="B39" t="n">
        <v>2022</v>
      </c>
      <c r="C39" s="2" t="n">
        <v>44784.62438928241</v>
      </c>
      <c r="D39" t="inlineStr">
        <is>
          <t>G1</t>
        </is>
      </c>
      <c r="E39" t="inlineStr">
        <is>
          <t>VENEZUELANOS</t>
        </is>
      </c>
      <c r="F39" t="inlineStr">
        <is>
          <t>RORAIMA</t>
        </is>
      </c>
      <c r="G39" t="inlineStr">
        <is>
          <t>G1 RR — BOA VISTA</t>
        </is>
      </c>
      <c r="H39" t="inlineStr">
        <is>
          <t>CORPOS DE GARIMPEIROS MORTOS NA FRONTEIRA COM A VENEZUELA SÃO TRAZIDOS POR AERONAVE PARA RR</t>
        </is>
      </c>
      <c r="I39" t="inlineStr">
        <is>
          <t>ENTRE AS VÍTIMAS ESTÃO QUATRO HOMENS E UMA MULHER. A SUSPEITA É QUE GUARDAS VENEZUELANOS ASSASSINARAM AS VÍTIMAS NO ÚLTIMO DOMINGO (7) PARA ROUBÁ-LAS. UMA DAS VÍTIMAS FOI IDENTIFICADA COMO OSWALD FIGUEIRA SUAREZ, DE 31 ANOS.</t>
        </is>
      </c>
      <c r="J39" t="inlineStr"/>
      <c r="K39" t="n">
        <v>0</v>
      </c>
      <c r="L39" t="n">
        <v>1</v>
      </c>
      <c r="M39" t="n">
        <v>0</v>
      </c>
      <c r="N39" t="n">
        <v>0</v>
      </c>
      <c r="O39" t="n">
        <v>1</v>
      </c>
      <c r="P39">
        <f>HYPERLINK("https://g1.globo.com/rr/roraima/noticia/2022/08/11/corpos-de-garimpeiros-mortos-na-fronteira-com-a-venezuela-sao-trazidos-por-aeronave-para-rr.ghtml", "URL")</f>
        <v/>
      </c>
      <c r="Q39">
        <f>HYPERLINK("https://raw.githubusercontent.com/marcosmapl/dataset_imigrantes/main/materias_filtered/g1/venezuelanos/2022/07_ago/html/g1_e12f0a52-2321-11ed-b24f-6dbe51e79fca_3721.html", "HTML")</f>
        <v/>
      </c>
      <c r="R39">
        <f>HYPERLINK("https://raw.githubusercontent.com/marcosmapl/dataset_imigrantes/main/materias_filtered/g1/venezuelanos/2022/07_ago/txt/g1_e12f0a52-2321-11ed-b24f-6dbe51e79fca_3721.txt", "TXT")</f>
        <v/>
      </c>
    </row>
    <row r="40">
      <c r="A40" s="1" t="n">
        <v>38</v>
      </c>
      <c r="B40" t="n">
        <v>2022</v>
      </c>
      <c r="C40" s="2" t="n">
        <v>44784.62043981482</v>
      </c>
      <c r="D40" t="inlineStr">
        <is>
          <t>A CRITICA</t>
        </is>
      </c>
      <c r="E40" t="inlineStr">
        <is>
          <t>VENEZUELANOS</t>
        </is>
      </c>
      <c r="F40" t="inlineStr">
        <is>
          <t>MANAUS</t>
        </is>
      </c>
      <c r="G40" t="inlineStr">
        <is>
          <t>JEYSE XAVIER</t>
        </is>
      </c>
      <c r="H40" t="inlineStr">
        <is>
          <t>ENTRE RESTAURANTES E BARES: MANAUS TEM MAIS DE 28 MIL GARÇONS E AINDA CONTA COM VAGAS SOBRANDO</t>
        </is>
      </c>
      <c r="I40" t="inlineStr">
        <is>
          <t>NESTA QUINTA-FEIRA, 11 DE AGOSTO, É COMEMORADO O "DIA DO GARÇOM", DATA HOMENAGEIA AQUELES QUE DOMINAM A ARTE DE SERVIR E ATENDER COM QUALIDADE</t>
        </is>
      </c>
      <c r="J40" t="inlineStr">
        <is>
          <t>11 DE AGOSTO, ATENDIMENTO, DIA DO GARÇOM, GARÇOM, MANAUS</t>
        </is>
      </c>
      <c r="K40" t="n">
        <v>5</v>
      </c>
      <c r="L40" t="n">
        <v>1</v>
      </c>
      <c r="M40" t="n">
        <v>0</v>
      </c>
      <c r="N40" t="n">
        <v>0</v>
      </c>
      <c r="O40" t="n">
        <v>5</v>
      </c>
      <c r="P40">
        <f>HYPERLINK("https://www.acritica.com/manaus/entre-restaurantes-e-bares-manaus-tem-mais-de-28-mil-garcons-e-ainda-conta-com-vagas-sobrando-1.278461", "URL")</f>
        <v/>
      </c>
      <c r="Q40">
        <f>HYPERLINK("https://raw.githubusercontent.com/marcosmapl/dataset_imigrantes/main/materias_filtered/a_critica/venezuelanos/2022/07_ago/html/1.278461_708.html", "HTML")</f>
        <v/>
      </c>
      <c r="R40">
        <f>HYPERLINK("https://raw.githubusercontent.com/marcosmapl/dataset_imigrantes/main/materias_filtered/a_critica/venezuelanos/2022/07_ago/txt/1.278461_708.txt", "TXT")</f>
        <v/>
      </c>
    </row>
    <row r="41">
      <c r="A41" s="1" t="n">
        <v>39</v>
      </c>
      <c r="B41" t="n">
        <v>2022</v>
      </c>
      <c r="C41" s="2" t="n">
        <v>44783.95751229166</v>
      </c>
      <c r="D41" t="inlineStr">
        <is>
          <t>G1</t>
        </is>
      </c>
      <c r="E41" t="inlineStr">
        <is>
          <t>VENEZUELANOS</t>
        </is>
      </c>
      <c r="F41" t="inlineStr">
        <is>
          <t>BAHIA</t>
        </is>
      </c>
      <c r="G41" t="inlineStr">
        <is>
          <t>G1 BA E TV BAHIA</t>
        </is>
      </c>
      <c r="H41" t="inlineStr">
        <is>
          <t>BRASILEIRO ESPANCADO COM AMIGOS VENEZUELANOS APÓS GRUPO SER EXPULSO DE BOATE EM PORTUGAL TEM ALTA MÉDICA</t>
        </is>
      </c>
      <c r="I41" t="inlineStr">
        <is>
          <t>VÍTIMA NASCEU EM ILHÉUS, NO SUL DA BAHIA, E MORA NA CIDADE DE FARO HÁ TRÊS ANOS.</t>
        </is>
      </c>
      <c r="J41" t="inlineStr"/>
      <c r="K41" t="n">
        <v>0</v>
      </c>
      <c r="L41" t="n">
        <v>3</v>
      </c>
      <c r="M41" t="n">
        <v>1</v>
      </c>
      <c r="N41" t="n">
        <v>0</v>
      </c>
      <c r="O41" t="n">
        <v>5</v>
      </c>
      <c r="P41">
        <f>HYPERLINK("https://g1.globo.com/ba/bahia/noticia/2022/08/10/brasileiro-espancado-com-amigos-venezuelanos-apos-grupo-ser-expulso-de-boate-em-portugal-tem-alta-medica.ghtml", "URL")</f>
        <v/>
      </c>
      <c r="Q41">
        <f>HYPERLINK("https://raw.githubusercontent.com/marcosmapl/dataset_imigrantes/main/materias_filtered/g1/venezuelanos/2022/07_ago/html/g1_da6377fa-2324-11ed-b24f-6dbe51e79fca_3885.html", "HTML")</f>
        <v/>
      </c>
      <c r="R41">
        <f>HYPERLINK("https://raw.githubusercontent.com/marcosmapl/dataset_imigrantes/main/materias_filtered/g1/venezuelanos/2022/07_ago/txt/g1_da6377fa-2324-11ed-b24f-6dbe51e79fca_3885.txt", "TXT")</f>
        <v/>
      </c>
    </row>
    <row r="42">
      <c r="A42" s="1" t="n">
        <v>40</v>
      </c>
      <c r="B42" t="n">
        <v>2022</v>
      </c>
      <c r="C42" s="2" t="n">
        <v>44783.84723115741</v>
      </c>
      <c r="D42" t="inlineStr">
        <is>
          <t>G1</t>
        </is>
      </c>
      <c r="E42" t="inlineStr">
        <is>
          <t>VENEZUELANOS</t>
        </is>
      </c>
      <c r="F42" t="inlineStr">
        <is>
          <t>BAHIA</t>
        </is>
      </c>
      <c r="G42" t="inlineStr">
        <is>
          <t>TV SANTA CRUZ E G1 BA</t>
        </is>
      </c>
      <c r="H42" t="inlineStr">
        <is>
          <t>'FOI UM FILME DE TERROR', RELATA VENEZUELANO ESPANCADO COM BRASILEIRO EM BOATE DE PORTUGAL</t>
        </is>
      </c>
      <c r="I42" t="inlineStr">
        <is>
          <t>UM BAIANO ESTÁ ENTRE AS VÍTIMAS NO EPISÓDIO DE VIOLÊNCIA NA CIDADE DE FARO.</t>
        </is>
      </c>
      <c r="J42" t="inlineStr"/>
      <c r="K42" t="n">
        <v>0</v>
      </c>
      <c r="L42" t="n">
        <v>2</v>
      </c>
      <c r="M42" t="n">
        <v>1</v>
      </c>
      <c r="N42" t="n">
        <v>0</v>
      </c>
      <c r="O42" t="n">
        <v>5</v>
      </c>
      <c r="P42">
        <f>HYPERLINK("https://g1.globo.com/ba/bahia/noticia/2022/08/10/foi-um-filme-de-terror-relata-venezuelano-espancado-com-brasileiro-em-boate-de-portugal.ghtml", "URL")</f>
        <v/>
      </c>
      <c r="Q42">
        <f>HYPERLINK("https://raw.githubusercontent.com/marcosmapl/dataset_imigrantes/main/materias_filtered/g1/venezuelanos/2022/07_ago/html/g1_32623f3c-2315-11ed-b24f-6dbe51e79fca_3072.html", "HTML")</f>
        <v/>
      </c>
      <c r="R42">
        <f>HYPERLINK("https://raw.githubusercontent.com/marcosmapl/dataset_imigrantes/main/materias_filtered/g1/venezuelanos/2022/07_ago/txt/g1_32623f3c-2315-11ed-b24f-6dbe51e79fca_3072.txt", "TXT")</f>
        <v/>
      </c>
    </row>
    <row r="43">
      <c r="A43" s="1" t="n">
        <v>41</v>
      </c>
      <c r="B43" t="n">
        <v>2022</v>
      </c>
      <c r="C43" s="2" t="n">
        <v>44783.02739931713</v>
      </c>
      <c r="D43" t="inlineStr">
        <is>
          <t>G1</t>
        </is>
      </c>
      <c r="E43" t="inlineStr">
        <is>
          <t>VENEZUELANOS</t>
        </is>
      </c>
      <c r="F43" t="inlineStr">
        <is>
          <t>BAHIA</t>
        </is>
      </c>
      <c r="G43" t="inlineStr">
        <is>
          <t>G1 BA E TV SANTA CRUZ</t>
        </is>
      </c>
      <c r="H43" t="inlineStr">
        <is>
          <t>BRASILEIRO É ESPANCADO COM AMIGOS VENEZUELANOS APÓS GRUPO SER EXPULSO DE BOATE EM PORTUGAL: 'LEVOU UMA PAULADA NA CABEÇA'</t>
        </is>
      </c>
      <c r="I43" t="inlineStr">
        <is>
          <t>VÍTIMA NASCEU EM ILHÉUS, NO SUL DA BAHIA, E MORA NA CIDADE DE FARO HÁ TRÊS ANOS. ESPOSA DO BRASILEIRO DETALHOU SOBRE AGRESSÕES.</t>
        </is>
      </c>
      <c r="J43" t="inlineStr"/>
      <c r="K43" t="n">
        <v>0</v>
      </c>
      <c r="L43" t="n">
        <v>2</v>
      </c>
      <c r="M43" t="n">
        <v>1</v>
      </c>
      <c r="N43" t="n">
        <v>0</v>
      </c>
      <c r="O43" t="n">
        <v>3</v>
      </c>
      <c r="P43">
        <f>HYPERLINK("https://g1.globo.com/ba/bahia/noticia/2022/08/09/brasileiro-e-espancado-com-amigos-venezuelanos-apos-grupo-ser-expulso-de-boate-em-portugal.ghtml", "URL")</f>
        <v/>
      </c>
      <c r="Q43">
        <f>HYPERLINK("https://raw.githubusercontent.com/marcosmapl/dataset_imigrantes/main/materias_filtered/g1/venezuelanos/2022/07_ago/html/g1_92e420aa-231f-11ed-b24f-6dbe51e79fca_3631.html", "HTML")</f>
        <v/>
      </c>
      <c r="R43">
        <f>HYPERLINK("https://raw.githubusercontent.com/marcosmapl/dataset_imigrantes/main/materias_filtered/g1/venezuelanos/2022/07_ago/txt/g1_92e420aa-231f-11ed-b24f-6dbe51e79fca_3631.txt", "TXT")</f>
        <v/>
      </c>
    </row>
    <row r="44">
      <c r="A44" s="1" t="n">
        <v>42</v>
      </c>
      <c r="B44" t="n">
        <v>2022</v>
      </c>
      <c r="C44" s="2" t="n">
        <v>44782.8172337963</v>
      </c>
      <c r="D44" t="inlineStr">
        <is>
          <t>A CRITICA</t>
        </is>
      </c>
      <c r="E44" t="inlineStr">
        <is>
          <t>VENEZUELANOS</t>
        </is>
      </c>
      <c r="F44" t="inlineStr">
        <is>
          <t>POLITICA</t>
        </is>
      </c>
      <c r="G44" t="inlineStr">
        <is>
          <t>GIOVANNA MARINHO</t>
        </is>
      </c>
      <c r="H44" t="inlineStr">
        <is>
          <t>ESPECIALISTA QUESTIONA EFEITO ELEITORAL DO PACOTE DE BENEFÍCIOS LIBERADO NESTA SEMANA</t>
        </is>
      </c>
      <c r="I44" t="inlineStr">
        <is>
          <t>EFEITOS ELEITORAIS DO PACOTÃO DE BENEFÍCIOS SOCIAIS, QUE COMEÇOU A SER PAGO ONTEM PELO GOVERNO FEDERAL, SÃO “SUPERESTIMADOS” NA AVALIAÇÃO DO ANALISTA POLÍTICO AFRÂNIO SOARES</t>
        </is>
      </c>
      <c r="J44" t="inlineStr">
        <is>
          <t>AUXÍLIO BRASL, AUXÍLIO CAMINHONEIRO, AUXÍLIO GÁS, AUXÍLIO TAXISTA, PACOTE DE BENFÍCIOS</t>
        </is>
      </c>
      <c r="K44" t="n">
        <v>5</v>
      </c>
      <c r="L44" t="n">
        <v>1</v>
      </c>
      <c r="M44" t="n">
        <v>0</v>
      </c>
      <c r="N44" t="n">
        <v>0</v>
      </c>
      <c r="O44" t="n">
        <v>5</v>
      </c>
      <c r="P44">
        <f>HYPERLINK("https://www.acritica.com/politica/especialista-questiona-efeito-eleitoral-do-pacote-de-beneficios-liberado-nesta-semana-1.278289", "URL")</f>
        <v/>
      </c>
      <c r="Q44">
        <f>HYPERLINK("https://raw.githubusercontent.com/marcosmapl/dataset_imigrantes/main/materias_filtered/a_critica/venezuelanos/2022/07_ago/html/1.278289_1189.html", "HTML")</f>
        <v/>
      </c>
      <c r="R44">
        <f>HYPERLINK("https://raw.githubusercontent.com/marcosmapl/dataset_imigrantes/main/materias_filtered/a_critica/venezuelanos/2022/07_ago/txt/1.278289_1189.txt", "TXT")</f>
        <v/>
      </c>
    </row>
    <row r="45">
      <c r="A45" s="1" t="n">
        <v>43</v>
      </c>
      <c r="B45" t="n">
        <v>2022</v>
      </c>
      <c r="C45" s="2" t="n">
        <v>44782.65408564815</v>
      </c>
      <c r="D45" t="inlineStr">
        <is>
          <t>A CRITICA</t>
        </is>
      </c>
      <c r="E45" t="inlineStr">
        <is>
          <t>VENEZUELANOS</t>
        </is>
      </c>
      <c r="F45" t="inlineStr">
        <is>
          <t>GERAL</t>
        </is>
      </c>
      <c r="G45" t="inlineStr">
        <is>
          <t>REUTERS</t>
        </is>
      </c>
      <c r="H45" t="inlineStr">
        <is>
          <t>CUBA TENTA CONTROLAR MAIOR INCÊNDIO DA HISTÓRIA EM TANQUE DE PETRÓLEO</t>
        </is>
      </c>
      <c r="I45" t="inlineStr">
        <is>
          <t>UM RAIO ATINGIU UM TANQUE DE ARMAZENAMENTO DE COMBUSTÍVEL NA NOITE DE SEXTA-FEIRA. O FOGO SE ESPALHOU PARA UM SEGUNDO TANQUE NO DOMINGO (7) E CONSUMIU A ÁREA DE QUATRO TANQUES NA SEGUNDA-FEIRA (8)</t>
        </is>
      </c>
      <c r="J45" t="inlineStr">
        <is>
          <t>CUBA, INCÊNDIO, REFINÁRIA</t>
        </is>
      </c>
      <c r="K45" t="n">
        <v>3</v>
      </c>
      <c r="L45" t="n">
        <v>1</v>
      </c>
      <c r="M45" t="n">
        <v>0</v>
      </c>
      <c r="N45" t="n">
        <v>0</v>
      </c>
      <c r="O45" t="n">
        <v>3</v>
      </c>
      <c r="P45">
        <f>HYPERLINK("https://www.acritica.com/geral/cuba-tenta-controlar-maior-incendio-da-historia-em-tanque-de-petroleo-1.278260", "URL")</f>
        <v/>
      </c>
      <c r="Q45">
        <f>HYPERLINK("https://raw.githubusercontent.com/marcosmapl/dataset_imigrantes/main/materias_filtered/a_critica/venezuelanos/2022/07_ago/html/1.278260_694.html", "HTML")</f>
        <v/>
      </c>
      <c r="R45">
        <f>HYPERLINK("https://raw.githubusercontent.com/marcosmapl/dataset_imigrantes/main/materias_filtered/a_critica/venezuelanos/2022/07_ago/txt/1.278260_694.txt", "TXT")</f>
        <v/>
      </c>
    </row>
    <row r="46">
      <c r="A46" s="1" t="n">
        <v>44</v>
      </c>
      <c r="B46" t="n">
        <v>2022</v>
      </c>
      <c r="C46" s="2" t="n">
        <v>44782.39711805555</v>
      </c>
      <c r="D46" t="inlineStr">
        <is>
          <t>A CRITICA</t>
        </is>
      </c>
      <c r="E46" t="inlineStr">
        <is>
          <t>VENEZUELANOS</t>
        </is>
      </c>
      <c r="F46" t="inlineStr">
        <is>
          <t>GERAL</t>
        </is>
      </c>
      <c r="G46" t="inlineStr">
        <is>
          <t>ACRITICA.COM</t>
        </is>
      </c>
      <c r="H46" t="inlineStr">
        <is>
          <t>PARQUE DAS NAÇÕES INDÍGENAS RECEBE ESTRUTURA DE ÁGUA E COMEMORA MELHORIA DA QUALIDADE DE VIDA</t>
        </is>
      </c>
      <c r="I46" t="inlineStr">
        <is>
          <t>NO DIA INTERNACIONAL DOS POVOS INDÍGENAS, CONCESSIONÁRIA DESTACA COMO VÊM PROMOVENDO SAÚDE E DIGNIDADE EM REGIÕES INDÍGENAS URBANAS DA CAPITAL</t>
        </is>
      </c>
      <c r="J46" t="inlineStr"/>
      <c r="K46" t="n">
        <v>0</v>
      </c>
      <c r="L46" t="n">
        <v>1</v>
      </c>
      <c r="M46" t="n">
        <v>0</v>
      </c>
      <c r="N46" t="n">
        <v>0</v>
      </c>
      <c r="O46" t="n">
        <v>1</v>
      </c>
      <c r="P46">
        <f>HYPERLINK("https://www.acritica.com/geral/parque-das-nac-es-indigenas-recebe-estrutura-de-agua-e-comemora-melhoria-da-qualidade-de-vida-1.278217", "URL")</f>
        <v/>
      </c>
      <c r="Q46">
        <f>HYPERLINK("https://raw.githubusercontent.com/marcosmapl/dataset_imigrantes/main/materias_filtered/a_critica/venezuelanos/2022/07_ago/html/1.278217_257.html", "HTML")</f>
        <v/>
      </c>
      <c r="R46">
        <f>HYPERLINK("https://raw.githubusercontent.com/marcosmapl/dataset_imigrantes/main/materias_filtered/a_critica/venezuelanos/2022/07_ago/txt/1.278217_257.txt", "TXT")</f>
        <v/>
      </c>
    </row>
    <row r="47">
      <c r="A47" s="1" t="n">
        <v>45</v>
      </c>
      <c r="B47" t="n">
        <v>2022</v>
      </c>
      <c r="C47" s="2" t="n">
        <v>44781.39066914352</v>
      </c>
      <c r="D47" t="inlineStr">
        <is>
          <t>G1</t>
        </is>
      </c>
      <c r="E47" t="inlineStr">
        <is>
          <t>VENEZUELANOS</t>
        </is>
      </c>
      <c r="F47" t="inlineStr">
        <is>
          <t>MUNDO</t>
        </is>
      </c>
      <c r="G47" t="inlineStr">
        <is>
          <t>BBC</t>
        </is>
      </c>
      <c r="H47" t="inlineStr">
        <is>
          <t>GUSTAVO PETRO: OS DESAFIOS DO NOVO PRESIDENTE DA COLÔMBIA NA ECONOMIA</t>
        </is>
      </c>
      <c r="I47" t="inlineStr">
        <is>
          <t>PRIMEIRO PRESIDENTE DE ESQUERDA DO PAÍS TERÁ QUE ENFRENTAR UMA DAS MAIS GRAVES CRISES ECONÔMICAS DA HISTÓRIA RECENTE. UMA AMBICIOSA REFORMA TRIBUTÁRIA PODERÁ DEFINIR O SUCESSO OU FRACASSO DO NOVO GOVERNO.</t>
        </is>
      </c>
      <c r="J47" t="inlineStr"/>
      <c r="K47" t="n">
        <v>0</v>
      </c>
      <c r="L47" t="n">
        <v>2</v>
      </c>
      <c r="M47" t="n">
        <v>1</v>
      </c>
      <c r="N47" t="n">
        <v>0</v>
      </c>
      <c r="O47" t="n">
        <v>4</v>
      </c>
      <c r="P47">
        <f>HYPERLINK("https://g1.globo.com/mundo/noticia/2022/08/08/gustavo-petro-os-desafios-do-novo-presidente-da-colombia-na-economia.ghtml", "URL")</f>
        <v/>
      </c>
      <c r="Q47">
        <f>HYPERLINK("https://raw.githubusercontent.com/marcosmapl/dataset_imigrantes/main/materias_filtered/g1/venezuelanos/2022/07_ago/html/g1_c8691456-2310-11ed-b24f-6dbe51e79fca_2875.html", "HTML")</f>
        <v/>
      </c>
      <c r="R47">
        <f>HYPERLINK("https://raw.githubusercontent.com/marcosmapl/dataset_imigrantes/main/materias_filtered/g1/venezuelanos/2022/07_ago/txt/g1_c8691456-2310-11ed-b24f-6dbe51e79fca_2875.txt", "TXT")</f>
        <v/>
      </c>
    </row>
    <row r="48">
      <c r="A48" s="1" t="n">
        <v>46</v>
      </c>
      <c r="B48" t="n">
        <v>2022</v>
      </c>
      <c r="C48" s="2" t="n">
        <v>44781.19924413195</v>
      </c>
      <c r="D48" t="inlineStr">
        <is>
          <t>G1</t>
        </is>
      </c>
      <c r="E48" t="inlineStr">
        <is>
          <t>VENEZUELANOS</t>
        </is>
      </c>
      <c r="F48" t="inlineStr">
        <is>
          <t>MUNDO</t>
        </is>
      </c>
      <c r="G48" t="inlineStr">
        <is>
          <t>FRANCE PRESSE</t>
        </is>
      </c>
      <c r="H48" t="inlineStr">
        <is>
          <t>CUBA SEGUE COMBATENDO GIGANTESCO INCÊNDIO EM TANQUES DE PETRÓLEO</t>
        </is>
      </c>
      <c r="I48" t="inlineStr">
        <is>
          <t>IMAGENS EM REDES SOCIAIS MOSTRAM EXPLOSÕES NA MADRUGADA DESTA SEGUNDA-FEIRA (8). COMBATE AO FOGO DEIXOU UM MORTO, 16 DESAPARECIDOS E DEZENAS DE FERIDOS.</t>
        </is>
      </c>
      <c r="J48" t="inlineStr"/>
      <c r="K48" t="n">
        <v>0</v>
      </c>
      <c r="L48" t="n">
        <v>3</v>
      </c>
      <c r="M48" t="n">
        <v>1</v>
      </c>
      <c r="N48" t="n">
        <v>0</v>
      </c>
      <c r="O48" t="n">
        <v>0</v>
      </c>
      <c r="P48">
        <f>HYPERLINK("https://g1.globo.com/mundo/noticia/2022/08/08/cuba-segue-combatendo-gigantesco-incendio-em-tanques-de-petroleo.ghtml", "URL")</f>
        <v/>
      </c>
      <c r="Q48">
        <f>HYPERLINK("https://raw.githubusercontent.com/marcosmapl/dataset_imigrantes/main/materias_filtered/g1/venezuelanos/2022/07_ago/html/g1_f47a0598-2309-11ed-b24f-6dbe51e79fca_2476.html", "HTML")</f>
        <v/>
      </c>
      <c r="R48">
        <f>HYPERLINK("https://raw.githubusercontent.com/marcosmapl/dataset_imigrantes/main/materias_filtered/g1/venezuelanos/2022/07_ago/txt/g1_f47a0598-2309-11ed-b24f-6dbe51e79fca_2476.txt", "TXT")</f>
        <v/>
      </c>
    </row>
    <row r="49">
      <c r="A49" s="1" t="n">
        <v>47</v>
      </c>
      <c r="B49" t="n">
        <v>2022</v>
      </c>
      <c r="C49" s="2" t="n">
        <v>44780.79109275463</v>
      </c>
      <c r="D49" t="inlineStr">
        <is>
          <t>G1</t>
        </is>
      </c>
      <c r="E49" t="inlineStr">
        <is>
          <t>VENEZUELANOS</t>
        </is>
      </c>
      <c r="F49" t="inlineStr">
        <is>
          <t>RORAIMA</t>
        </is>
      </c>
      <c r="G49" t="inlineStr">
        <is>
          <t>G1 RR — BOA VISTA</t>
        </is>
      </c>
      <c r="H49" t="inlineStr">
        <is>
          <t>VOCÊ VIU? CHUVAS EM BOA VISTA, PROVAS DE CONCURSO VIOLADAS, JACARÉ 'PASSEANDO' E MAIS EM RR</t>
        </is>
      </c>
      <c r="I49" t="inlineStr">
        <is>
          <t>VEJA AS NOTÍCIAS MAIS LIDAS NO G1 RORAIMA ENTRE OS DIAS 31 DE JULHO A 6 DE AGOSTO.</t>
        </is>
      </c>
      <c r="J49" t="inlineStr"/>
      <c r="K49" t="n">
        <v>0</v>
      </c>
      <c r="L49" t="n">
        <v>2</v>
      </c>
      <c r="M49" t="n">
        <v>0</v>
      </c>
      <c r="N49" t="n">
        <v>0</v>
      </c>
      <c r="O49" t="n">
        <v>20</v>
      </c>
      <c r="P49">
        <f>HYPERLINK("https://g1.globo.com/rr/roraima/noticia/2022/08/07/voce-viu-chuvas-em-boa-vista-provas-de-concurso-violadas-jacare-passeando-e-mais-em-rr.ghtml", "URL")</f>
        <v/>
      </c>
      <c r="Q49">
        <f>HYPERLINK("https://raw.githubusercontent.com/marcosmapl/dataset_imigrantes/main/materias_filtered/g1/venezuelanos/2022/07_ago/html/g1_f92f348c-2327-11ed-b24f-6dbe51e79fca_4058.html", "HTML")</f>
        <v/>
      </c>
      <c r="R49">
        <f>HYPERLINK("https://raw.githubusercontent.com/marcosmapl/dataset_imigrantes/main/materias_filtered/g1/venezuelanos/2022/07_ago/txt/g1_f92f348c-2327-11ed-b24f-6dbe51e79fca_4058.txt", "TXT")</f>
        <v/>
      </c>
    </row>
    <row r="50">
      <c r="A50" s="1" t="n">
        <v>48</v>
      </c>
      <c r="B50" t="n">
        <v>2022</v>
      </c>
      <c r="C50" s="2" t="n">
        <v>44780.77521266204</v>
      </c>
      <c r="D50" t="inlineStr">
        <is>
          <t>G1</t>
        </is>
      </c>
      <c r="E50" t="inlineStr">
        <is>
          <t>VENEZUELANOS</t>
        </is>
      </c>
      <c r="F50" t="inlineStr">
        <is>
          <t>MUNDO</t>
        </is>
      </c>
      <c r="G50" t="inlineStr">
        <is>
          <t>G1</t>
        </is>
      </c>
      <c r="H50" t="inlineStr">
        <is>
          <t>CUBA NÃO CONSEGUE CONTROLAR INCÊNDIO NO MAIOR ARMAZÉM DE PETRÓLEO DA ILHA; MÉXICO E VENEZUELA MANDAM REFORÇOS PARA COMBATER O FOGO</t>
        </is>
      </c>
      <c r="I50" t="inlineStr">
        <is>
          <t>DOIS TANQUES DE ARMAZENAMENTO DE PETRÓLEO PEGARAM FOGO. OS BOMBEIROS FORAM SURPREENDIDOS COM A EXPLOSÃO DO SEGUNDO.</t>
        </is>
      </c>
      <c r="J50" t="inlineStr"/>
      <c r="K50" t="n">
        <v>0</v>
      </c>
      <c r="L50" t="n">
        <v>3</v>
      </c>
      <c r="M50" t="n">
        <v>1</v>
      </c>
      <c r="N50" t="n">
        <v>0</v>
      </c>
      <c r="O50" t="n">
        <v>3</v>
      </c>
      <c r="P50">
        <f>HYPERLINK("https://g1.globo.com/mundo/noticia/2022/08/07/cuba-nao-consegue-controlar-incendio-no-maior-armazem-de-petroleo-da-ilha-mexico-e-venezuela-mandam-reforcos-para-combater-o-fogo.ghtml", "URL")</f>
        <v/>
      </c>
      <c r="Q50">
        <f>HYPERLINK("https://raw.githubusercontent.com/marcosmapl/dataset_imigrantes/main/materias_filtered/g1/venezuelanos/2022/07_ago/html/g1_76a6165a-2315-11ed-b24f-6dbe51e79fca_3086.html", "HTML")</f>
        <v/>
      </c>
      <c r="R50">
        <f>HYPERLINK("https://raw.githubusercontent.com/marcosmapl/dataset_imigrantes/main/materias_filtered/g1/venezuelanos/2022/07_ago/txt/g1_76a6165a-2315-11ed-b24f-6dbe51e79fca_3086.txt", "TXT")</f>
        <v/>
      </c>
    </row>
    <row r="51">
      <c r="A51" s="1" t="n">
        <v>49</v>
      </c>
      <c r="B51" t="n">
        <v>2022</v>
      </c>
      <c r="C51" s="2" t="n">
        <v>44778.89401347222</v>
      </c>
      <c r="D51" t="inlineStr">
        <is>
          <t>G1</t>
        </is>
      </c>
      <c r="E51" t="inlineStr">
        <is>
          <t>VENEZUELANOS</t>
        </is>
      </c>
      <c r="F51" t="inlineStr">
        <is>
          <t>RORAIMA</t>
        </is>
      </c>
      <c r="G51" t="inlineStr">
        <is>
          <t>G1 RR — BOA VISTA</t>
        </is>
      </c>
      <c r="H51" t="inlineStr">
        <is>
          <t>MIGRANTE VENEZUELANA APOSTA EM PRODUÇÃO DE COOKIES E FATURA R$ 2 MIL POR MÊS EM RORAIMA</t>
        </is>
      </c>
      <c r="I51" t="inlineStr">
        <is>
          <t>JESSICA RICHARDS É CONFEITEIRA E FEZ CURSO DE EMPREENDEDORISMO COM A ONG VISÃO MUNDIAL POR MEIO DO PROJETO VEN, TÚ PUEDES. OUTRAS 1,6 MIL PESSOAS PASSARAM POR CAPACITAÇÕES EMPREENDEDORAS PELO PROJETO.</t>
        </is>
      </c>
      <c r="J51" t="inlineStr"/>
      <c r="K51" t="n">
        <v>0</v>
      </c>
      <c r="L51" t="n">
        <v>1</v>
      </c>
      <c r="M51" t="n">
        <v>0</v>
      </c>
      <c r="N51" t="n">
        <v>0</v>
      </c>
      <c r="O51" t="n">
        <v>2</v>
      </c>
      <c r="P51">
        <f>HYPERLINK("https://g1.globo.com/rr/roraima/noticia/2022/08/05/migrante-venezuelana-aposta-em-producao-de-cookies-e-fatura-r-2-mil-por-mes-em-roraima.ghtml", "URL")</f>
        <v/>
      </c>
      <c r="Q51">
        <f>HYPERLINK("https://raw.githubusercontent.com/marcosmapl/dataset_imigrantes/main/materias_filtered/g1/venezuelanos/2022/07_ago/html/g1_baabbe6c-2311-11ed-b24f-6dbe51e79fca_2931.html", "HTML")</f>
        <v/>
      </c>
      <c r="R51">
        <f>HYPERLINK("https://raw.githubusercontent.com/marcosmapl/dataset_imigrantes/main/materias_filtered/g1/venezuelanos/2022/07_ago/txt/g1_baabbe6c-2311-11ed-b24f-6dbe51e79fca_2931.txt", "TXT")</f>
        <v/>
      </c>
    </row>
    <row r="52">
      <c r="A52" s="1" t="n">
        <v>50</v>
      </c>
      <c r="B52" t="n">
        <v>2022</v>
      </c>
      <c r="C52" s="2" t="n">
        <v>44778.69917738426</v>
      </c>
      <c r="D52" t="inlineStr">
        <is>
          <t>G1</t>
        </is>
      </c>
      <c r="E52" t="inlineStr">
        <is>
          <t>VENEZUELANOS</t>
        </is>
      </c>
      <c r="F52" t="inlineStr">
        <is>
          <t>MUNDO</t>
        </is>
      </c>
      <c r="G52" t="inlineStr">
        <is>
          <t>FRANCE PRESSE</t>
        </is>
      </c>
      <c r="H52" t="inlineStr">
        <is>
          <t>VENEZUELA EMITE MANDADO DE PRISÃO CONTRA JORNALISTA QUE VIVE NOS EUA POR 'APOLOGIA AO MAGNICÍDIO'; SAIBA O QUE ELA DISSE</t>
        </is>
      </c>
      <c r="I52" t="inlineStr">
        <is>
          <t>JORNALISTA COMENTAVA A MORTE DE AYMAN AL-ZAWAHIRI, O LÍDER DA AL-QAEDA, E DISSE O SEGUINTE: 'OS ESTADOS UNIDOS ENVIAM UM DRONE E DESAPARECEM COM ESTE HOMEM. E O QUE É QUE O VENEZUELANO DIZ NAS REDES SOCIAIS? POR QUE NÃO FAZEM O MESMO COM MADURO? E AQUI OBVIAMENTE NÃO ESTAMOS FAZENDO APOLOGIA AO SEU ASSASSINATO, MAS É UMA PERGUNTA VÁLIDA'.</t>
        </is>
      </c>
      <c r="J52" t="inlineStr"/>
      <c r="K52" t="n">
        <v>0</v>
      </c>
      <c r="L52" t="n">
        <v>2</v>
      </c>
      <c r="M52" t="n">
        <v>1</v>
      </c>
      <c r="N52" t="n">
        <v>0</v>
      </c>
      <c r="O52" t="n">
        <v>3</v>
      </c>
      <c r="P52">
        <f>HYPERLINK("https://g1.globo.com/mundo/noticia/2022/08/05/venezuela-emite-mandado-de-prisao-contra-jornalista-que-vive-nos-eua-por-apologia-ao-magnicidio-saiba-o-que-ela-disse.ghtml", "URL")</f>
        <v/>
      </c>
      <c r="Q52">
        <f>HYPERLINK("https://raw.githubusercontent.com/marcosmapl/dataset_imigrantes/main/materias_filtered/g1/venezuelanos/2022/07_ago/html/g1_8ce0ce3e-231e-11ed-b24f-6dbe51e79fca_3569.html", "HTML")</f>
        <v/>
      </c>
      <c r="R52">
        <f>HYPERLINK("https://raw.githubusercontent.com/marcosmapl/dataset_imigrantes/main/materias_filtered/g1/venezuelanos/2022/07_ago/txt/g1_8ce0ce3e-231e-11ed-b24f-6dbe51e79fca_3569.txt", "TXT")</f>
        <v/>
      </c>
    </row>
    <row r="53">
      <c r="A53" s="1" t="n">
        <v>51</v>
      </c>
      <c r="B53" t="n">
        <v>2022</v>
      </c>
      <c r="C53" s="2" t="n">
        <v>44778.63078805555</v>
      </c>
      <c r="D53" t="inlineStr">
        <is>
          <t>G1</t>
        </is>
      </c>
      <c r="E53" t="inlineStr">
        <is>
          <t>HAITIANOS</t>
        </is>
      </c>
      <c r="F53" t="inlineStr">
        <is>
          <t>RIO GRANDE DO SUL</t>
        </is>
      </c>
      <c r="G53" t="inlineStr">
        <is>
          <t>GABRIEL COSTA, RBS TV SANTA CRUZ DO SUL</t>
        </is>
      </c>
      <c r="H53" t="inlineStr">
        <is>
          <t>FAMÍLIA DE HAITIANOS DE ESTRELA PERDE R$ 30 MIL EM GOLPE TENTANDO TRAZER PARENTES PARA O BRASIL</t>
        </is>
      </c>
      <c r="I53" t="inlineStr">
        <is>
          <t>DE ACORDO COM A POLÍCIA, EM JULHO, ESTELIONATÁRIOS USARAM PERFIS FALSOS NAS REDES SOCIAIS PARA SE PASSAR POR UMA AGÊNCIA DE VIAGENS REAL DE CURITIBA E FICAR COM O DINHEIRO.</t>
        </is>
      </c>
      <c r="J53" t="inlineStr"/>
      <c r="K53" t="n">
        <v>0</v>
      </c>
      <c r="L53" t="n">
        <v>4</v>
      </c>
      <c r="M53" t="n">
        <v>0</v>
      </c>
      <c r="N53" t="n">
        <v>0</v>
      </c>
      <c r="O53" t="n">
        <v>2</v>
      </c>
      <c r="P53">
        <f>HYPERLINK("https://g1.globo.com/rs/rio-grande-do-sul/noticia/2022/08/05/familia-de-haitianos-de-estrela-perde-r-30-mil-em-golpe-tentando-trazer-familiares-para-o-brasil.ghtml", "URL")</f>
        <v/>
      </c>
      <c r="Q53">
        <f>HYPERLINK("https://raw.githubusercontent.com/marcosmapl/dataset_imigrantes/main/materias_filtered/g1/haitianos/2022/07_ago/html/g1_789baefe-22fa-11ed-b24f-6dbe51e79fca_2221.html", "HTML")</f>
        <v/>
      </c>
      <c r="R53">
        <f>HYPERLINK("https://raw.githubusercontent.com/marcosmapl/dataset_imigrantes/main/materias_filtered/g1/haitianos/2022/07_ago/txt/g1_789baefe-22fa-11ed-b24f-6dbe51e79fca_2221.txt", "TXT")</f>
        <v/>
      </c>
    </row>
    <row r="54">
      <c r="A54" s="1" t="n">
        <v>52</v>
      </c>
      <c r="B54" t="n">
        <v>2022</v>
      </c>
      <c r="C54" s="2" t="n">
        <v>44778.58406574074</v>
      </c>
      <c r="D54" t="inlineStr">
        <is>
          <t>G1</t>
        </is>
      </c>
      <c r="E54" t="inlineStr">
        <is>
          <t>VENEZUELANOS</t>
        </is>
      </c>
      <c r="F54" t="inlineStr">
        <is>
          <t>ACRE</t>
        </is>
      </c>
      <c r="G54" t="inlineStr">
        <is>
          <t>G1 AC — RIO BRANCO</t>
        </is>
      </c>
      <c r="H54" t="inlineStr">
        <is>
          <t>CRIANÇA DE 6 ANOS DÁ ENTRADA EM UPA DE RIO BRANCO COM SUSPEITA DE VARÍOLA DOS MACACOS</t>
        </is>
      </c>
      <c r="I54" t="inlineStr">
        <is>
          <t>A FAMÍLIA RELATA TER TIDO CONTATO COM  UM AMIGO QUE RETORNOU DE SÃO PAULO EM EVENTO RELIGIOSO NO MUNICÍPIO DE RIO BRANCO. CASO FOI DIVULGADO NESTA SEXTA-FEIRA (5).</t>
        </is>
      </c>
      <c r="J54" t="inlineStr"/>
      <c r="K54" t="n">
        <v>0</v>
      </c>
      <c r="L54" t="n">
        <v>2</v>
      </c>
      <c r="M54" t="n">
        <v>1</v>
      </c>
      <c r="N54" t="n">
        <v>0</v>
      </c>
      <c r="O54" t="n">
        <v>12</v>
      </c>
      <c r="P54">
        <f>HYPERLINK("https://g1.globo.com/ac/acre/noticia/2022/08/05/uma-crianca-de-6-anos-da-entrada-em-upa-de-rio-branco-com-suspeita-de-variola-dos-macacos.ghtml", "URL")</f>
        <v/>
      </c>
      <c r="Q54">
        <f>HYPERLINK("https://raw.githubusercontent.com/marcosmapl/dataset_imigrantes/main/materias_filtered/g1/venezuelanos/2022/07_ago/html/g1_098063d6-2311-11ed-b24f-6dbe51e79fca_2893.html", "HTML")</f>
        <v/>
      </c>
      <c r="R54">
        <f>HYPERLINK("https://raw.githubusercontent.com/marcosmapl/dataset_imigrantes/main/materias_filtered/g1/venezuelanos/2022/07_ago/txt/g1_098063d6-2311-11ed-b24f-6dbe51e79fca_2893.txt", "TXT")</f>
        <v/>
      </c>
    </row>
    <row r="55">
      <c r="A55" s="1" t="n">
        <v>53</v>
      </c>
      <c r="B55" t="n">
        <v>2022</v>
      </c>
      <c r="C55" s="2" t="n">
        <v>44778.41709040509</v>
      </c>
      <c r="D55" t="inlineStr">
        <is>
          <t>G1</t>
        </is>
      </c>
      <c r="E55" t="inlineStr">
        <is>
          <t>VENEZUELANOS</t>
        </is>
      </c>
      <c r="F55" t="inlineStr">
        <is>
          <t>RORAIMA</t>
        </is>
      </c>
      <c r="G55" t="inlineStr">
        <is>
          <t>G1 RR — BOA VISTA</t>
        </is>
      </c>
      <c r="H55" t="inlineStr">
        <is>
          <t>CÁRITAS LANÇA PROJETO PARA SERVIR REFEIÇÃO A REFUGIADOS E MIGRANTES VENEZUELANOS EM BOA VISTA</t>
        </is>
      </c>
      <c r="I55" t="inlineStr">
        <is>
          <t>PROJETO SUMAÚMA PREVÊ QUE 916 MIL REFEIÇÕES SERÃO SERVIDAS PARA UMA MÉDIA DE 6 MIL PESSOAS MIGRANTES VENEZUELANAS. PÚBLICO-ALVO DA INICIATIVA SÃO PESSOAS EM SITUAÇÃO DE RUA.</t>
        </is>
      </c>
      <c r="J55" t="inlineStr"/>
      <c r="K55" t="n">
        <v>0</v>
      </c>
      <c r="L55" t="n">
        <v>1</v>
      </c>
      <c r="M55" t="n">
        <v>0</v>
      </c>
      <c r="N55" t="n">
        <v>0</v>
      </c>
      <c r="O55" t="n">
        <v>1</v>
      </c>
      <c r="P55">
        <f>HYPERLINK("https://g1.globo.com/rr/roraima/noticia/2022/08/05/caritas-lanca-projeto-para-servir-refeicao-a-refugiados-e-migrantes-venezuelanos-em-boa-vista.ghtml", "URL")</f>
        <v/>
      </c>
      <c r="Q55">
        <f>HYPERLINK("https://raw.githubusercontent.com/marcosmapl/dataset_imigrantes/main/materias_filtered/g1/venezuelanos/2022/07_ago/html/g1_2876ecc8-2321-11ed-b24f-6dbe51e79fca_3682.html", "HTML")</f>
        <v/>
      </c>
      <c r="R55">
        <f>HYPERLINK("https://raw.githubusercontent.com/marcosmapl/dataset_imigrantes/main/materias_filtered/g1/venezuelanos/2022/07_ago/txt/g1_2876ecc8-2321-11ed-b24f-6dbe51e79fca_3682.txt", "TXT")</f>
        <v/>
      </c>
    </row>
    <row r="56">
      <c r="A56" s="1" t="n">
        <v>54</v>
      </c>
      <c r="B56" t="n">
        <v>2022</v>
      </c>
      <c r="C56" s="2" t="n">
        <v>44777.5675746875</v>
      </c>
      <c r="D56" t="inlineStr">
        <is>
          <t>G1</t>
        </is>
      </c>
      <c r="E56" t="inlineStr">
        <is>
          <t>VENEZUELANOS</t>
        </is>
      </c>
      <c r="F56" t="inlineStr">
        <is>
          <t>RORAIMA</t>
        </is>
      </c>
      <c r="G56" t="inlineStr">
        <is>
          <t>REDE AMAZÔNICA E G1 RR — BOA VISTA</t>
        </is>
      </c>
      <c r="H56" t="inlineStr">
        <is>
          <t>AERONAVE DE MILITARES VENEZUELANOS CAI NA TERRA INDÍGENA YANOMAMI EM RORAIMA</t>
        </is>
      </c>
      <c r="I56" t="inlineStr">
        <is>
          <t>INFORMAÇÃO FOI CONFIRMADA PELA POLÍCIA FEDERAL NESTA QUINTA-FEIRA (4). NÃO HOUVE FERIDOS.</t>
        </is>
      </c>
      <c r="J56" t="inlineStr"/>
      <c r="K56" t="n">
        <v>0</v>
      </c>
      <c r="L56" t="n">
        <v>1</v>
      </c>
      <c r="M56" t="n">
        <v>0</v>
      </c>
      <c r="N56" t="n">
        <v>0</v>
      </c>
      <c r="O56" t="n">
        <v>2</v>
      </c>
      <c r="P56">
        <f>HYPERLINK("https://g1.globo.com/rr/roraima/noticia/2022/08/04/aeronave-de-militares-venezuelanos-cai-na-terra-indigena-yanomami-em-roraima.ghtml", "URL")</f>
        <v/>
      </c>
      <c r="Q56">
        <f>HYPERLINK("https://raw.githubusercontent.com/marcosmapl/dataset_imigrantes/main/materias_filtered/g1/venezuelanos/2022/07_ago/html/g1_6eaf30e0-230f-11ed-b24f-6dbe51e79fca_2795.html", "HTML")</f>
        <v/>
      </c>
      <c r="R56">
        <f>HYPERLINK("https://raw.githubusercontent.com/marcosmapl/dataset_imigrantes/main/materias_filtered/g1/venezuelanos/2022/07_ago/txt/g1_6eaf30e0-230f-11ed-b24f-6dbe51e79fca_2795.txt", "TXT")</f>
        <v/>
      </c>
    </row>
    <row r="57">
      <c r="A57" s="1" t="n">
        <v>55</v>
      </c>
      <c r="B57" t="n">
        <v>2022</v>
      </c>
      <c r="C57" s="2" t="n">
        <v>44776.73666972222</v>
      </c>
      <c r="D57" t="inlineStr">
        <is>
          <t>G1</t>
        </is>
      </c>
      <c r="E57" t="inlineStr">
        <is>
          <t>VENEZUELANOS</t>
        </is>
      </c>
      <c r="F57" t="inlineStr">
        <is>
          <t>TOCANTINS</t>
        </is>
      </c>
      <c r="G57" t="inlineStr">
        <is>
          <t>G1 TOCANTINS</t>
        </is>
      </c>
      <c r="H57" t="inlineStr">
        <is>
          <t>VENDEDOR DE FRUTAS SE EMOCIONA AO ENTRAR EM CARRO DESTRUÍDO E DIZ QUE OFENSAS NÃO PODEM SER APAGADAS: 'A QUESTÃO É RACIAL'</t>
        </is>
      </c>
      <c r="I57" t="inlineStr">
        <is>
          <t>COMERCIANTE DE PALMAS TEVE O CARRO INCENDIADO NA AVENIDA TEOTÔNIO SEGURADO E PERDEU TODA A MERCADORIA. AGRESSOR TERIA FEITO AMEAÇAS UM DIA ANTES DO ATAQUE. AMIGOS ORGANIZARAM UMA VAQUINHA ONLINE PARA AJUDAR COM OS PREJUÍZOS.</t>
        </is>
      </c>
      <c r="J57" t="inlineStr"/>
      <c r="K57" t="n">
        <v>0</v>
      </c>
      <c r="L57" t="n">
        <v>2</v>
      </c>
      <c r="M57" t="n">
        <v>0</v>
      </c>
      <c r="N57" t="n">
        <v>0</v>
      </c>
      <c r="O57" t="n">
        <v>3</v>
      </c>
      <c r="P57">
        <f>HYPERLINK("https://g1.globo.com/to/tocantins/noticia/2022/08/03/vendedor-de-frutas-se-emociona-ao-entrar-em-carro-destruido-e-diz-que-ofensas-nao-podem-ser-apagadas-a-questao-e-racial.ghtml", "URL")</f>
        <v/>
      </c>
      <c r="Q57">
        <f>HYPERLINK("https://raw.githubusercontent.com/marcosmapl/dataset_imigrantes/main/materias_filtered/g1/venezuelanos/2022/07_ago/html/g1_a3f98374-2308-11ed-b24f-6dbe51e79fca_2394.html", "HTML")</f>
        <v/>
      </c>
      <c r="R57">
        <f>HYPERLINK("https://raw.githubusercontent.com/marcosmapl/dataset_imigrantes/main/materias_filtered/g1/venezuelanos/2022/07_ago/txt/g1_a3f98374-2308-11ed-b24f-6dbe51e79fca_2394.txt", "TXT")</f>
        <v/>
      </c>
    </row>
    <row r="58">
      <c r="A58" s="1" t="n">
        <v>56</v>
      </c>
      <c r="B58" t="n">
        <v>2022</v>
      </c>
      <c r="C58" s="2" t="n">
        <v>44776.64518518518</v>
      </c>
      <c r="D58" t="inlineStr">
        <is>
          <t>A CRITICA</t>
        </is>
      </c>
      <c r="E58" t="inlineStr">
        <is>
          <t>VENEZUELANOS</t>
        </is>
      </c>
      <c r="F58" t="inlineStr">
        <is>
          <t>ENTRETENIMENTO</t>
        </is>
      </c>
      <c r="G58" t="inlineStr">
        <is>
          <t>ACRITICA.COM</t>
        </is>
      </c>
      <c r="H58" t="inlineStr">
        <is>
          <t>CELEBRA FIRE NIGHT PROMOVE NOITE DE ADORAÇÃO COM CASA WORSHIP E OUTROS</t>
        </is>
      </c>
      <c r="I58" t="inlineStr">
        <is>
          <t>DE ACORDO COM O PRESIDENTE DA CHAMA CHURCH, RICHARD MATTOS, O CELEBRA FIRE NIGHT PROMETE IMPACTAR MUITAS FAMÍLIAS E ESTIMA QUE MAIS DE 1,5 MIL PESSOAS PARTICIPEM DA CELEBRAÇÃO</t>
        </is>
      </c>
      <c r="J58" t="inlineStr"/>
      <c r="K58" t="n">
        <v>0</v>
      </c>
      <c r="L58" t="n">
        <v>1</v>
      </c>
      <c r="M58" t="n">
        <v>0</v>
      </c>
      <c r="N58" t="n">
        <v>0</v>
      </c>
      <c r="O58" t="n">
        <v>1</v>
      </c>
      <c r="P58">
        <f>HYPERLINK("https://www.acritica.com/entretenimento/celebra-fire-night-promove-noite-de-adorac-o-com-casa-worship-e-outros-1.277702", "URL")</f>
        <v/>
      </c>
      <c r="Q58">
        <f>HYPERLINK("https://raw.githubusercontent.com/marcosmapl/dataset_imigrantes/main/materias_filtered/a_critica/venezuelanos/2022/07_ago/html/1.277702_347.html", "HTML")</f>
        <v/>
      </c>
      <c r="R58">
        <f>HYPERLINK("https://raw.githubusercontent.com/marcosmapl/dataset_imigrantes/main/materias_filtered/a_critica/venezuelanos/2022/07_ago/txt/1.277702_347.txt", "TXT")</f>
        <v/>
      </c>
    </row>
    <row r="59">
      <c r="A59" s="1" t="n">
        <v>57</v>
      </c>
      <c r="B59" t="n">
        <v>2022</v>
      </c>
      <c r="C59" s="2" t="n">
        <v>44776.59124100694</v>
      </c>
      <c r="D59" t="inlineStr">
        <is>
          <t>G1</t>
        </is>
      </c>
      <c r="E59" t="inlineStr">
        <is>
          <t>VENEZUELANOS</t>
        </is>
      </c>
      <c r="F59" t="inlineStr">
        <is>
          <t>AMAZONAS</t>
        </is>
      </c>
      <c r="G59" t="inlineStr">
        <is>
          <t>G1 AM</t>
        </is>
      </c>
      <c r="H59" t="inlineStr">
        <is>
          <t>MOTOCICLISTA VENEZUELANO MORRE EM ACIDENTE NA ZONA LESTE DE MANAUS</t>
        </is>
      </c>
      <c r="I59" t="inlineStr">
        <is>
          <t>HOMEM ERA MOTORISTA DE APLICATIVO E FAZIA UMA CORRIDA. PASSAGEIRO TAMBÉM FICOU FERIDO E FOI ENCAMINHADO PARA UM HOSPITAL DA CAPITAL</t>
        </is>
      </c>
      <c r="J59" t="inlineStr"/>
      <c r="K59" t="n">
        <v>0</v>
      </c>
      <c r="L59" t="n">
        <v>4</v>
      </c>
      <c r="M59" t="n">
        <v>0</v>
      </c>
      <c r="N59" t="n">
        <v>0</v>
      </c>
      <c r="O59" t="n">
        <v>2</v>
      </c>
      <c r="P59">
        <f>HYPERLINK("https://g1.globo.com/am/amazonas/noticia/2022/08/03/motociclista-venezuelano-morre-em-acidente-na-zona-leste-de-manaus.ghtml", "URL")</f>
        <v/>
      </c>
      <c r="Q59">
        <f>HYPERLINK("https://raw.githubusercontent.com/marcosmapl/dataset_imigrantes/main/materias_filtered/g1/venezuelanos/2022/07_ago/html/g1_f3c33362-2323-11ed-b24f-6dbe51e79fca_3838.html", "HTML")</f>
        <v/>
      </c>
      <c r="R59">
        <f>HYPERLINK("https://raw.githubusercontent.com/marcosmapl/dataset_imigrantes/main/materias_filtered/g1/venezuelanos/2022/07_ago/txt/g1_f3c33362-2323-11ed-b24f-6dbe51e79fca_3838.txt", "TXT")</f>
        <v/>
      </c>
    </row>
    <row r="60">
      <c r="A60" s="1" t="n">
        <v>58</v>
      </c>
      <c r="B60" t="n">
        <v>2022</v>
      </c>
      <c r="C60" s="2" t="n">
        <v>44775.82854130787</v>
      </c>
      <c r="D60" t="inlineStr">
        <is>
          <t>G1</t>
        </is>
      </c>
      <c r="E60" t="inlineStr">
        <is>
          <t>VENEZUELANOS</t>
        </is>
      </c>
      <c r="F60" t="inlineStr">
        <is>
          <t>RORAIMA</t>
        </is>
      </c>
      <c r="G60" t="inlineStr">
        <is>
          <t>G1 RR — BOA VISTA</t>
        </is>
      </c>
      <c r="H60" t="inlineStr">
        <is>
          <t>REFUGIADOS E MIGRANTES VENEZUELANOS SÃO INCLUÍDOS NO CENSO DEMOGRÁFICO 2022</t>
        </is>
      </c>
      <c r="I60" t="inlineStr">
        <is>
          <t>OIM E ACNUR REALIZAM A COLETA DE DADOS SOBRE A POPULAÇÃO REFUGIADA E MIGRANTE VENEZUELANA EM RORAIMA. O CENSO DEMOGRÁFICO 2022 COMEÇOU NESSA SEGUNDA-FEIRA (1º).</t>
        </is>
      </c>
      <c r="J60" t="inlineStr"/>
      <c r="K60" t="n">
        <v>0</v>
      </c>
      <c r="L60" t="n">
        <v>1</v>
      </c>
      <c r="M60" t="n">
        <v>0</v>
      </c>
      <c r="N60" t="n">
        <v>0</v>
      </c>
      <c r="O60" t="n">
        <v>12</v>
      </c>
      <c r="P60">
        <f>HYPERLINK("https://g1.globo.com/rr/roraima/noticia/2022/08/02/refugiados-e-migrantes-venezuelanos-sao-incluidos-no-censo-demografico-2022.ghtml", "URL")</f>
        <v/>
      </c>
      <c r="Q60">
        <f>HYPERLINK("https://raw.githubusercontent.com/marcosmapl/dataset_imigrantes/main/materias_filtered/g1/venezuelanos/2022/07_ago/html/g1_7d5610fe-231a-11ed-b24f-6dbe51e79fca_3338.html", "HTML")</f>
        <v/>
      </c>
      <c r="R60">
        <f>HYPERLINK("https://raw.githubusercontent.com/marcosmapl/dataset_imigrantes/main/materias_filtered/g1/venezuelanos/2022/07_ago/txt/g1_7d5610fe-231a-11ed-b24f-6dbe51e79fca_3338.txt", "TXT")</f>
        <v/>
      </c>
    </row>
    <row r="61">
      <c r="A61" s="1" t="n">
        <v>59</v>
      </c>
      <c r="B61" t="n">
        <v>2022</v>
      </c>
      <c r="C61" s="2" t="n">
        <v>44775.69272150463</v>
      </c>
      <c r="D61" t="inlineStr">
        <is>
          <t>G1</t>
        </is>
      </c>
      <c r="E61" t="inlineStr">
        <is>
          <t>VENEZUELANOS</t>
        </is>
      </c>
      <c r="F61" t="inlineStr">
        <is>
          <t>ACRE</t>
        </is>
      </c>
      <c r="G61" t="inlineStr">
        <is>
          <t>G1 AC — RIO BRANCO</t>
        </is>
      </c>
      <c r="H61" t="inlineStr">
        <is>
          <t>SAÚDE DESCARTA VARÍOLA DOS MACACOS EM DOIS IMIGRANTES QUE PASSARAM POR EXAMES NO AC</t>
        </is>
      </c>
      <c r="I61" t="inlineStr">
        <is>
          <t>SEGUEM EM INVESTIGAÇÃO DOIS CASOS DA DOENÇA, ENTRE ELES EM UMA CRIANÇA DE 3 ANOS. ESTADO TEM UM CASO CONFIRMADO DA DOENÇA.</t>
        </is>
      </c>
      <c r="J61" t="inlineStr"/>
      <c r="K61" t="n">
        <v>0</v>
      </c>
      <c r="L61" t="n">
        <v>2</v>
      </c>
      <c r="M61" t="n">
        <v>1</v>
      </c>
      <c r="N61" t="n">
        <v>0</v>
      </c>
      <c r="O61" t="n">
        <v>11</v>
      </c>
      <c r="P61">
        <f>HYPERLINK("https://g1.globo.com/ac/acre/noticia/2022/08/02/saude-descarta-variola-dos-macacos-em-dois-imigrantes-que-passaram-por-exames-no-ac.ghtml", "URL")</f>
        <v/>
      </c>
      <c r="Q61">
        <f>HYPERLINK("https://raw.githubusercontent.com/marcosmapl/dataset_imigrantes/main/materias_filtered/g1/venezuelanos/2022/07_ago/html/g1_447127a4-2326-11ed-b24f-6dbe51e79fca_3965.html", "HTML")</f>
        <v/>
      </c>
      <c r="R61">
        <f>HYPERLINK("https://raw.githubusercontent.com/marcosmapl/dataset_imigrantes/main/materias_filtered/g1/venezuelanos/2022/07_ago/txt/g1_447127a4-2326-11ed-b24f-6dbe51e79fca_3965.txt", "TXT")</f>
        <v/>
      </c>
    </row>
    <row r="62">
      <c r="A62" s="1" t="n">
        <v>60</v>
      </c>
      <c r="B62" t="n">
        <v>2022</v>
      </c>
      <c r="C62" s="2" t="n">
        <v>44774.84445663194</v>
      </c>
      <c r="D62" t="inlineStr">
        <is>
          <t>G1</t>
        </is>
      </c>
      <c r="E62" t="inlineStr">
        <is>
          <t>VENEZUELANOS</t>
        </is>
      </c>
      <c r="F62" t="inlineStr">
        <is>
          <t>SANTA CATARINA</t>
        </is>
      </c>
      <c r="G62" t="inlineStr">
        <is>
          <t>JOANA CALDAS, G1 SC</t>
        </is>
      </c>
      <c r="H62" t="inlineStr">
        <is>
          <t>BABÁS SUSPEITOS DE MATAR BEBÊ POR ESPANCAMENTO EM SC SÃO DENUNCIADOS</t>
        </is>
      </c>
      <c r="I62" t="inlineStr">
        <is>
          <t>HOMEM DE 21 ANOS E MULHER DE 20 DEVEM RESPONDER POR HOMICÍDIO TRIPLAMENTE QUALIFICADO. BEBÊ DE 3 MESES MORAVA EM CAÇADOR E MORREU EM 21 DE JULHO.</t>
        </is>
      </c>
      <c r="J62" t="inlineStr"/>
      <c r="K62" t="n">
        <v>0</v>
      </c>
      <c r="L62" t="n">
        <v>1</v>
      </c>
      <c r="M62" t="n">
        <v>0</v>
      </c>
      <c r="N62" t="n">
        <v>0</v>
      </c>
      <c r="O62" t="n">
        <v>10</v>
      </c>
      <c r="P62">
        <f>HYPERLINK("https://g1.globo.com/sc/santa-catarina/noticia/2022/08/01/babas-suspeitos-de-matar-bebe-por-espancamento-em-sc-sao-denunciados.ghtml", "URL")</f>
        <v/>
      </c>
      <c r="Q62">
        <f>HYPERLINK("https://raw.githubusercontent.com/marcosmapl/dataset_imigrantes/main/materias_filtered/g1/venezuelanos/2022/07_ago/html/g1_05cb8eca-2314-11ed-b24f-6dbe51e79fca_3040.html", "HTML")</f>
        <v/>
      </c>
      <c r="R62">
        <f>HYPERLINK("https://raw.githubusercontent.com/marcosmapl/dataset_imigrantes/main/materias_filtered/g1/venezuelanos/2022/07_ago/txt/g1_05cb8eca-2314-11ed-b24f-6dbe51e79fca_3040.txt", "TXT")</f>
        <v/>
      </c>
    </row>
    <row r="63">
      <c r="A63" s="1" t="n">
        <v>61</v>
      </c>
      <c r="B63" t="n">
        <v>2022</v>
      </c>
      <c r="C63" s="2" t="n">
        <v>44774.80778474537</v>
      </c>
      <c r="D63" t="inlineStr">
        <is>
          <t>G1</t>
        </is>
      </c>
      <c r="E63" t="inlineStr">
        <is>
          <t>VENEZUELANOS</t>
        </is>
      </c>
      <c r="F63" t="inlineStr">
        <is>
          <t>BAURU E MARÍLIA</t>
        </is>
      </c>
      <c r="G63" t="inlineStr">
        <is>
          <t>G1 BAURU E MARÍLIA</t>
        </is>
      </c>
      <c r="H63" t="inlineStr">
        <is>
          <t>HOMEM É MULTADO EM MAIS DE R$ 30 MIL POR MANTER PÁSSAROS EXÓTICOS E AMEAÇADOS DE EXTINÇÃO EM CATIVEIRO EM MINEIROS DO TIETÊ</t>
        </is>
      </c>
      <c r="I63" t="inlineStr">
        <is>
          <t>POLICIAIS AINDA ENCONTRARAM CINCO PÁSSARO DA ESPÉCIE PINTASSILGO DA VENEZUELA. ESSA AVE, ALÉM DE EXÓTICA, ESTÁ AMEAÇADA DE EXTINÇÃO. APREENSÃO FOI NO DOMINGO (31).</t>
        </is>
      </c>
      <c r="J63" t="inlineStr"/>
      <c r="K63" t="n">
        <v>0</v>
      </c>
      <c r="L63" t="n">
        <v>4</v>
      </c>
      <c r="M63" t="n">
        <v>0</v>
      </c>
      <c r="N63" t="n">
        <v>0</v>
      </c>
      <c r="O63" t="n">
        <v>4</v>
      </c>
      <c r="P63">
        <f>HYPERLINK("https://g1.globo.com/sp/bauru-marilia/noticia/2022/08/01/homem-e-multado-em-mais-de-r-30-mil-por-manter-passaros-exoticos-e-ameacados-de-extincao-em-cativeiro-em-mineiros-do-tiete.ghtml", "URL")</f>
        <v/>
      </c>
      <c r="Q63">
        <f>HYPERLINK("https://raw.githubusercontent.com/marcosmapl/dataset_imigrantes/main/materias_filtered/g1/venezuelanos/2022/07_ago/html/g1_1027e5d0-2323-11ed-b24f-6dbe51e79fca_3785.html", "HTML")</f>
        <v/>
      </c>
      <c r="R63">
        <f>HYPERLINK("https://raw.githubusercontent.com/marcosmapl/dataset_imigrantes/main/materias_filtered/g1/venezuelanos/2022/07_ago/txt/g1_1027e5d0-2323-11ed-b24f-6dbe51e79fca_3785.txt", "TXT")</f>
        <v/>
      </c>
    </row>
    <row r="64">
      <c r="A64" s="1" t="n">
        <v>62</v>
      </c>
      <c r="B64" t="n">
        <v>2022</v>
      </c>
      <c r="C64" s="2" t="n">
        <v>44773.5003453125</v>
      </c>
      <c r="D64" t="inlineStr">
        <is>
          <t>G1</t>
        </is>
      </c>
      <c r="E64" t="inlineStr">
        <is>
          <t>VENEZUELANOS</t>
        </is>
      </c>
      <c r="F64" t="inlineStr">
        <is>
          <t>ACRE</t>
        </is>
      </c>
      <c r="G64" t="inlineStr">
        <is>
          <t>G1 AC — RIO BRANCO</t>
        </is>
      </c>
      <c r="H64" t="inlineStr">
        <is>
          <t>VOCÊ VIU? ACIDENTE DEIXA CINCO MORTOS NA BR-317, INCÊNDIO DESTRÓI LOJA AGROPECUÁRIA, CAVALGADA E MAIS</t>
        </is>
      </c>
      <c r="I64" t="inlineStr">
        <is>
          <t>REVEJA ALGUMAS DAS MATÉRIAS PUBLICADAS NO G1 ACRE NA SEMANA DE 25 A 30 DE JULHO.</t>
        </is>
      </c>
      <c r="J64" t="inlineStr"/>
      <c r="K64" t="n">
        <v>0</v>
      </c>
      <c r="L64" t="n">
        <v>2</v>
      </c>
      <c r="M64" t="n">
        <v>0</v>
      </c>
      <c r="N64" t="n">
        <v>0</v>
      </c>
      <c r="O64" t="n">
        <v>26</v>
      </c>
      <c r="P64">
        <f>HYPERLINK("https://g1.globo.com/ac/acre/noticia/2022/07/31/voce-viu-acidente-deixa-cinco-mortos-na-br-317-incendio-destroi-loja-agropecuaria-cavalgada-e-mais.ghtml", "URL")</f>
        <v/>
      </c>
      <c r="Q64">
        <f>HYPERLINK("https://raw.githubusercontent.com/marcosmapl/dataset_imigrantes/main/materias_filtered/g1/venezuelanos/2022/06_jul/html/g1_64f5dd20-2309-11ed-b24f-6dbe51e79fca_2441.html", "HTML")</f>
        <v/>
      </c>
      <c r="R64">
        <f>HYPERLINK("https://raw.githubusercontent.com/marcosmapl/dataset_imigrantes/main/materias_filtered/g1/venezuelanos/2022/06_jul/txt/g1_64f5dd20-2309-11ed-b24f-6dbe51e79fca_2441.txt", "TXT")</f>
        <v/>
      </c>
    </row>
    <row r="65">
      <c r="A65" s="1" t="n">
        <v>63</v>
      </c>
      <c r="B65" t="n">
        <v>2022</v>
      </c>
      <c r="C65" s="2" t="n">
        <v>44773.40611111111</v>
      </c>
      <c r="D65" t="inlineStr">
        <is>
          <t>A CRITICA</t>
        </is>
      </c>
      <c r="E65" t="inlineStr">
        <is>
          <t>VENEZUELANOS</t>
        </is>
      </c>
      <c r="F65" t="inlineStr">
        <is>
          <t>POLICIA</t>
        </is>
      </c>
      <c r="G65" t="inlineStr">
        <is>
          <t>ACRITICA.COM</t>
        </is>
      </c>
      <c r="H65" t="inlineStr">
        <is>
          <t>CORPO ESQUARTEJADO É ACHADO EM SACOLAS DE PLÁSTICO NO CENTRO</t>
        </is>
      </c>
      <c r="I65" t="inlineStr">
        <is>
          <t>DELEGACIA ESPECIALIZADA EM HOMICÍDIOS LIDA COM HIPÓTESE DE QUE O CORPO SEJA DE UM VENEZUELANO</t>
        </is>
      </c>
      <c r="J65" t="inlineStr">
        <is>
          <t>CENTRO DE MANAUS, CORPO, ESQUATEJADO, SACOLAS</t>
        </is>
      </c>
      <c r="K65" t="n">
        <v>4</v>
      </c>
      <c r="L65" t="n">
        <v>1</v>
      </c>
      <c r="M65" t="n">
        <v>0</v>
      </c>
      <c r="N65" t="n">
        <v>0</v>
      </c>
      <c r="O65" t="n">
        <v>4</v>
      </c>
      <c r="P65">
        <f>HYPERLINK("https://www.acritica.com/policia/corpo-esquartejado-e-achado-em-sacolas-de-plastico-no-centro-1.277391", "URL")</f>
        <v/>
      </c>
      <c r="Q65">
        <f>HYPERLINK("https://raw.githubusercontent.com/marcosmapl/dataset_imigrantes/main/materias_filtered/a_critica/venezuelanos/2022/06_jul/html/1.277391_969.html", "HTML")</f>
        <v/>
      </c>
      <c r="R65">
        <f>HYPERLINK("https://raw.githubusercontent.com/marcosmapl/dataset_imigrantes/main/materias_filtered/a_critica/venezuelanos/2022/06_jul/txt/1.277391_969.txt", "TXT")</f>
        <v/>
      </c>
    </row>
    <row r="66">
      <c r="A66" s="1" t="n">
        <v>64</v>
      </c>
      <c r="B66" t="n">
        <v>2022</v>
      </c>
      <c r="C66" s="2" t="n">
        <v>44773.36090277778</v>
      </c>
      <c r="D66" t="inlineStr">
        <is>
          <t>A CRITICA</t>
        </is>
      </c>
      <c r="E66" t="inlineStr">
        <is>
          <t>VENEZUELANOS</t>
        </is>
      </c>
      <c r="F66" t="inlineStr">
        <is>
          <t>GERAL</t>
        </is>
      </c>
      <c r="G66" t="inlineStr">
        <is>
          <t>AGÊNCIA BRASIL</t>
        </is>
      </c>
      <c r="H66" t="inlineStr">
        <is>
          <t>IBGE LANÇA, NESTA SEGUNDA-FEIRA, O CENSO 2022</t>
        </is>
      </c>
      <c r="I66" t="inlineStr">
        <is>
          <t>O 13º CENSO DEMOGRÁFICO DO BRASIL SERÁ REALIZADO DURANTE DOIS MESES E MEIO</t>
        </is>
      </c>
      <c r="J66" t="inlineStr">
        <is>
          <t>CENSO 2022, CONTAGEM POPULACIONAL, IBGE, LANÇAMENTO</t>
        </is>
      </c>
      <c r="K66" t="n">
        <v>4</v>
      </c>
      <c r="L66" t="n">
        <v>1</v>
      </c>
      <c r="M66" t="n">
        <v>0</v>
      </c>
      <c r="N66" t="n">
        <v>0</v>
      </c>
      <c r="O66" t="n">
        <v>4</v>
      </c>
      <c r="P66">
        <f>HYPERLINK("https://www.acritica.com/geral/ibge-lanca-nesta-segunda-feira-o-censo-2022-1.277389", "URL")</f>
        <v/>
      </c>
      <c r="Q66">
        <f>HYPERLINK("https://raw.githubusercontent.com/marcosmapl/dataset_imigrantes/main/materias_filtered/a_critica/venezuelanos/2022/06_jul/html/1.277389_1194.html", "HTML")</f>
        <v/>
      </c>
      <c r="R66">
        <f>HYPERLINK("https://raw.githubusercontent.com/marcosmapl/dataset_imigrantes/main/materias_filtered/a_critica/venezuelanos/2022/06_jul/txt/1.277389_1194.txt", "TXT")</f>
        <v/>
      </c>
    </row>
    <row r="67">
      <c r="A67" s="1" t="n">
        <v>65</v>
      </c>
      <c r="B67" t="n">
        <v>2022</v>
      </c>
      <c r="C67" s="2" t="n">
        <v>44772.73916791667</v>
      </c>
      <c r="D67" t="inlineStr">
        <is>
          <t>G1</t>
        </is>
      </c>
      <c r="E67" t="inlineStr">
        <is>
          <t>VENEZUELANOS</t>
        </is>
      </c>
      <c r="F67" t="inlineStr">
        <is>
          <t>ACRE</t>
        </is>
      </c>
      <c r="G67" t="inlineStr">
        <is>
          <t>JANINE BRASIL, G1 AC — RIO BRANCO</t>
        </is>
      </c>
      <c r="H67" t="inlineStr">
        <is>
          <t>EM RIO BRANCO, FAMÍLIA VENEZUELANA BUSCA ATENDIMENTO EM UPA COM SUSPEITA DE VARÍOLA DOS MACACOS</t>
        </is>
      </c>
      <c r="I67" t="inlineStr">
        <is>
          <t>PAI, MÃE E UMA CRIANÇA FORAM ATÉ A UPA DA SOBRAL, NA CAPITAL ACREANA, NESSA SEXTA-FEIRA (29), PARA FAZER EXAMES. ESTADO INFORMOU QUE APENAS A MULHER E O FILHO APRESENTAM SINTOMAS DA DOENÇA.</t>
        </is>
      </c>
      <c r="J67" t="inlineStr"/>
      <c r="K67" t="n">
        <v>0</v>
      </c>
      <c r="L67" t="n">
        <v>2</v>
      </c>
      <c r="M67" t="n">
        <v>1</v>
      </c>
      <c r="N67" t="n">
        <v>0</v>
      </c>
      <c r="O67" t="n">
        <v>11</v>
      </c>
      <c r="P67">
        <f>HYPERLINK("https://g1.globo.com/ac/acre/noticia/2022/07/30/em-rio-branco-familia-venezuelana-busca-atendimento-em-upa-com-suspeita-de-variola-dos-macacos.ghtml", "URL")</f>
        <v/>
      </c>
      <c r="Q67">
        <f>HYPERLINK("https://raw.githubusercontent.com/marcosmapl/dataset_imigrantes/main/materias_filtered/g1/venezuelanos/2022/06_jul/html/g1_65993276-231e-11ed-b24f-6dbe51e79fca_3559.html", "HTML")</f>
        <v/>
      </c>
      <c r="R67">
        <f>HYPERLINK("https://raw.githubusercontent.com/marcosmapl/dataset_imigrantes/main/materias_filtered/g1/venezuelanos/2022/06_jul/txt/g1_65993276-231e-11ed-b24f-6dbe51e79fca_3559.txt", "TXT")</f>
        <v/>
      </c>
    </row>
    <row r="68">
      <c r="A68" s="1" t="n">
        <v>66</v>
      </c>
      <c r="B68" t="n">
        <v>2022</v>
      </c>
      <c r="C68" s="2" t="n">
        <v>44771.6820196875</v>
      </c>
      <c r="D68" t="inlineStr">
        <is>
          <t>G1</t>
        </is>
      </c>
      <c r="E68" t="inlineStr">
        <is>
          <t>VENEZUELANOS</t>
        </is>
      </c>
      <c r="F68" t="inlineStr">
        <is>
          <t>MUNDO</t>
        </is>
      </c>
      <c r="G68" t="inlineStr">
        <is>
          <t>REUTERS</t>
        </is>
      </c>
      <c r="H68" t="inlineStr">
        <is>
          <t>JUSTIÇA DE LONDRES DECIDE CONTRA MADURO EM BATALHA POR US$1 BILHÃO EM OURO</t>
        </is>
      </c>
      <c r="I68" t="inlineStr">
        <is>
          <t>FOI A MAIS RECENTE VITÓRIA DE JUAN GUAIDÓ, QUE VENCEU UMA SÉRIE DE CONFRONTOS JURÍDICOS SOBRE O OURO DEPOIS QUE O GOVERNO BRITÂNICO O RECONHECEU, EM VEZ DE MADURO, COMO PRESIDENTE DA VENEZUELA.</t>
        </is>
      </c>
      <c r="J68" t="inlineStr"/>
      <c r="K68" t="n">
        <v>0</v>
      </c>
      <c r="L68" t="n">
        <v>2</v>
      </c>
      <c r="M68" t="n">
        <v>1</v>
      </c>
      <c r="N68" t="n">
        <v>0</v>
      </c>
      <c r="O68" t="n">
        <v>3</v>
      </c>
      <c r="P68">
        <f>HYPERLINK("https://g1.globo.com/mundo/noticia/2022/07/29/justica-de-londres-decide-contra-maduro-em-batalha-por-us-1-bilhao-em-ouro.ghtml", "URL")</f>
        <v/>
      </c>
      <c r="Q68">
        <f>HYPERLINK("https://raw.githubusercontent.com/marcosmapl/dataset_imigrantes/main/materias_filtered/g1/venezuelanos/2022/06_jul/html/g1_7f705376-2311-11ed-b24f-6dbe51e79fca_2918.html", "HTML")</f>
        <v/>
      </c>
      <c r="R68">
        <f>HYPERLINK("https://raw.githubusercontent.com/marcosmapl/dataset_imigrantes/main/materias_filtered/g1/venezuelanos/2022/06_jul/txt/g1_7f705376-2311-11ed-b24f-6dbe51e79fca_2918.txt", "TXT")</f>
        <v/>
      </c>
    </row>
    <row r="69">
      <c r="A69" s="1" t="n">
        <v>67</v>
      </c>
      <c r="B69" t="n">
        <v>2022</v>
      </c>
      <c r="C69" s="2" t="n">
        <v>44771.56056662037</v>
      </c>
      <c r="D69" t="inlineStr">
        <is>
          <t>G1</t>
        </is>
      </c>
      <c r="E69" t="inlineStr">
        <is>
          <t>VENEZUELANOS</t>
        </is>
      </c>
      <c r="F69" t="inlineStr">
        <is>
          <t>RORAIMA</t>
        </is>
      </c>
      <c r="G69" t="inlineStr">
        <is>
          <t>G1 RR — BOA VISTA</t>
        </is>
      </c>
      <c r="H69" t="inlineStr">
        <is>
          <t>JOVEM É ASSASSINADO A FACADAS POR AMIGO NA FRENTE DE CASA EM BOA VISTA</t>
        </is>
      </c>
      <c r="I69" t="inlineStr">
        <is>
          <t>VÍTIMA ERA BRAYAN JOSE MENDOZA MENDOZA E TINHA 21 ANOS. SUSPEITO FUGIU, MAS DISSE QUE O AMIGO ERA AMIGO DOS INIMIGOS DELE.</t>
        </is>
      </c>
      <c r="J69" t="inlineStr"/>
      <c r="K69" t="n">
        <v>0</v>
      </c>
      <c r="L69" t="n">
        <v>1</v>
      </c>
      <c r="M69" t="n">
        <v>0</v>
      </c>
      <c r="N69" t="n">
        <v>0</v>
      </c>
      <c r="O69" t="n">
        <v>1</v>
      </c>
      <c r="P69">
        <f>HYPERLINK("https://g1.globo.com/rr/roraima/noticia/2022/07/29/jovem-e-assassinado-a-facadas-por-amigo-na-frente-de-casa-em-boa-vista.ghtml", "URL")</f>
        <v/>
      </c>
      <c r="Q69">
        <f>HYPERLINK("https://raw.githubusercontent.com/marcosmapl/dataset_imigrantes/main/materias_filtered/g1/venezuelanos/2022/06_jul/html/g1_12529f42-232a-11ed-b24f-6dbe51e79fca_4155.html", "HTML")</f>
        <v/>
      </c>
      <c r="R69">
        <f>HYPERLINK("https://raw.githubusercontent.com/marcosmapl/dataset_imigrantes/main/materias_filtered/g1/venezuelanos/2022/06_jul/txt/g1_12529f42-232a-11ed-b24f-6dbe51e79fca_4155.txt", "TXT")</f>
        <v/>
      </c>
    </row>
    <row r="70">
      <c r="A70" s="1" t="n">
        <v>68</v>
      </c>
      <c r="B70" t="n">
        <v>2022</v>
      </c>
      <c r="C70" s="2" t="n">
        <v>44770.7959375</v>
      </c>
      <c r="D70" t="inlineStr">
        <is>
          <t>A CRITICA</t>
        </is>
      </c>
      <c r="E70" t="inlineStr">
        <is>
          <t>VENEZUELANOS</t>
        </is>
      </c>
      <c r="F70" t="inlineStr">
        <is>
          <t>POLICIA</t>
        </is>
      </c>
      <c r="G70" t="inlineStr">
        <is>
          <t>THIAGO MONTEIRO</t>
        </is>
      </c>
      <c r="H70" t="inlineStr">
        <is>
          <t>DUPLA É PRESA PELO ASSASSINATO DE IRMÃOS VENEZUELANOS EM PRESIDENTE FIGUEIREDO</t>
        </is>
      </c>
      <c r="I70" t="inlineStr">
        <is>
          <t>YAGO REIS COELHO, 30, E MURILO RÔMULO MELO MARTINS, 22, FORAM PRESOS POR ENVOLVIMENTO NO DUPLO HOMICÍDIO QUALIFICADO DOS IRMÃOS VENEZUELANOS ABRAHAM MANUEL HERNANDEZ ARMAS, 25, E ISAAC DAVI HERNANDES ARMAS, 23</t>
        </is>
      </c>
      <c r="J70" t="inlineStr"/>
      <c r="K70" t="n">
        <v>0</v>
      </c>
      <c r="L70" t="n">
        <v>1</v>
      </c>
      <c r="M70" t="n">
        <v>0</v>
      </c>
      <c r="N70" t="n">
        <v>0</v>
      </c>
      <c r="O70" t="n">
        <v>0</v>
      </c>
      <c r="P70">
        <f>HYPERLINK("https://www.acritica.com/policia/dupla-e-presa-pelo-assassinato-de-irm-os-venezuelanos-em-presidente-figueiredo-1.277198", "URL")</f>
        <v/>
      </c>
      <c r="Q70">
        <f>HYPERLINK("https://raw.githubusercontent.com/marcosmapl/dataset_imigrantes/main/materias_filtered/a_critica/venezuelanos/2022/06_jul/html/1.277198_133.html", "HTML")</f>
        <v/>
      </c>
      <c r="R70">
        <f>HYPERLINK("https://raw.githubusercontent.com/marcosmapl/dataset_imigrantes/main/materias_filtered/a_critica/venezuelanos/2022/06_jul/txt/1.277198_133.txt", "TXT")</f>
        <v/>
      </c>
    </row>
    <row r="71">
      <c r="A71" s="1" t="n">
        <v>69</v>
      </c>
      <c r="B71" t="n">
        <v>2022</v>
      </c>
      <c r="C71" s="2" t="n">
        <v>44770.76127194444</v>
      </c>
      <c r="D71" t="inlineStr">
        <is>
          <t>G1</t>
        </is>
      </c>
      <c r="E71" t="inlineStr">
        <is>
          <t>VENEZUELANOS</t>
        </is>
      </c>
      <c r="F71" t="inlineStr">
        <is>
          <t>RORAIMA</t>
        </is>
      </c>
      <c r="G71" t="inlineStr">
        <is>
          <t>G1 RR — BOA VISTA</t>
        </is>
      </c>
      <c r="H71" t="inlineStr">
        <is>
          <t>ATOR KLEBBER TOLEDO VISITA ABRIGOS PARA REFUGIADOS VENEZUELANOS EM BOA VISTA</t>
        </is>
      </c>
      <c r="I71" t="inlineStr">
        <is>
          <t>ARTISTA DISSE QUE CHEGOU EM RORAIMA NESTA MADRUGADA APÓS TER O VOO CANCELADO. ELE ESTEVE NO ABRIGO INDÍGENA WARAO, LOCALIZADO NO BAIRRO TREZE DE SETEMBRO.</t>
        </is>
      </c>
      <c r="J71" t="inlineStr"/>
      <c r="K71" t="n">
        <v>0</v>
      </c>
      <c r="L71" t="n">
        <v>2</v>
      </c>
      <c r="M71" t="n">
        <v>0</v>
      </c>
      <c r="N71" t="n">
        <v>0</v>
      </c>
      <c r="O71" t="n">
        <v>3</v>
      </c>
      <c r="P71">
        <f>HYPERLINK("https://g1.globo.com/rr/roraima/noticia/2022/07/28/ator-klebber-toledo-visita-abrigos-para-refugiados-venezuelanos-em-boa-vista.ghtml", "URL")</f>
        <v/>
      </c>
      <c r="Q71">
        <f>HYPERLINK("https://raw.githubusercontent.com/marcosmapl/dataset_imigrantes/main/materias_filtered/g1/venezuelanos/2022/06_jul/html/g1_4df720f8-2317-11ed-b24f-6dbe51e79fca_3199.html", "HTML")</f>
        <v/>
      </c>
      <c r="R71">
        <f>HYPERLINK("https://raw.githubusercontent.com/marcosmapl/dataset_imigrantes/main/materias_filtered/g1/venezuelanos/2022/06_jul/txt/g1_4df720f8-2317-11ed-b24f-6dbe51e79fca_3199.txt", "TXT")</f>
        <v/>
      </c>
    </row>
    <row r="72">
      <c r="A72" s="1" t="n">
        <v>70</v>
      </c>
      <c r="B72" t="n">
        <v>2022</v>
      </c>
      <c r="C72" s="2" t="n">
        <v>44770.73092644676</v>
      </c>
      <c r="D72" t="inlineStr">
        <is>
          <t>G1</t>
        </is>
      </c>
      <c r="E72" t="inlineStr">
        <is>
          <t>VENEZUELANOS</t>
        </is>
      </c>
      <c r="F72" t="inlineStr">
        <is>
          <t>MUNDO</t>
        </is>
      </c>
      <c r="G72" t="inlineStr">
        <is>
          <t>FRANCE PRESSE</t>
        </is>
      </c>
      <c r="H72" t="inlineStr">
        <is>
          <t>ACIDENTE NA NICARÁGUA DEIXA 16 MORTOS, A MAIORIA VENEZUELANOS</t>
        </is>
      </c>
      <c r="I72" t="inlineStr">
        <is>
          <t>ENTRE AS VÍTIMAS ESTÃO 5 MULHERES E 11 HOMENS. O INCIDENTE OCORREU NA ÁREA CONHECIDA COMO CUCAMONGA</t>
        </is>
      </c>
      <c r="J72" t="inlineStr"/>
      <c r="K72" t="n">
        <v>0</v>
      </c>
      <c r="L72" t="n">
        <v>2</v>
      </c>
      <c r="M72" t="n">
        <v>0</v>
      </c>
      <c r="N72" t="n">
        <v>0</v>
      </c>
      <c r="O72" t="n">
        <v>0</v>
      </c>
      <c r="P72">
        <f>HYPERLINK("https://g1.globo.com/mundo/noticia/2022/07/28/acidente-na-nicaragua-deixa-mortos-a-maioria-venezuelanos.ghtml", "URL")</f>
        <v/>
      </c>
      <c r="Q72">
        <f>HYPERLINK("https://raw.githubusercontent.com/marcosmapl/dataset_imigrantes/main/materias_filtered/g1/venezuelanos/2022/06_jul/html/g1_3a2a6d5e-232c-11ed-b24f-6dbe51e79fca_4292.html", "HTML")</f>
        <v/>
      </c>
      <c r="R72">
        <f>HYPERLINK("https://raw.githubusercontent.com/marcosmapl/dataset_imigrantes/main/materias_filtered/g1/venezuelanos/2022/06_jul/txt/g1_3a2a6d5e-232c-11ed-b24f-6dbe51e79fca_4292.txt", "TXT")</f>
        <v/>
      </c>
    </row>
    <row r="73">
      <c r="A73" s="1" t="n">
        <v>71</v>
      </c>
      <c r="B73" t="n">
        <v>2022</v>
      </c>
      <c r="C73" s="2" t="n">
        <v>44769.94017686343</v>
      </c>
      <c r="D73" t="inlineStr">
        <is>
          <t>G1</t>
        </is>
      </c>
      <c r="E73" t="inlineStr">
        <is>
          <t>VENEZUELANOS</t>
        </is>
      </c>
      <c r="F73" t="inlineStr">
        <is>
          <t>AMAZONAS</t>
        </is>
      </c>
      <c r="G73" t="inlineStr">
        <is>
          <t>G1 AM</t>
        </is>
      </c>
      <c r="H73" t="inlineStr">
        <is>
          <t>VENEZUELANOS SÃO MORTOS A TIROS NA GRUTA DO RAIO EM PRESIDENTE FIGUEIREDO, NO AM</t>
        </is>
      </c>
      <c r="I73" t="inlineStr">
        <is>
          <t>SUSPEITOS DE COMETEREM O CRIME FUGIRAM DO LOCAL E NÃO FORAM LOCALIZADOS PELA POLÍCIA.</t>
        </is>
      </c>
      <c r="J73" t="inlineStr"/>
      <c r="K73" t="n">
        <v>0</v>
      </c>
      <c r="L73" t="n">
        <v>4</v>
      </c>
      <c r="M73" t="n">
        <v>0</v>
      </c>
      <c r="N73" t="n">
        <v>0</v>
      </c>
      <c r="O73" t="n">
        <v>1</v>
      </c>
      <c r="P73">
        <f>HYPERLINK("https://g1.globo.com/am/amazonas/noticia/2022/07/27/venezuelanos-sao-mortos-a-tiros-na-gruta-do-raio-em-presidente-figueiredo-no-am.ghtml", "URL")</f>
        <v/>
      </c>
      <c r="Q73">
        <f>HYPERLINK("https://raw.githubusercontent.com/marcosmapl/dataset_imigrantes/main/materias_filtered/g1/venezuelanos/2022/06_jul/html/g1_aa8b5252-2313-11ed-b24f-6dbe51e79fca_3020.html", "HTML")</f>
        <v/>
      </c>
      <c r="R73">
        <f>HYPERLINK("https://raw.githubusercontent.com/marcosmapl/dataset_imigrantes/main/materias_filtered/g1/venezuelanos/2022/06_jul/txt/g1_aa8b5252-2313-11ed-b24f-6dbe51e79fca_3020.txt", "TXT")</f>
        <v/>
      </c>
    </row>
    <row r="74">
      <c r="A74" s="1" t="n">
        <v>72</v>
      </c>
      <c r="B74" t="n">
        <v>2022</v>
      </c>
      <c r="C74" s="2" t="n">
        <v>44769.58802083333</v>
      </c>
      <c r="D74" t="inlineStr">
        <is>
          <t>A CRITICA</t>
        </is>
      </c>
      <c r="E74" t="inlineStr">
        <is>
          <t>VENEZUELANOS</t>
        </is>
      </c>
      <c r="F74" t="inlineStr">
        <is>
          <t>POLICIA</t>
        </is>
      </c>
      <c r="G74" t="inlineStr">
        <is>
          <t>THIAGO MONTEIRO</t>
        </is>
      </c>
      <c r="H74" t="inlineStr">
        <is>
          <t>OITO SÃO INVESTIGADOS POR ENVOLVIMENTO NO DUPLO HOMICÍDIO DE VENEZUELANOS EM PRESIDENTE FIGUEIREDO</t>
        </is>
      </c>
      <c r="I74" t="inlineStr">
        <is>
          <t>OS IRMÃOS VENEZUELANOS ABRAHAM MANUEL HERNANDES ARMAS E ISAAC DAVI HERNANDES ARMAS, AMBOS COM 23 ANOS, FORAM MORTOS ONTEM (26), NO BAIRRO AILDA MENDONÇA, NO MUNICÍPIO</t>
        </is>
      </c>
      <c r="J74" t="inlineStr"/>
      <c r="K74" t="n">
        <v>0</v>
      </c>
      <c r="L74" t="n">
        <v>1</v>
      </c>
      <c r="M74" t="n">
        <v>0</v>
      </c>
      <c r="N74" t="n">
        <v>0</v>
      </c>
      <c r="O74" t="n">
        <v>0</v>
      </c>
      <c r="P74">
        <f>HYPERLINK("https://www.acritica.com/policia/oito-s-o-investigados-por-envolvimento-no-duplo-homicidio-de-venezuelanos-em-presidente-figueiredo-1.277055", "URL")</f>
        <v/>
      </c>
      <c r="Q74">
        <f>HYPERLINK("https://raw.githubusercontent.com/marcosmapl/dataset_imigrantes/main/materias_filtered/a_critica/venezuelanos/2022/06_jul/html/1.277055_150.html", "HTML")</f>
        <v/>
      </c>
      <c r="R74">
        <f>HYPERLINK("https://raw.githubusercontent.com/marcosmapl/dataset_imigrantes/main/materias_filtered/a_critica/venezuelanos/2022/06_jul/txt/1.277055_150.txt", "TXT")</f>
        <v/>
      </c>
    </row>
    <row r="75">
      <c r="A75" s="1" t="n">
        <v>73</v>
      </c>
      <c r="B75" t="n">
        <v>2022</v>
      </c>
      <c r="C75" s="2" t="n">
        <v>44768.89564357639</v>
      </c>
      <c r="D75" t="inlineStr">
        <is>
          <t>G1</t>
        </is>
      </c>
      <c r="E75" t="inlineStr">
        <is>
          <t>VENEZUELANOS</t>
        </is>
      </c>
      <c r="F75" t="inlineStr">
        <is>
          <t>MUNDO</t>
        </is>
      </c>
      <c r="G75" t="inlineStr">
        <is>
          <t>BBC</t>
        </is>
      </c>
      <c r="H75" t="inlineStr">
        <is>
          <t>A ONDA DE VENEZUELANOS QUE BUSCAM ASILO NA GELADA ISLÂNDIA</t>
        </is>
      </c>
      <c r="I75" t="inlineStr">
        <is>
          <t>EM 2021, VENEZUELANOS FORAM NACIONALIDADE COM MAIOR NÚMERO DE PEDIDOS DE ASILO ACEITOS NA ISLÂNDIA. A MAIORIA TENTA SE ADAPTAR A UM PAÍS COM UMA LÍNGUA E UM CLIMA TOTALMENTE DIFERENTES.</t>
        </is>
      </c>
      <c r="J75" t="inlineStr"/>
      <c r="K75" t="n">
        <v>0</v>
      </c>
      <c r="L75" t="n">
        <v>2</v>
      </c>
      <c r="M75" t="n">
        <v>0</v>
      </c>
      <c r="N75" t="n">
        <v>0</v>
      </c>
      <c r="O75" t="n">
        <v>1</v>
      </c>
      <c r="P75">
        <f>HYPERLINK("https://g1.globo.com/mundo/noticia/2022/07/26/a-onda-de-venezuelanos-que-buscam-asilo-na-gelada-islandia.ghtml", "URL")</f>
        <v/>
      </c>
      <c r="Q75">
        <f>HYPERLINK("https://raw.githubusercontent.com/marcosmapl/dataset_imigrantes/main/materias_filtered/g1/venezuelanos/2022/06_jul/html/g1_fccaa290-2320-11ed-b24f-6dbe51e79fca_3674.html", "HTML")</f>
        <v/>
      </c>
      <c r="R75">
        <f>HYPERLINK("https://raw.githubusercontent.com/marcosmapl/dataset_imigrantes/main/materias_filtered/g1/venezuelanos/2022/06_jul/txt/g1_fccaa290-2320-11ed-b24f-6dbe51e79fca_3674.txt", "TXT")</f>
        <v/>
      </c>
    </row>
    <row r="76">
      <c r="A76" s="1" t="n">
        <v>74</v>
      </c>
      <c r="B76" t="n">
        <v>2022</v>
      </c>
      <c r="C76" s="2" t="n">
        <v>44768.83215148148</v>
      </c>
      <c r="D76" t="inlineStr">
        <is>
          <t>G1</t>
        </is>
      </c>
      <c r="E76" t="inlineStr">
        <is>
          <t>VENEZUELANOS</t>
        </is>
      </c>
      <c r="F76" t="inlineStr">
        <is>
          <t>BAHIA</t>
        </is>
      </c>
      <c r="G76" t="inlineStr">
        <is>
          <t>G1 BA E TV SUBAÉ</t>
        </is>
      </c>
      <c r="H76" t="inlineStr">
        <is>
          <t>VENEZUELANA QUE FAZ MESTRADO NA BAHIA FAZ VAQUINHA PARA CURSAR DOUTORADO NOS ESTADOS UNIDOS</t>
        </is>
      </c>
      <c r="I76" t="inlineStr">
        <is>
          <t>GLADYS PANTOJA PRECISA DE AO MENOS R$ 15 MIL PARA REALIZAR SONHO.</t>
        </is>
      </c>
      <c r="J76" t="inlineStr"/>
      <c r="K76" t="n">
        <v>0</v>
      </c>
      <c r="L76" t="n">
        <v>2</v>
      </c>
      <c r="M76" t="n">
        <v>1</v>
      </c>
      <c r="N76" t="n">
        <v>0</v>
      </c>
      <c r="O76" t="n">
        <v>3</v>
      </c>
      <c r="P76">
        <f>HYPERLINK("https://g1.globo.com/ba/bahia/noticia/2022/07/26/venezuelana-que-faz-mestrado-na-bahia-faz-vaquinha-para-cursar-doutorado-nos-estados-unidos.ghtml", "URL")</f>
        <v/>
      </c>
      <c r="Q76">
        <f>HYPERLINK("https://raw.githubusercontent.com/marcosmapl/dataset_imigrantes/main/materias_filtered/g1/venezuelanos/2022/06_jul/html/g1_27662c28-2311-11ed-b24f-6dbe51e79fca_2902.html", "HTML")</f>
        <v/>
      </c>
      <c r="R76">
        <f>HYPERLINK("https://raw.githubusercontent.com/marcosmapl/dataset_imigrantes/main/materias_filtered/g1/venezuelanos/2022/06_jul/txt/g1_27662c28-2311-11ed-b24f-6dbe51e79fca_2902.txt", "TXT")</f>
        <v/>
      </c>
    </row>
    <row r="77">
      <c r="A77" s="1" t="n">
        <v>75</v>
      </c>
      <c r="B77" t="n">
        <v>2022</v>
      </c>
      <c r="C77" s="2" t="n">
        <v>44768.56277226852</v>
      </c>
      <c r="D77" t="inlineStr">
        <is>
          <t>G1</t>
        </is>
      </c>
      <c r="E77" t="inlineStr">
        <is>
          <t>VENEZUELANOS</t>
        </is>
      </c>
      <c r="F77" t="inlineStr">
        <is>
          <t>ALAGOAS</t>
        </is>
      </c>
      <c r="G77" t="inlineStr">
        <is>
          <t>G1 AL</t>
        </is>
      </c>
      <c r="H77" t="inlineStr">
        <is>
          <t>MACEIÓ GANHA NOVO PRAZO PARA EXECUTAR PLANO DE ASSISTÊNCIA A INDÍGENAS VENEZUELANOS REFUGIADOS</t>
        </is>
      </c>
      <c r="I77" t="inlineStr">
        <is>
          <t>MUNICÍPIO RECEBEU CERCA DE R$ 760 MIL DO FECOEP, MAS CORRE O RISCO DE PERDER VERBA CASO NÃO REALIZE AÇÕES. MPF RENOVOU O PRAZO POR MAIS 30 DIAS.</t>
        </is>
      </c>
      <c r="J77" t="inlineStr"/>
      <c r="K77" t="n">
        <v>0</v>
      </c>
      <c r="L77" t="n">
        <v>2</v>
      </c>
      <c r="M77" t="n">
        <v>1</v>
      </c>
      <c r="N77" t="n">
        <v>0</v>
      </c>
      <c r="O77" t="n">
        <v>6</v>
      </c>
      <c r="P77">
        <f>HYPERLINK("https://g1.globo.com/al/alagoas/noticia/2022/07/26/maceio-ganha-novo-prazo-para-executar-plano-de-assistencia-a-indigenas-venezuelanos-refugiados.ghtml", "URL")</f>
        <v/>
      </c>
      <c r="Q77">
        <f>HYPERLINK("https://raw.githubusercontent.com/marcosmapl/dataset_imigrantes/main/materias_filtered/g1/venezuelanos/2022/06_jul/html/g1_7744ed32-232b-11ed-b24f-6dbe51e79fca_4248.html", "HTML")</f>
        <v/>
      </c>
      <c r="R77">
        <f>HYPERLINK("https://raw.githubusercontent.com/marcosmapl/dataset_imigrantes/main/materias_filtered/g1/venezuelanos/2022/06_jul/txt/g1_7744ed32-232b-11ed-b24f-6dbe51e79fca_4248.txt", "TXT")</f>
        <v/>
      </c>
    </row>
    <row r="78">
      <c r="A78" s="1" t="n">
        <v>76</v>
      </c>
      <c r="B78" t="n">
        <v>2022</v>
      </c>
      <c r="C78" s="2" t="n">
        <v>44768.04424170139</v>
      </c>
      <c r="D78" t="inlineStr">
        <is>
          <t>G1</t>
        </is>
      </c>
      <c r="E78" t="inlineStr">
        <is>
          <t>VENEZUELANOS</t>
        </is>
      </c>
      <c r="F78" t="inlineStr">
        <is>
          <t>RORAIMA</t>
        </is>
      </c>
      <c r="G78" t="inlineStr">
        <is>
          <t>G1 RR — BOA VISTA</t>
        </is>
      </c>
      <c r="H78" t="inlineStr">
        <is>
          <t>HOMEM QUE MORREU EM ACIDENTE NA BR-174 ERA DONO DE RESTAURANTE EM SHOPPING DE BOA VISTA</t>
        </is>
      </c>
      <c r="I78" t="inlineStr">
        <is>
          <t>HICHAN JIHAD NAIM ABOU NAMI, DE 37 ANOS, ERA DONO DE UM RESTAURANTE ESPECIALIZADO EM PRATOS À BASE DE CAMARÃO, LOCALIZADO EM UM SHOPPING DE BOA VISTA. ELE MORREU NO ÚLTIMO DOMINGO (24) EM UM ACIDENTE ENTRE VAN E UM TÁXI INTERMUNICIPAL.</t>
        </is>
      </c>
      <c r="J78" t="inlineStr"/>
      <c r="K78" t="n">
        <v>0</v>
      </c>
      <c r="L78" t="n">
        <v>1</v>
      </c>
      <c r="M78" t="n">
        <v>0</v>
      </c>
      <c r="N78" t="n">
        <v>0</v>
      </c>
      <c r="O78" t="n">
        <v>4</v>
      </c>
      <c r="P78">
        <f>HYPERLINK("https://g1.globo.com/rr/roraima/noticia/2022/07/25/corpo-de-homem-que-morreu-em-acidente-entre-van-e-taxi-em-pacaraima-e-identificado.ghtml", "URL")</f>
        <v/>
      </c>
      <c r="Q78">
        <f>HYPERLINK("https://raw.githubusercontent.com/marcosmapl/dataset_imigrantes/main/materias_filtered/g1/venezuelanos/2022/06_jul/html/g1_786756d0-2328-11ed-b24f-6dbe51e79fca_4080.html", "HTML")</f>
        <v/>
      </c>
      <c r="R78">
        <f>HYPERLINK("https://raw.githubusercontent.com/marcosmapl/dataset_imigrantes/main/materias_filtered/g1/venezuelanos/2022/06_jul/txt/g1_786756d0-2328-11ed-b24f-6dbe51e79fca_4080.txt", "TXT")</f>
        <v/>
      </c>
    </row>
    <row r="79">
      <c r="A79" s="1" t="n">
        <v>77</v>
      </c>
      <c r="B79" t="n">
        <v>2022</v>
      </c>
      <c r="C79" s="2" t="n">
        <v>44767.65529040509</v>
      </c>
      <c r="D79" t="inlineStr">
        <is>
          <t>G1</t>
        </is>
      </c>
      <c r="E79" t="inlineStr">
        <is>
          <t>VENEZUELANOS</t>
        </is>
      </c>
      <c r="F79" t="inlineStr">
        <is>
          <t>RORAIMA</t>
        </is>
      </c>
      <c r="G79" t="inlineStr">
        <is>
          <t>G1 RR — BOA VISTA</t>
        </is>
      </c>
      <c r="H79" t="inlineStr">
        <is>
          <t>CANDIDATOS AO SENADO POR RORAIMA: VEJA A LISTA</t>
        </is>
      </c>
      <c r="I79" t="inlineStr">
        <is>
          <t>CANDIDATURAS FORAM OFICIALIZADAS NO TRIBUNAL SUPERIOR ELEITORAL (TSE). LISTA SERÁ ATUALIZADA À MEDIDA QUE FOREM DIVULGADOS OS ESCOLHIDOS.</t>
        </is>
      </c>
      <c r="J79" t="inlineStr"/>
      <c r="K79" t="n">
        <v>0</v>
      </c>
      <c r="L79" t="n">
        <v>2</v>
      </c>
      <c r="M79" t="n">
        <v>0</v>
      </c>
      <c r="N79" t="n">
        <v>0</v>
      </c>
      <c r="O79" t="n">
        <v>22</v>
      </c>
      <c r="P79">
        <f>HYPERLINK("https://g1.globo.com/rr/roraima/eleicoes/2022/noticia/2022/07/25/candidatos-ao-senado-por-roraima-veja-a-lista.ghtml", "URL")</f>
        <v/>
      </c>
      <c r="Q79">
        <f>HYPERLINK("https://raw.githubusercontent.com/marcosmapl/dataset_imigrantes/main/materias_filtered/g1/venezuelanos/2022/06_jul/html/g1_46b819d0-231e-11ed-b24f-6dbe51e79fca_3550.html", "HTML")</f>
        <v/>
      </c>
      <c r="R79">
        <f>HYPERLINK("https://raw.githubusercontent.com/marcosmapl/dataset_imigrantes/main/materias_filtered/g1/venezuelanos/2022/06_jul/txt/g1_46b819d0-231e-11ed-b24f-6dbe51e79fca_3550.txt", "TXT")</f>
        <v/>
      </c>
    </row>
    <row r="80">
      <c r="A80" s="1" t="n">
        <v>78</v>
      </c>
      <c r="B80" t="n">
        <v>2022</v>
      </c>
      <c r="C80" s="2" t="n">
        <v>44767.56485947916</v>
      </c>
      <c r="D80" t="inlineStr">
        <is>
          <t>G1</t>
        </is>
      </c>
      <c r="E80" t="inlineStr">
        <is>
          <t>VENEZUELANOS</t>
        </is>
      </c>
      <c r="F80" t="inlineStr">
        <is>
          <t>RORAIMA</t>
        </is>
      </c>
      <c r="G80" t="inlineStr">
        <is>
          <t>G1 RR — BOA VISTA</t>
        </is>
      </c>
      <c r="H80" t="inlineStr">
        <is>
          <t>HOMEM MORRE E MULHER FICA EM ESTADO GRAVE EM ACIDENTE COM VAN E TÁXI EM PACARAIMA, NO NORTE DE RR</t>
        </is>
      </c>
      <c r="I80" t="inlineStr">
        <is>
          <t>ACIDENTE FOI POR VOLTA DAS 17H DESSE DOMINGO (25), CERCA DE 30KM APÓS A VILA TRÊS CORAÇOES, ENTRE AMAJARI E PACARAIMA.</t>
        </is>
      </c>
      <c r="J80" t="inlineStr"/>
      <c r="K80" t="n">
        <v>0</v>
      </c>
      <c r="L80" t="n">
        <v>1</v>
      </c>
      <c r="M80" t="n">
        <v>0</v>
      </c>
      <c r="N80" t="n">
        <v>0</v>
      </c>
      <c r="O80" t="n">
        <v>2</v>
      </c>
      <c r="P80">
        <f>HYPERLINK("https://g1.globo.com/rr/roraima/noticia/2022/07/25/homem-morre-e-mulher-fica-em-estado-grave-em-acidente-com-dois-veiculos-na-br-174-ao-norte-de-rr.ghtml", "URL")</f>
        <v/>
      </c>
      <c r="Q80">
        <f>HYPERLINK("https://raw.githubusercontent.com/marcosmapl/dataset_imigrantes/main/materias_filtered/g1/venezuelanos/2022/06_jul/html/g1_f6cff2cc-232b-11ed-b24f-6dbe51e79fca_4281.html", "HTML")</f>
        <v/>
      </c>
      <c r="R80">
        <f>HYPERLINK("https://raw.githubusercontent.com/marcosmapl/dataset_imigrantes/main/materias_filtered/g1/venezuelanos/2022/06_jul/txt/g1_f6cff2cc-232b-11ed-b24f-6dbe51e79fca_4281.txt", "TXT")</f>
        <v/>
      </c>
    </row>
    <row r="81">
      <c r="A81" s="1" t="n">
        <v>79</v>
      </c>
      <c r="B81" t="n">
        <v>2022</v>
      </c>
      <c r="C81" s="2" t="n">
        <v>44766.63322162037</v>
      </c>
      <c r="D81" t="inlineStr">
        <is>
          <t>G1</t>
        </is>
      </c>
      <c r="E81" t="inlineStr">
        <is>
          <t>HAITIANOS</t>
        </is>
      </c>
      <c r="F81" t="inlineStr">
        <is>
          <t>MUNDO</t>
        </is>
      </c>
      <c r="G81" t="inlineStr">
        <is>
          <t>REUTERS</t>
        </is>
      </c>
      <c r="H81" t="inlineStr">
        <is>
          <t>IMIGRANTES MORREM APÓS NAUFRÁGIO NAS BAHAMAS</t>
        </is>
      </c>
      <c r="I81" t="inlineStr">
        <is>
          <t>QUATRO MULHERES E 17 HOMENS FORAM RESGATADOS; BAHAMAS SÃO UMA ROTA DE TRÂNSITO FREQUENTE PARA IMIGRANTES HAITIANOS QUE PROCURAM CHEGAR AOS ESTADOS UNIDOS.</t>
        </is>
      </c>
      <c r="J81" t="inlineStr"/>
      <c r="K81" t="n">
        <v>0</v>
      </c>
      <c r="L81" t="n">
        <v>0</v>
      </c>
      <c r="M81" t="n">
        <v>0</v>
      </c>
      <c r="N81" t="n">
        <v>0</v>
      </c>
      <c r="O81" t="n">
        <v>1</v>
      </c>
      <c r="P81">
        <f>HYPERLINK("https://g1.globo.com/mundo/noticia/2022/07/24/imigrantes-morrem-apos-naufragio-nas-bahamas.ghtml", "URL")</f>
        <v/>
      </c>
      <c r="Q81">
        <f>HYPERLINK("https://raw.githubusercontent.com/marcosmapl/dataset_imigrantes/main/materias_filtered/g1/haitianos/2022/06_jul/html/g1_62b70128-22f1-11ed-b24f-6dbe51e79fca_1748.html", "HTML")</f>
        <v/>
      </c>
      <c r="R81">
        <f>HYPERLINK("https://raw.githubusercontent.com/marcosmapl/dataset_imigrantes/main/materias_filtered/g1/haitianos/2022/06_jul/txt/g1_62b70128-22f1-11ed-b24f-6dbe51e79fca_1748.txt", "TXT")</f>
        <v/>
      </c>
    </row>
    <row r="82">
      <c r="A82" s="1" t="n">
        <v>80</v>
      </c>
      <c r="B82" t="n">
        <v>2022</v>
      </c>
      <c r="C82" s="2" t="n">
        <v>44766.41701097223</v>
      </c>
      <c r="D82" t="inlineStr">
        <is>
          <t>G1</t>
        </is>
      </c>
      <c r="E82" t="inlineStr">
        <is>
          <t>VENEZUELANOS</t>
        </is>
      </c>
      <c r="F82" t="inlineStr">
        <is>
          <t>RIBEIRÃO E FRANCA</t>
        </is>
      </c>
      <c r="G82" t="inlineStr">
        <is>
          <t>EPTV2</t>
        </is>
      </c>
      <c r="H82" t="inlineStr">
        <is>
          <t>CHOQUE DE CULTURAS: ÍNDIOS VENEZUELANOS WARAO DESAFIAM POLÍTICAS PÚBLICAS DE ACOLHIMENTO EM RIBEIRÃO PRETO</t>
        </is>
      </c>
      <c r="I82" t="inlineStr">
        <is>
          <t>IMIGRANTES COMEÇARAM A CHEGAR À CIDADE EM 2021, MAS COSTUMES DIFERENTES E DIALETO DIFICULTAM INCLUSÃO, AFIRMAM ONG E PREFEITURA. ONU ESTIMA QUE CERCA DE SETE MIL TENHAM FUGIDO DA CRISE NA VENEZUELA.</t>
        </is>
      </c>
      <c r="J82" t="inlineStr"/>
      <c r="K82" t="n">
        <v>0</v>
      </c>
      <c r="L82" t="n">
        <v>2</v>
      </c>
      <c r="M82" t="n">
        <v>1</v>
      </c>
      <c r="N82" t="n">
        <v>0</v>
      </c>
      <c r="O82" t="n">
        <v>4</v>
      </c>
      <c r="P82">
        <f>HYPERLINK("https://g1.globo.com/sp/ribeirao-preto-franca/noticia/2022/07/24/choque-de-culturas-indios-venezuelanos-warao-desafiam-politicas-publicas-de-acolhimento-em-ribeirao-preto.ghtml", "URL")</f>
        <v/>
      </c>
      <c r="Q82">
        <f>HYPERLINK("https://raw.githubusercontent.com/marcosmapl/dataset_imigrantes/main/materias_filtered/g1/venezuelanos/2022/06_jul/html/g1_30d11fbc-230b-11ed-b24f-6dbe51e79fca_2550.html", "HTML")</f>
        <v/>
      </c>
      <c r="R82">
        <f>HYPERLINK("https://raw.githubusercontent.com/marcosmapl/dataset_imigrantes/main/materias_filtered/g1/venezuelanos/2022/06_jul/txt/g1_30d11fbc-230b-11ed-b24f-6dbe51e79fca_2550.txt", "TXT")</f>
        <v/>
      </c>
    </row>
    <row r="83">
      <c r="A83" s="1" t="n">
        <v>81</v>
      </c>
      <c r="B83" t="n">
        <v>2022</v>
      </c>
      <c r="C83" s="2" t="n">
        <v>44765.55175712963</v>
      </c>
      <c r="D83" t="inlineStr">
        <is>
          <t>G1</t>
        </is>
      </c>
      <c r="E83" t="inlineStr">
        <is>
          <t>VENEZUELANOS</t>
        </is>
      </c>
      <c r="F83" t="inlineStr">
        <is>
          <t>TOCANTINS</t>
        </is>
      </c>
      <c r="G83" t="inlineStr">
        <is>
          <t>G1 TOCANTINS</t>
        </is>
      </c>
      <c r="H83" t="inlineStr">
        <is>
          <t>VENEZUELANO É PRESO APÓS PRF ENCONTRAR QUASE 30 KG DE MACONHA E COCAÍNA DENTRO DE ÔNIBUS</t>
        </is>
      </c>
      <c r="I83" t="inlineStr">
        <is>
          <t>SEGUNDO A POLÍCIA, HOMEM JÁ HAVIA SIDO PRESO POR COMETER O CRIME DE TRÁFICO DE DROGAS. VEÍCULO TINHA SAÍDO DE SÃO PAULO COM DESTINO A CAXIAS, NO MARANHÃO.</t>
        </is>
      </c>
      <c r="J83" t="inlineStr"/>
      <c r="K83" t="n">
        <v>0</v>
      </c>
      <c r="L83" t="n">
        <v>2</v>
      </c>
      <c r="M83" t="n">
        <v>0</v>
      </c>
      <c r="N83" t="n">
        <v>0</v>
      </c>
      <c r="O83" t="n">
        <v>1</v>
      </c>
      <c r="P83">
        <f>HYPERLINK("https://g1.globo.com/to/tocantins/noticia/2022/07/23/venezuelano-e-preso-apos-prf-encontrar-quase-30-kg-de-maconha-e-cocaina-dentro-de-onibus.ghtml", "URL")</f>
        <v/>
      </c>
      <c r="Q83">
        <f>HYPERLINK("https://raw.githubusercontent.com/marcosmapl/dataset_imigrantes/main/materias_filtered/g1/venezuelanos/2022/06_jul/html/g1_27833f44-2310-11ed-b24f-6dbe51e79fca_2842.html", "HTML")</f>
        <v/>
      </c>
      <c r="R83">
        <f>HYPERLINK("https://raw.githubusercontent.com/marcosmapl/dataset_imigrantes/main/materias_filtered/g1/venezuelanos/2022/06_jul/txt/g1_27833f44-2310-11ed-b24f-6dbe51e79fca_2842.txt", "TXT")</f>
        <v/>
      </c>
    </row>
    <row r="84">
      <c r="A84" s="1" t="n">
        <v>82</v>
      </c>
      <c r="B84" t="n">
        <v>2022</v>
      </c>
      <c r="C84" s="2" t="n">
        <v>44764.78909230324</v>
      </c>
      <c r="D84" t="inlineStr">
        <is>
          <t>G1</t>
        </is>
      </c>
      <c r="E84" t="inlineStr">
        <is>
          <t>VENEZUELANOS</t>
        </is>
      </c>
      <c r="F84" t="inlineStr">
        <is>
          <t>SANTA CATARINA</t>
        </is>
      </c>
      <c r="G84" t="inlineStr">
        <is>
          <t>SOFIA MAYER, G1 SC</t>
        </is>
      </c>
      <c r="H84" t="inlineStr">
        <is>
          <t>MÃE DE BEBÊ MORTO APÓS SUSPEITA DE ESPANCAMENTO POR BABÁS VEIO A SC EM BUSCA DE VIDA MELHOR</t>
        </is>
      </c>
      <c r="I84" t="inlineStr">
        <is>
          <t>NATURAL DA VENEZUELA, MULHER TINHA QUE DEIXAR BEBÊ COM CUIDADORES PARA TRABALHAR, SEGUNDO A FAMÍLIA QUE MORA EM CAÇADOR.</t>
        </is>
      </c>
      <c r="J84" t="inlineStr"/>
      <c r="K84" t="n">
        <v>0</v>
      </c>
      <c r="L84" t="n">
        <v>1</v>
      </c>
      <c r="M84" t="n">
        <v>0</v>
      </c>
      <c r="N84" t="n">
        <v>0</v>
      </c>
      <c r="O84" t="n">
        <v>10</v>
      </c>
      <c r="P84">
        <f>HYPERLINK("https://g1.globo.com/sc/santa-catarina/noticia/2022/07/22/mae-de-bebe-morto-apos-suspeita-de-espancamento-por-babas-veio-a-sc-em-busca-de-vida-melhor.ghtml", "URL")</f>
        <v/>
      </c>
      <c r="Q84">
        <f>HYPERLINK("https://raw.githubusercontent.com/marcosmapl/dataset_imigrantes/main/materias_filtered/g1/venezuelanos/2022/06_jul/html/g1_45366126-232c-11ed-b24f-6dbe51e79fca_4295.html", "HTML")</f>
        <v/>
      </c>
      <c r="R84">
        <f>HYPERLINK("https://raw.githubusercontent.com/marcosmapl/dataset_imigrantes/main/materias_filtered/g1/venezuelanos/2022/06_jul/txt/g1_45366126-232c-11ed-b24f-6dbe51e79fca_4295.txt", "TXT")</f>
        <v/>
      </c>
    </row>
    <row r="85">
      <c r="A85" s="1" t="n">
        <v>83</v>
      </c>
      <c r="B85" t="n">
        <v>2022</v>
      </c>
      <c r="C85" s="2" t="n">
        <v>44763.79511157407</v>
      </c>
      <c r="D85" t="inlineStr">
        <is>
          <t>G1</t>
        </is>
      </c>
      <c r="E85" t="inlineStr">
        <is>
          <t>VENEZUELANOS</t>
        </is>
      </c>
      <c r="F85" t="inlineStr">
        <is>
          <t>SANTA CATARINA</t>
        </is>
      </c>
      <c r="G85" t="inlineStr">
        <is>
          <t>SOFIA MAYER, G1 SC</t>
        </is>
      </c>
      <c r="H85" t="inlineStr">
        <is>
          <t>ÓRGÃOS DE BEBÊ QUE MORREU APÓS SUSPEITA DE ESPANCAMENTO SERÃO DOADOS, DIZ FAMÍLIA</t>
        </is>
      </c>
      <c r="I85" t="inlineStr">
        <is>
          <t>BEBÊ ESTAVA INTERNADO EM FLORIANÓPOLIS E TEVE A MORTE CONFIRMADA NESTA QUINTA-FEIRA. CASAL SUSPEITO DO CRIME ESTÁ PRESO PREVENTIVAMENTE APÓS DECISÃO DA JUSTIÇA.</t>
        </is>
      </c>
      <c r="J85" t="inlineStr"/>
      <c r="K85" t="n">
        <v>0</v>
      </c>
      <c r="L85" t="n">
        <v>1</v>
      </c>
      <c r="M85" t="n">
        <v>0</v>
      </c>
      <c r="N85" t="n">
        <v>0</v>
      </c>
      <c r="O85" t="n">
        <v>8</v>
      </c>
      <c r="P85">
        <f>HYPERLINK("https://g1.globo.com/sc/santa-catarina/noticia/2022/07/21/orgaos-de-bebe-que-morreu-apos-suspeita-de-espancamento-serao-doados-diz-familia.ghtml", "URL")</f>
        <v/>
      </c>
      <c r="Q85">
        <f>HYPERLINK("https://raw.githubusercontent.com/marcosmapl/dataset_imigrantes/main/materias_filtered/g1/venezuelanos/2022/06_jul/html/g1_b0f2faf4-231e-11ed-b24f-6dbe51e79fca_3578.html", "HTML")</f>
        <v/>
      </c>
      <c r="R85">
        <f>HYPERLINK("https://raw.githubusercontent.com/marcosmapl/dataset_imigrantes/main/materias_filtered/g1/venezuelanos/2022/06_jul/txt/g1_b0f2faf4-231e-11ed-b24f-6dbe51e79fca_3578.txt", "TXT")</f>
        <v/>
      </c>
    </row>
    <row r="86">
      <c r="A86" s="1" t="n">
        <v>84</v>
      </c>
      <c r="B86" t="n">
        <v>2022</v>
      </c>
      <c r="C86" s="2" t="n">
        <v>44763.64294684028</v>
      </c>
      <c r="D86" t="inlineStr">
        <is>
          <t>G1</t>
        </is>
      </c>
      <c r="E86" t="inlineStr">
        <is>
          <t>VENEZUELANOS</t>
        </is>
      </c>
      <c r="F86" t="inlineStr">
        <is>
          <t>SANTA CATARINA</t>
        </is>
      </c>
      <c r="G86" t="inlineStr">
        <is>
          <t>SOFIA MAYER, G1 SC</t>
        </is>
      </c>
      <c r="H86" t="inlineStr">
        <is>
          <t>MORRE BEBÊ DE 3 MESES APÓS SUSPEITA DE ESPANCAMENTO POR BABÁS EM SC: 'TRISTEZA TÃO GRANDE'</t>
        </is>
      </c>
      <c r="I86" t="inlineStr">
        <is>
          <t>MENINO ESTAVA INTERNADA EM FLORIANÓPOLIS. CASAL SUSPEITO DO CRIME ESTÁ PRESO PREVENTIVAMENTE APÓS DECISÃO DA JUSTIÇA.</t>
        </is>
      </c>
      <c r="J86" t="inlineStr"/>
      <c r="K86" t="n">
        <v>0</v>
      </c>
      <c r="L86" t="n">
        <v>1</v>
      </c>
      <c r="M86" t="n">
        <v>0</v>
      </c>
      <c r="N86" t="n">
        <v>0</v>
      </c>
      <c r="O86" t="n">
        <v>8</v>
      </c>
      <c r="P86">
        <f>HYPERLINK("https://g1.globo.com/sc/santa-catarina/noticia/2022/07/21/morre-bebe-venezuelano-de-3-meses-apos-suspeita-de-espancamento-por-babas-em-sc.ghtml", "URL")</f>
        <v/>
      </c>
      <c r="Q86">
        <f>HYPERLINK("https://raw.githubusercontent.com/marcosmapl/dataset_imigrantes/main/materias_filtered/g1/venezuelanos/2022/06_jul/html/g1_f355bbc4-230b-11ed-b24f-6dbe51e79fca_2598.html", "HTML")</f>
        <v/>
      </c>
      <c r="R86">
        <f>HYPERLINK("https://raw.githubusercontent.com/marcosmapl/dataset_imigrantes/main/materias_filtered/g1/venezuelanos/2022/06_jul/txt/g1_f355bbc4-230b-11ed-b24f-6dbe51e79fca_2598.txt", "TXT")</f>
        <v/>
      </c>
    </row>
    <row r="87">
      <c r="A87" s="1" t="n">
        <v>85</v>
      </c>
      <c r="B87" t="n">
        <v>2022</v>
      </c>
      <c r="C87" s="2" t="n">
        <v>44762.99020202546</v>
      </c>
      <c r="D87" t="inlineStr">
        <is>
          <t>G1</t>
        </is>
      </c>
      <c r="E87" t="inlineStr">
        <is>
          <t>HAITIANOS</t>
        </is>
      </c>
      <c r="F87" t="inlineStr">
        <is>
          <t>PARANÁ</t>
        </is>
      </c>
      <c r="G87" t="inlineStr">
        <is>
          <t>G1 PR — CURITIBA</t>
        </is>
      </c>
      <c r="H87" t="inlineStr">
        <is>
          <t>RESUMO DO DIA: PARANÁ, QUARTA-FEIRA, 20 DE JULHO DE 2022</t>
        </is>
      </c>
      <c r="I87" t="inlineStr">
        <is>
          <t>BOA NOITE! AQUI ESTÃO AS PRINCIPAIS NOTÍCIAS DO ESTADO PARA VOCÊ TERMINAR O DIA BEM-INFORMADO.</t>
        </is>
      </c>
      <c r="J87" t="inlineStr"/>
      <c r="K87" t="n">
        <v>0</v>
      </c>
      <c r="L87" t="n">
        <v>3</v>
      </c>
      <c r="M87" t="n">
        <v>0</v>
      </c>
      <c r="N87" t="n">
        <v>0</v>
      </c>
      <c r="O87" t="n">
        <v>13</v>
      </c>
      <c r="P87">
        <f>HYPERLINK("https://g1.globo.com/pr/parana/noticia/2022/07/20/resumo-do-dia-parana-quarta-feira-20-de-julho-de-2022.ghtml", "URL")</f>
        <v/>
      </c>
      <c r="Q87">
        <f>HYPERLINK("https://raw.githubusercontent.com/marcosmapl/dataset_imigrantes/main/materias_filtered/g1/haitianos/2022/06_jul/html/g1_fb2e0240-231d-11ed-b24f-6dbe51e79fca_3531.html", "HTML")</f>
        <v/>
      </c>
      <c r="R87">
        <f>HYPERLINK("https://raw.githubusercontent.com/marcosmapl/dataset_imigrantes/main/materias_filtered/g1/haitianos/2022/06_jul/txt/g1_fb2e0240-231d-11ed-b24f-6dbe51e79fca_3531.txt", "TXT")</f>
        <v/>
      </c>
    </row>
    <row r="88">
      <c r="A88" s="1" t="n">
        <v>86</v>
      </c>
      <c r="B88" t="n">
        <v>2022</v>
      </c>
      <c r="C88" s="2" t="n">
        <v>44762.74384700231</v>
      </c>
      <c r="D88" t="inlineStr">
        <is>
          <t>G1</t>
        </is>
      </c>
      <c r="E88" t="inlineStr">
        <is>
          <t>HAITIANOS</t>
        </is>
      </c>
      <c r="F88" t="inlineStr">
        <is>
          <t>OESTE E SUDOESTE</t>
        </is>
      </c>
      <c r="G88" t="inlineStr">
        <is>
          <t>RPC CASCAVEL</t>
        </is>
      </c>
      <c r="H88" t="inlineStr">
        <is>
          <t>MENINA HAITIANA ATROPELADA COM A MÃE AO TENTAR ATRAVESSAR RUA DEIXA A UTI E VAI PARA ENFERMARIA APÓS UM MÊS NO HOSPITAL, EM CASCAVEL</t>
        </is>
      </c>
      <c r="I88" t="inlineStr">
        <is>
          <t>ATROPELAMENTO ACONTECEU EM JUNHO, E MOTORISTA INFORMOU QUE PERDEU O CONTROLE DO VEÍCULO; 'ESSE CASO ENCHE A GENTE DE ALEGRIA, E NOS MOTIVA', DISSE MÉDICO SOBRE A RECUPERAÇÃO DA CRIANÇA.</t>
        </is>
      </c>
      <c r="J88" t="inlineStr"/>
      <c r="K88" t="n">
        <v>0</v>
      </c>
      <c r="L88" t="n">
        <v>3</v>
      </c>
      <c r="M88" t="n">
        <v>2</v>
      </c>
      <c r="N88" t="n">
        <v>0</v>
      </c>
      <c r="O88" t="n">
        <v>4</v>
      </c>
      <c r="P88">
        <f>HYPERLINK("https://g1.globo.com/pr/oeste-sudoeste/noticia/2022/07/20/menina-haitiana-atropelada-com-a-mae-ao-tentar-atravessar-rua-deixa-a-uti-e-vai-para-enfermaria-apos-um-mes-no-hospital-em-cascavel.ghtml", "URL")</f>
        <v/>
      </c>
      <c r="Q88">
        <f>HYPERLINK("https://raw.githubusercontent.com/marcosmapl/dataset_imigrantes/main/materias_filtered/g1/haitianos/2022/06_jul/html/g1_ef33924e-2326-11ed-b24f-6dbe51e79fca_4007.html", "HTML")</f>
        <v/>
      </c>
      <c r="R88">
        <f>HYPERLINK("https://raw.githubusercontent.com/marcosmapl/dataset_imigrantes/main/materias_filtered/g1/haitianos/2022/06_jul/txt/g1_ef33924e-2326-11ed-b24f-6dbe51e79fca_4007.txt", "TXT")</f>
        <v/>
      </c>
    </row>
    <row r="89">
      <c r="A89" s="1" t="n">
        <v>87</v>
      </c>
      <c r="B89" t="n">
        <v>2022</v>
      </c>
      <c r="C89" s="2" t="n">
        <v>44762.33379243055</v>
      </c>
      <c r="D89" t="inlineStr">
        <is>
          <t>G1</t>
        </is>
      </c>
      <c r="E89" t="inlineStr">
        <is>
          <t>VENEZUELANOS</t>
        </is>
      </c>
      <c r="F89" t="inlineStr">
        <is>
          <t>PODCASTS</t>
        </is>
      </c>
      <c r="G89" t="inlineStr">
        <is>
          <t>G1</t>
        </is>
      </c>
      <c r="H89" t="inlineStr">
        <is>
          <t>BOLSONARO ACENDE ALERTA PARA 'GOLPE AMBÍGUO' AO QUESTIONAR SISTEMA ELEITORAL, AVALIA OLIVER STUENKEL</t>
        </is>
      </c>
      <c r="I89" t="inlineStr">
        <is>
          <t>PARA PROFESSOR DE RELAÇÕES INTERNACIONAIS DA FGV, PREVISÃO DE RUPTURA DEMOCRÁTICA ENSAIADA POR BOLSONARO SERIA PARECIDA COM MODELO VENEZUELANO: 'UMA SITUAÇÃO UMA AMBÍGUA, CONTENCIOSA, PODE REDUZIR  A PRESSÃO PÚBLICA' E ATRASAR REAÇÃO DA COMUNIDADE INTERNACIONAL.</t>
        </is>
      </c>
      <c r="J89" t="inlineStr"/>
      <c r="K89" t="n">
        <v>0</v>
      </c>
      <c r="L89" t="n">
        <v>1</v>
      </c>
      <c r="M89" t="n">
        <v>0</v>
      </c>
      <c r="N89" t="n">
        <v>0</v>
      </c>
      <c r="O89" t="n">
        <v>9</v>
      </c>
      <c r="P89">
        <f>HYPERLINK("https://g1.globo.com/podcast/o-assunto/noticia/2022/07/20/bolsonaro-acende-alerta-para-golpe-ambiguo-ao-questionar-sistema-eleitoral-avalia-oliver-stuenkel.ghtml", "URL")</f>
        <v/>
      </c>
      <c r="Q89">
        <f>HYPERLINK("https://raw.githubusercontent.com/marcosmapl/dataset_imigrantes/main/materias_filtered/g1/venezuelanos/2022/06_jul/html/g1_aa65db94-232c-11ed-b24f-6dbe51e79fca_4321.html", "HTML")</f>
        <v/>
      </c>
      <c r="R89">
        <f>HYPERLINK("https://raw.githubusercontent.com/marcosmapl/dataset_imigrantes/main/materias_filtered/g1/venezuelanos/2022/06_jul/txt/g1_aa65db94-232c-11ed-b24f-6dbe51e79fca_4321.txt", "TXT")</f>
        <v/>
      </c>
    </row>
    <row r="90">
      <c r="A90" s="1" t="n">
        <v>88</v>
      </c>
      <c r="B90" t="n">
        <v>2022</v>
      </c>
      <c r="C90" s="2" t="n">
        <v>44761.93947233797</v>
      </c>
      <c r="D90" t="inlineStr">
        <is>
          <t>G1</t>
        </is>
      </c>
      <c r="E90" t="inlineStr">
        <is>
          <t>VENEZUELANOS</t>
        </is>
      </c>
      <c r="F90" t="inlineStr">
        <is>
          <t>RORAIMA</t>
        </is>
      </c>
      <c r="G90" t="inlineStr">
        <is>
          <t>G1 RR — BOA VISTA</t>
        </is>
      </c>
      <c r="H90" t="inlineStr">
        <is>
          <t>CURTA-METRAGEM PRODUZIDO EM RORAIMA É SELECIONADO PARA FESTIVAL INTERNACIONAL DE CINEMA</t>
        </is>
      </c>
      <c r="I90" t="inlineStr">
        <is>
          <t>“RABIOLA”, DIRIGIDO PELO CINEASTA THIAGO BRIGLIA, FOI SELECIONADO PARA REPRESENTAR RORAIMA NO 33º FESTIVAL INTERNACIONAL DE CURTAS DE SÃO PAULO.</t>
        </is>
      </c>
      <c r="J90" t="inlineStr"/>
      <c r="K90" t="n">
        <v>0</v>
      </c>
      <c r="L90" t="n">
        <v>1</v>
      </c>
      <c r="M90" t="n">
        <v>0</v>
      </c>
      <c r="N90" t="n">
        <v>0</v>
      </c>
      <c r="O90" t="n">
        <v>2</v>
      </c>
      <c r="P90">
        <f>HYPERLINK("https://g1.globo.com/rr/roraima/noticia/2022/07/19/curta-metragem-produzido-em-roraima-e-selecionado-para-festival-internacional-de-cinema.ghtml", "URL")</f>
        <v/>
      </c>
      <c r="Q90">
        <f>HYPERLINK("https://raw.githubusercontent.com/marcosmapl/dataset_imigrantes/main/materias_filtered/g1/venezuelanos/2022/06_jul/html/g1_5548bbbe-2308-11ed-b24f-6dbe51e79fca_2379.html", "HTML")</f>
        <v/>
      </c>
      <c r="R90">
        <f>HYPERLINK("https://raw.githubusercontent.com/marcosmapl/dataset_imigrantes/main/materias_filtered/g1/venezuelanos/2022/06_jul/txt/g1_5548bbbe-2308-11ed-b24f-6dbe51e79fca_2379.txt", "TXT")</f>
        <v/>
      </c>
    </row>
    <row r="91">
      <c r="A91" s="1" t="n">
        <v>89</v>
      </c>
      <c r="B91" t="n">
        <v>2022</v>
      </c>
      <c r="C91" s="2" t="n">
        <v>44761.57995819444</v>
      </c>
      <c r="D91" t="inlineStr">
        <is>
          <t>G1</t>
        </is>
      </c>
      <c r="E91" t="inlineStr">
        <is>
          <t>VENEZUELANOS</t>
        </is>
      </c>
      <c r="F91" t="inlineStr">
        <is>
          <t>SANTA CATARINA</t>
        </is>
      </c>
      <c r="G91" t="inlineStr">
        <is>
          <t>JOHN PACHECO, G1 SC</t>
        </is>
      </c>
      <c r="H91" t="inlineStr">
        <is>
          <t>CUIDADORES SÃO PRESOS APÓS BEBÊ DE 3 MESES SER INTERNADO COM LESÕES CEREBRAIS E NO CORPO, EM SC</t>
        </is>
      </c>
      <c r="I91" t="inlineStr">
        <is>
          <t>CASAL CUIDAVA DA CRIANÇA ENQUANTO A MÃE TRABALHAVA. BEBÊ DEU ENTRADA EM HOSPITAL DE CAÇADOR, NO OESTE CATARINENSE, E FOI ENCAMINHADA PARA UTI EM FLORIANÓPOLIS.</t>
        </is>
      </c>
      <c r="J91" t="inlineStr"/>
      <c r="K91" t="n">
        <v>0</v>
      </c>
      <c r="L91" t="n">
        <v>4</v>
      </c>
      <c r="M91" t="n">
        <v>0</v>
      </c>
      <c r="N91" t="n">
        <v>0</v>
      </c>
      <c r="O91" t="n">
        <v>8</v>
      </c>
      <c r="P91">
        <f>HYPERLINK("https://g1.globo.com/sc/santa-catarina/noticia/2022/07/19/cuidadores-sao-presos-apos-bebe-de-3-meses-ser-internado-com-lesoes-cerebrais-e-no-corpo-em-sc.ghtml", "URL")</f>
        <v/>
      </c>
      <c r="Q91">
        <f>HYPERLINK("https://raw.githubusercontent.com/marcosmapl/dataset_imigrantes/main/materias_filtered/g1/venezuelanos/2022/06_jul/html/g1_4a370b92-231f-11ed-b24f-6dbe51e79fca_3614.html", "HTML")</f>
        <v/>
      </c>
      <c r="R91">
        <f>HYPERLINK("https://raw.githubusercontent.com/marcosmapl/dataset_imigrantes/main/materias_filtered/g1/venezuelanos/2022/06_jul/txt/g1_4a370b92-231f-11ed-b24f-6dbe51e79fca_3614.txt", "TXT")</f>
        <v/>
      </c>
    </row>
    <row r="92">
      <c r="A92" s="1" t="n">
        <v>90</v>
      </c>
      <c r="B92" t="n">
        <v>2022</v>
      </c>
      <c r="C92" s="2" t="n">
        <v>44761.55519101852</v>
      </c>
      <c r="D92" t="inlineStr">
        <is>
          <t>G1</t>
        </is>
      </c>
      <c r="E92" t="inlineStr">
        <is>
          <t>VENEZUELANOS</t>
        </is>
      </c>
      <c r="F92" t="inlineStr">
        <is>
          <t>PIAUÍ</t>
        </is>
      </c>
      <c r="G92" t="inlineStr">
        <is>
          <t>G1 PI</t>
        </is>
      </c>
      <c r="H92" t="inlineStr">
        <is>
          <t>MAIS DE 70 CRIANÇAS E ADOLESCENTES VENEZUELANOS SERÃO ALFABETIZADOS A PARTIR DE AGOSTO EM TERESINA</t>
        </is>
      </c>
      <c r="I92" t="inlineStr">
        <is>
          <t>SERÃO ATENDIDAS NAS ESCOLAS AS CRIANÇAS DE 6 A 11 ANOS E ADOLESCENTES DE 12 A 16 ANOS. EM RELAÇÃO ÀS CRIANÇAS DE 4 E 5 ANOS, ELAS SERÃO INSERIDAS NAS TURMAS REGULARES DOS CENTROS MUNICIPAIS DE EDUCAÇÃO INFANTIL (CMEIS).</t>
        </is>
      </c>
      <c r="J92" t="inlineStr"/>
      <c r="K92" t="n">
        <v>0</v>
      </c>
      <c r="L92" t="n">
        <v>3</v>
      </c>
      <c r="M92" t="n">
        <v>0</v>
      </c>
      <c r="N92" t="n">
        <v>0</v>
      </c>
      <c r="O92" t="n">
        <v>9</v>
      </c>
      <c r="P92">
        <f>HYPERLINK("https://g1.globo.com/pi/piaui/noticia/2022/07/19/mais-de-70-criancas-e-adolescentes-venezuelanos-serao-alfabetizados-a-partir-de-agosto-em-teresina.ghtml", "URL")</f>
        <v/>
      </c>
      <c r="Q92">
        <f>HYPERLINK("https://raw.githubusercontent.com/marcosmapl/dataset_imigrantes/main/materias_filtered/g1/venezuelanos/2022/06_jul/html/g1_47cbb074-2329-11ed-b24f-6dbe51e79fca_4106.html", "HTML")</f>
        <v/>
      </c>
      <c r="R92">
        <f>HYPERLINK("https://raw.githubusercontent.com/marcosmapl/dataset_imigrantes/main/materias_filtered/g1/venezuelanos/2022/06_jul/txt/g1_47cbb074-2329-11ed-b24f-6dbe51e79fca_4106.txt", "TXT")</f>
        <v/>
      </c>
    </row>
    <row r="93">
      <c r="A93" s="1" t="n">
        <v>91</v>
      </c>
      <c r="B93" t="n">
        <v>2022</v>
      </c>
      <c r="C93" s="2" t="n">
        <v>44761.02284826389</v>
      </c>
      <c r="D93" t="inlineStr">
        <is>
          <t>G1</t>
        </is>
      </c>
      <c r="E93" t="inlineStr">
        <is>
          <t>VENEZUELANOS</t>
        </is>
      </c>
      <c r="F93" t="inlineStr">
        <is>
          <t>AMAZONAS</t>
        </is>
      </c>
      <c r="G93" t="inlineStr">
        <is>
          <t>G1 AM</t>
        </is>
      </c>
      <c r="H93" t="inlineStr">
        <is>
          <t>SOGRA É SUSPEITA DE PAGAR R$ 300 PARA MATAR VENEZUELANA POR NÃO ACEITAR RELACIONAMENTO DO FILHO, DIZ PC-AM</t>
        </is>
      </c>
      <c r="I93" t="inlineStr">
        <is>
          <t>SEGUNDO A POLÍCIA, A SUSPEITA NÃO APROVAVA O RELACIONAMENTO DO FILHO DE 17 ANOS COM A VÍTIMA.</t>
        </is>
      </c>
      <c r="J93" t="inlineStr"/>
      <c r="K93" t="n">
        <v>0</v>
      </c>
      <c r="L93" t="n">
        <v>2</v>
      </c>
      <c r="M93" t="n">
        <v>2</v>
      </c>
      <c r="N93" t="n">
        <v>0</v>
      </c>
      <c r="O93" t="n">
        <v>5</v>
      </c>
      <c r="P93">
        <f>HYPERLINK("https://g1.globo.com/am/amazonas/noticia/2022/07/18/sogra-e-suspeita-de-pagar-r-300-para-matar-venezuelana-por-nao-aceitar-relacionamento-do-filho-diz-pc-am.ghtml", "URL")</f>
        <v/>
      </c>
      <c r="Q93">
        <f>HYPERLINK("https://raw.githubusercontent.com/marcosmapl/dataset_imigrantes/main/materias_filtered/g1/venezuelanos/2022/06_jul/html/g1_df487232-2308-11ed-b24f-6dbe51e79fca_2409.html", "HTML")</f>
        <v/>
      </c>
      <c r="R93">
        <f>HYPERLINK("https://raw.githubusercontent.com/marcosmapl/dataset_imigrantes/main/materias_filtered/g1/venezuelanos/2022/06_jul/txt/g1_df487232-2308-11ed-b24f-6dbe51e79fca_2409.txt", "TXT")</f>
        <v/>
      </c>
    </row>
    <row r="94">
      <c r="A94" s="1" t="n">
        <v>92</v>
      </c>
      <c r="B94" t="n">
        <v>2022</v>
      </c>
      <c r="C94" s="2" t="n">
        <v>44760.69924768519</v>
      </c>
      <c r="D94" t="inlineStr">
        <is>
          <t>A CRITICA</t>
        </is>
      </c>
      <c r="E94" t="inlineStr">
        <is>
          <t>VENEZUELANOS</t>
        </is>
      </c>
      <c r="F94" t="inlineStr">
        <is>
          <t>POLICIA</t>
        </is>
      </c>
      <c r="G94" t="inlineStr">
        <is>
          <t>NATSHA PINTO</t>
        </is>
      </c>
      <c r="H94" t="inlineStr">
        <is>
          <t>POLÍCIA PRENDE SUSPEITA DE MANDAR MATAR VENEZUELANA NA ZONA LESTE DE MANAUS</t>
        </is>
      </c>
      <c r="I94" t="inlineStr">
        <is>
          <t>VENEZUELANA TEREZA DE JESUS HERNANDEZ BEOMON, 37, FOI PRESA TEMPORARIAMENTE NA MANHÃ DESTA SEGUNDA-FEIRA (18), PELO HOMICÍDIO DA VENEZUELANA YEIMY YENILETH VARGAS RODRÍGUEZ, 27</t>
        </is>
      </c>
      <c r="J94" t="inlineStr"/>
      <c r="K94" t="n">
        <v>0</v>
      </c>
      <c r="L94" t="n">
        <v>1</v>
      </c>
      <c r="M94" t="n">
        <v>0</v>
      </c>
      <c r="N94" t="n">
        <v>0</v>
      </c>
      <c r="O94" t="n">
        <v>1</v>
      </c>
      <c r="P94">
        <f>HYPERLINK("https://www.acritica.com/policia/policia-prende-suspeita-de-mandar-matar-venezuelana-na-zona-leste-de-manaus-1.276260", "URL")</f>
        <v/>
      </c>
      <c r="Q94">
        <f>HYPERLINK("https://raw.githubusercontent.com/marcosmapl/dataset_imigrantes/main/materias_filtered/a_critica/venezuelanos/2022/06_jul/html/1.276260_344.html", "HTML")</f>
        <v/>
      </c>
      <c r="R94">
        <f>HYPERLINK("https://raw.githubusercontent.com/marcosmapl/dataset_imigrantes/main/materias_filtered/a_critica/venezuelanos/2022/06_jul/txt/1.276260_344.txt", "TXT")</f>
        <v/>
      </c>
    </row>
    <row r="95">
      <c r="A95" s="1" t="n">
        <v>93</v>
      </c>
      <c r="B95" t="n">
        <v>2022</v>
      </c>
      <c r="C95" s="2" t="n">
        <v>44759.78956164352</v>
      </c>
      <c r="D95" t="inlineStr">
        <is>
          <t>G1</t>
        </is>
      </c>
      <c r="E95" t="inlineStr">
        <is>
          <t>VENEZUELANOS</t>
        </is>
      </c>
      <c r="F95" t="inlineStr">
        <is>
          <t>MUNDO</t>
        </is>
      </c>
      <c r="G95" t="inlineStr">
        <is>
          <t>G1</t>
        </is>
      </c>
      <c r="H95" t="inlineStr">
        <is>
          <t>TRÊS IMIGRANTES VENEZUELANOS SÃO ENCONTRADOS MORTOS EM CONTAINER NO CHILE</t>
        </is>
      </c>
      <c r="I95" t="inlineStr">
        <is>
          <t>AS VÍTIMAS ESTAVAM EM SITUAÇÃO DE RUA E, SEGUNDO A POLÍCIA LOCAL, FORAM ASFIXIADOS PELA FUMAÇA DE UMA FOGUEIRA QUE ACENDERAM PARA SE PROTEGER DO FRIO.</t>
        </is>
      </c>
      <c r="J95" t="inlineStr"/>
      <c r="K95" t="n">
        <v>0</v>
      </c>
      <c r="L95" t="n">
        <v>1</v>
      </c>
      <c r="M95" t="n">
        <v>0</v>
      </c>
      <c r="N95" t="n">
        <v>0</v>
      </c>
      <c r="O95" t="n">
        <v>2</v>
      </c>
      <c r="P95">
        <f>HYPERLINK("https://g1.globo.com/mundo/noticia/2022/07/17/tres-imigrantes-venezuelanos-sao-encontrados-mortos-em-container-no-chile.ghtml", "URL")</f>
        <v/>
      </c>
      <c r="Q95">
        <f>HYPERLINK("https://raw.githubusercontent.com/marcosmapl/dataset_imigrantes/main/materias_filtered/g1/venezuelanos/2022/06_jul/html/g1_221531a6-2307-11ed-b24f-6dbe51e79fca_2299.html", "HTML")</f>
        <v/>
      </c>
      <c r="R95">
        <f>HYPERLINK("https://raw.githubusercontent.com/marcosmapl/dataset_imigrantes/main/materias_filtered/g1/venezuelanos/2022/06_jul/txt/g1_221531a6-2307-11ed-b24f-6dbe51e79fca_2299.txt", "TXT")</f>
        <v/>
      </c>
    </row>
    <row r="96">
      <c r="A96" s="1" t="n">
        <v>94</v>
      </c>
      <c r="B96" t="n">
        <v>2022</v>
      </c>
      <c r="C96" s="2" t="n">
        <v>44758.62519675926</v>
      </c>
      <c r="D96" t="inlineStr">
        <is>
          <t>A CRITICA</t>
        </is>
      </c>
      <c r="E96" t="inlineStr">
        <is>
          <t>VENEZUELANOS</t>
        </is>
      </c>
      <c r="F96" t="inlineStr">
        <is>
          <t>POLICIA</t>
        </is>
      </c>
      <c r="G96" t="inlineStr"/>
      <c r="H96" t="inlineStr">
        <is>
          <t>DUAS PESSOAS FICAM FERIDAS EM ATENTADO NO CENTRO</t>
        </is>
      </c>
      <c r="I96" t="inlineStr">
        <is>
          <t>ANTES DO TIROTEIO, SUSPEITOS JOGARAM UM EXPLOSIVO NO LOCAL DA AÇÃO</t>
        </is>
      </c>
      <c r="J96" t="inlineStr"/>
      <c r="K96" t="n">
        <v>0</v>
      </c>
      <c r="L96" t="n">
        <v>1</v>
      </c>
      <c r="M96" t="n">
        <v>0</v>
      </c>
      <c r="N96" t="n">
        <v>0</v>
      </c>
      <c r="O96" t="n">
        <v>0</v>
      </c>
      <c r="P96">
        <f>HYPERLINK("https://www.acritica.com/policia/duas-pessoas-ficam-feridas-em-atentado-no-centro-1.276080", "URL")</f>
        <v/>
      </c>
      <c r="Q96">
        <f>HYPERLINK("https://raw.githubusercontent.com/marcosmapl/dataset_imigrantes/main/materias_filtered/a_critica/venezuelanos/2022/06_jul/html/1.276080_17.html", "HTML")</f>
        <v/>
      </c>
      <c r="R96">
        <f>HYPERLINK("https://raw.githubusercontent.com/marcosmapl/dataset_imigrantes/main/materias_filtered/a_critica/venezuelanos/2022/06_jul/txt/1.276080_17.txt", "TXT")</f>
        <v/>
      </c>
    </row>
    <row r="97">
      <c r="A97" s="1" t="n">
        <v>95</v>
      </c>
      <c r="B97" t="n">
        <v>2022</v>
      </c>
      <c r="C97" s="2" t="n">
        <v>44757.57145815972</v>
      </c>
      <c r="D97" t="inlineStr">
        <is>
          <t>G1</t>
        </is>
      </c>
      <c r="E97" t="inlineStr">
        <is>
          <t>VENEZUELANOS</t>
        </is>
      </c>
      <c r="F97" t="inlineStr">
        <is>
          <t>RORAIMA</t>
        </is>
      </c>
      <c r="G97" t="inlineStr">
        <is>
          <t>G1 RR — BOA VISTA</t>
        </is>
      </c>
      <c r="H97" t="inlineStr">
        <is>
          <t>CORPOS ENCONTRADOS DECAPITADOS E ENROLADOS EM LENÇOL ERAM DE JOVENS MIGRANTES, EM BOA VISTA</t>
        </is>
      </c>
      <c r="I97" t="inlineStr">
        <is>
          <t>VÍTIMAS SÃO OS VENEZUELANOS MOISES ALEJANDRO ALCALÁ TOCHON, DE 18 ANOS, E VICTOR MANUEL VALBUENA, DE 19 ANOS. CORPOS FORAM LOCALIZADOS NA TERÇA-FEIRA (12), NO BAIRRO SÃO VICENTE.</t>
        </is>
      </c>
      <c r="J97" t="inlineStr"/>
      <c r="K97" t="n">
        <v>0</v>
      </c>
      <c r="L97" t="n">
        <v>1</v>
      </c>
      <c r="M97" t="n">
        <v>0</v>
      </c>
      <c r="N97" t="n">
        <v>0</v>
      </c>
      <c r="O97" t="n">
        <v>3</v>
      </c>
      <c r="P97">
        <f>HYPERLINK("https://g1.globo.com/rr/roraima/noticia/2022/07/15/corpos-encontrados-decapitados-e-enrolados-em-lencol-eram-de-jovens-migrantes-em-boa-vista.ghtml", "URL")</f>
        <v/>
      </c>
      <c r="Q97">
        <f>HYPERLINK("https://raw.githubusercontent.com/marcosmapl/dataset_imigrantes/main/materias_filtered/g1/venezuelanos/2022/06_jul/html/g1_106f1e0e-2310-11ed-b24f-6dbe51e79fca_2837.html", "HTML")</f>
        <v/>
      </c>
      <c r="R97">
        <f>HYPERLINK("https://raw.githubusercontent.com/marcosmapl/dataset_imigrantes/main/materias_filtered/g1/venezuelanos/2022/06_jul/txt/g1_106f1e0e-2310-11ed-b24f-6dbe51e79fca_2837.txt", "TXT")</f>
        <v/>
      </c>
    </row>
    <row r="98">
      <c r="A98" s="1" t="n">
        <v>96</v>
      </c>
      <c r="B98" t="n">
        <v>2022</v>
      </c>
      <c r="C98" s="2" t="n">
        <v>44757.03409586805</v>
      </c>
      <c r="D98" t="inlineStr">
        <is>
          <t>G1</t>
        </is>
      </c>
      <c r="E98" t="inlineStr">
        <is>
          <t>AMBOS</t>
        </is>
      </c>
      <c r="F98" t="inlineStr">
        <is>
          <t>PARANÁ</t>
        </is>
      </c>
      <c r="G98" t="inlineStr">
        <is>
          <t>G1 PR E RPC CURITIBA — CURITIBA</t>
        </is>
      </c>
      <c r="H98" t="inlineStr">
        <is>
          <t>QUASE DOIS MILHÕES DE PARANAENSES PASSAM O MÊS COM MENOS DE R$ 500, REVELA MAPA DA POBREZA</t>
        </is>
      </c>
      <c r="I98" t="inlineStr">
        <is>
          <t>NÚMERO REPRESENTA 17,6% DA POPULAÇÃO DO ESTADO. REGIÕES COM MAIS PESSOAS NA MARGEM DA POBREZA SÃO NORTE CENTRAL E NORTE PIONEIRO, SEGUNDO PESQUISA.</t>
        </is>
      </c>
      <c r="J98" t="inlineStr"/>
      <c r="K98" t="n">
        <v>0</v>
      </c>
      <c r="L98" t="n">
        <v>2</v>
      </c>
      <c r="M98" t="n">
        <v>1</v>
      </c>
      <c r="N98" t="n">
        <v>0</v>
      </c>
      <c r="O98" t="n">
        <v>4</v>
      </c>
      <c r="P98">
        <f>HYPERLINK("https://g1.globo.com/pr/parana/noticia/2022/07/14/quase-dois-milhoes-de-paranaenses-passam-o-mes-com-menos-de-r-500-revela-mapa-da-pobreza.ghtml", "URL")</f>
        <v/>
      </c>
      <c r="Q98">
        <f>HYPERLINK("https://raw.githubusercontent.com/marcosmapl/dataset_imigrantes/main/materias_filtered/g1/ambos/2022/06_jul/html/g1_6752307a-22f8-11ed-b24f-6dbe51e79fca_2131.html", "HTML")</f>
        <v/>
      </c>
      <c r="R98">
        <f>HYPERLINK("https://raw.githubusercontent.com/marcosmapl/dataset_imigrantes/main/materias_filtered/g1/ambos/2022/06_jul/txt/g1_6752307a-22f8-11ed-b24f-6dbe51e79fca_2131.txt", "TXT")</f>
        <v/>
      </c>
    </row>
    <row r="99">
      <c r="A99" s="1" t="n">
        <v>97</v>
      </c>
      <c r="B99" t="n">
        <v>2022</v>
      </c>
      <c r="C99" s="2" t="n">
        <v>44757.01448339121</v>
      </c>
      <c r="D99" t="inlineStr">
        <is>
          <t>G1</t>
        </is>
      </c>
      <c r="E99" t="inlineStr">
        <is>
          <t>VENEZUELANOS</t>
        </is>
      </c>
      <c r="F99" t="inlineStr">
        <is>
          <t>MUNDO</t>
        </is>
      </c>
      <c r="G99" t="inlineStr">
        <is>
          <t>G1</t>
        </is>
      </c>
      <c r="H99" t="inlineStr">
        <is>
          <t>JOHN BOLTON, EX-ASSESSOR DE TRUMP, ADMITE TER PLANEJADO GOLPE CONTRA VENEZUELA, E DIRIGENTE CHAVISTA RESPONDE: 'LOUCO'</t>
        </is>
      </c>
      <c r="I99" t="inlineStr">
        <is>
          <t>EM 2019, OS EUA RECONHECERAM JUAN GUAIDÓ COMO PRESIDENTE DA VENEZUELA. HOUVE UMA TENTATIVA DE DERRUBAR NICOLÁS MADURO COM APOIO DOS MILITARES QUE FRACASSOU.</t>
        </is>
      </c>
      <c r="J99" t="inlineStr"/>
      <c r="K99" t="n">
        <v>0</v>
      </c>
      <c r="L99" t="n">
        <v>2</v>
      </c>
      <c r="M99" t="n">
        <v>1</v>
      </c>
      <c r="N99" t="n">
        <v>0</v>
      </c>
      <c r="O99" t="n">
        <v>4</v>
      </c>
      <c r="P99">
        <f>HYPERLINK("https://g1.globo.com/mundo/noticia/2022/07/14/john-bolton-ex-assessor-de-trump-admite-ter-planejado-golpe-contra-venezuela-e-dirigente-chavista-responde-louco.ghtml", "URL")</f>
        <v/>
      </c>
      <c r="Q99">
        <f>HYPERLINK("https://raw.githubusercontent.com/marcosmapl/dataset_imigrantes/main/materias_filtered/g1/venezuelanos/2022/06_jul/html/g1_178dd396-2316-11ed-b24f-6dbe51e79fca_3126.html", "HTML")</f>
        <v/>
      </c>
      <c r="R99">
        <f>HYPERLINK("https://raw.githubusercontent.com/marcosmapl/dataset_imigrantes/main/materias_filtered/g1/venezuelanos/2022/06_jul/txt/g1_178dd396-2316-11ed-b24f-6dbe51e79fca_3126.txt", "TXT")</f>
        <v/>
      </c>
    </row>
    <row r="100">
      <c r="A100" s="1" t="n">
        <v>98</v>
      </c>
      <c r="B100" t="n">
        <v>2022</v>
      </c>
      <c r="C100" s="2" t="n">
        <v>44756.06789431713</v>
      </c>
      <c r="D100" t="inlineStr">
        <is>
          <t>G1</t>
        </is>
      </c>
      <c r="E100" t="inlineStr">
        <is>
          <t>VENEZUELANOS</t>
        </is>
      </c>
      <c r="F100" t="inlineStr">
        <is>
          <t>AMAZONAS</t>
        </is>
      </c>
      <c r="G100" t="inlineStr">
        <is>
          <t>G1 AM</t>
        </is>
      </c>
      <c r="H100" t="inlineStr">
        <is>
          <t>SUSPEITO DE MATAR VENEZUELANA EM MANAUS DIZ QUE ESTAVA 'SOB EFEITO DE DROGAS', APONTA PC-AM</t>
        </is>
      </c>
      <c r="I100" t="inlineStr">
        <is>
          <t>ELE CHEGOU A MANAUS NESTA QUARTA-FEIRA (13) PARA SER INTERROGADO.</t>
        </is>
      </c>
      <c r="J100" t="inlineStr"/>
      <c r="K100" t="n">
        <v>0</v>
      </c>
      <c r="L100" t="n">
        <v>2</v>
      </c>
      <c r="M100" t="n">
        <v>1</v>
      </c>
      <c r="N100" t="n">
        <v>0</v>
      </c>
      <c r="O100" t="n">
        <v>3</v>
      </c>
      <c r="P100">
        <f>HYPERLINK("https://g1.globo.com/am/amazonas/noticia/2022/07/13/suspeito-de-matar-venezuelana-em-manaus-diz-que-estava-sob-efeito-de-drogas-aponta-pc-am.ghtml", "URL")</f>
        <v/>
      </c>
      <c r="Q100">
        <f>HYPERLINK("https://raw.githubusercontent.com/marcosmapl/dataset_imigrantes/main/materias_filtered/g1/venezuelanos/2022/06_jul/html/g1_63ef437c-232b-11ed-b24f-6dbe51e79fca_4242.html", "HTML")</f>
        <v/>
      </c>
      <c r="R100">
        <f>HYPERLINK("https://raw.githubusercontent.com/marcosmapl/dataset_imigrantes/main/materias_filtered/g1/venezuelanos/2022/06_jul/txt/g1_63ef437c-232b-11ed-b24f-6dbe51e79fca_4242.txt", "TXT")</f>
        <v/>
      </c>
    </row>
    <row r="101">
      <c r="A101" s="1" t="n">
        <v>99</v>
      </c>
      <c r="B101" t="n">
        <v>2022</v>
      </c>
      <c r="C101" s="2" t="n">
        <v>44755.83473825231</v>
      </c>
      <c r="D101" t="inlineStr">
        <is>
          <t>G1</t>
        </is>
      </c>
      <c r="E101" t="inlineStr">
        <is>
          <t>VENEZUELANOS</t>
        </is>
      </c>
      <c r="F101" t="inlineStr">
        <is>
          <t>RORAIMA</t>
        </is>
      </c>
      <c r="G101" t="inlineStr">
        <is>
          <t>G1 RR — BOA VISTA</t>
        </is>
      </c>
      <c r="H101" t="inlineStr">
        <is>
          <t>MÃE DE PILOTO PARAENSE DESAPARECIDO EM ÁREA DE FLORESTA NA FRONTEIRA COM A VENEZUELA PEDE AJUDA A AUTORIDADES BRASILEIRAS</t>
        </is>
      </c>
      <c r="I101" t="inlineStr">
        <is>
          <t>ROBERT BENTO DOS SANTOS MENEGACE, DE 26 ANOS, DESAPARECEU NO DIA 24 DE JUNHO QUANDO VOLTAVA DE UM VOO PARA DEIXAR MANTIMENTOS EM UM GARIMPO NA VENEZUELA. MÃE REGISTROU SUMIÇO NA POLÍCIA CIVIL, FAB E ITAMARATY.</t>
        </is>
      </c>
      <c r="J101" t="inlineStr"/>
      <c r="K101" t="n">
        <v>0</v>
      </c>
      <c r="L101" t="n">
        <v>1</v>
      </c>
      <c r="M101" t="n">
        <v>0</v>
      </c>
      <c r="N101" t="n">
        <v>0</v>
      </c>
      <c r="O101" t="n">
        <v>4</v>
      </c>
      <c r="P101">
        <f>HYPERLINK("https://g1.globo.com/rr/roraima/noticia/2022/07/13/mae-de-piloto-paraense-desaparecido-em-area-de-floresta-na-fronteira-com-venezuela-pede-ajuda-a-autoridades-brasileiras.ghtml", "URL")</f>
        <v/>
      </c>
      <c r="Q101">
        <f>HYPERLINK("https://raw.githubusercontent.com/marcosmapl/dataset_imigrantes/main/materias_filtered/g1/venezuelanos/2022/06_jul/html/g1_d444dd54-2307-11ed-b24f-6dbe51e79fca_2345.html", "HTML")</f>
        <v/>
      </c>
      <c r="R101">
        <f>HYPERLINK("https://raw.githubusercontent.com/marcosmapl/dataset_imigrantes/main/materias_filtered/g1/venezuelanos/2022/06_jul/txt/g1_d444dd54-2307-11ed-b24f-6dbe51e79fca_2345.txt", "TXT")</f>
        <v/>
      </c>
    </row>
    <row r="102">
      <c r="A102" s="1" t="n">
        <v>100</v>
      </c>
      <c r="B102" t="n">
        <v>2022</v>
      </c>
      <c r="C102" s="2" t="n">
        <v>44754.94412744213</v>
      </c>
      <c r="D102" t="inlineStr">
        <is>
          <t>G1</t>
        </is>
      </c>
      <c r="E102" t="inlineStr">
        <is>
          <t>VENEZUELANOS</t>
        </is>
      </c>
      <c r="F102" t="inlineStr">
        <is>
          <t>AMAZONAS</t>
        </is>
      </c>
      <c r="G102" t="inlineStr">
        <is>
          <t>G1 AM</t>
        </is>
      </c>
      <c r="H102" t="inlineStr">
        <is>
          <t>PRESO EM BOA VISTA, SUSPEITO DE MATAR VENEZUELANA SERÁ INTERROGADO EM MANAUS NESTA QUARTA (13)</t>
        </is>
      </c>
      <c r="I102" t="inlineStr">
        <is>
          <t>SEGUNDO A PC-AM, O SUSPEITO DEVE SER LEVADO À SEDE DA DEHS, ONDE PASSARÁ POR INTERROGATÓRIO PARA ESCLARECER AS MOTIVAÇÕES DO CRIME.</t>
        </is>
      </c>
      <c r="J102" t="inlineStr"/>
      <c r="K102" t="n">
        <v>0</v>
      </c>
      <c r="L102" t="n">
        <v>4</v>
      </c>
      <c r="M102" t="n">
        <v>1</v>
      </c>
      <c r="N102" t="n">
        <v>0</v>
      </c>
      <c r="O102" t="n">
        <v>3</v>
      </c>
      <c r="P102">
        <f>HYPERLINK("https://g1.globo.com/am/amazonas/noticia/2022/07/12/preso-em-boa-vista-suspeito-de-matar-venezuelana-sera-interrogado-em-manaus-nesta-quarta-13.ghtml", "URL")</f>
        <v/>
      </c>
      <c r="Q102">
        <f>HYPERLINK("https://raw.githubusercontent.com/marcosmapl/dataset_imigrantes/main/materias_filtered/g1/venezuelanos/2022/06_jul/html/g1_5e916e3e-231f-11ed-b24f-6dbe51e79fca_3617.html", "HTML")</f>
        <v/>
      </c>
      <c r="R102">
        <f>HYPERLINK("https://raw.githubusercontent.com/marcosmapl/dataset_imigrantes/main/materias_filtered/g1/venezuelanos/2022/06_jul/txt/g1_5e916e3e-231f-11ed-b24f-6dbe51e79fca_3617.txt", "TXT")</f>
        <v/>
      </c>
    </row>
    <row r="103">
      <c r="A103" s="1" t="n">
        <v>101</v>
      </c>
      <c r="B103" t="n">
        <v>2022</v>
      </c>
      <c r="C103" s="2" t="n">
        <v>44754.83311480324</v>
      </c>
      <c r="D103" t="inlineStr">
        <is>
          <t>G1</t>
        </is>
      </c>
      <c r="E103" t="inlineStr">
        <is>
          <t>VENEZUELANOS</t>
        </is>
      </c>
      <c r="F103" t="inlineStr">
        <is>
          <t>RORAIMA</t>
        </is>
      </c>
      <c r="G103" t="inlineStr">
        <is>
          <t>G1 RR — BOA VISTA</t>
        </is>
      </c>
      <c r="H103" t="inlineStr">
        <is>
          <t>SUSPEITO DE MATAR VENEZUELANA A FACADAS EM MANAUS É PRESO EM BOA VISTA</t>
        </is>
      </c>
      <c r="I103" t="inlineStr">
        <is>
          <t>ANDREAS  MUÑOZ, DE 31 ANOS, FOI PRESO NUMA AÇÃO CONJUNTA DE AGENTES DA DIVISÃO DE INTELIGÊNCIA E CAPTURA (DICAP) E DA DELEGACIA ESPECIALIZADA EM HOMICÍDIOS E SEQUESTROS (DEHS) DO AMAZONAS.</t>
        </is>
      </c>
      <c r="J103" t="inlineStr"/>
      <c r="K103" t="n">
        <v>0</v>
      </c>
      <c r="L103" t="n">
        <v>1</v>
      </c>
      <c r="M103" t="n">
        <v>1</v>
      </c>
      <c r="N103" t="n">
        <v>0</v>
      </c>
      <c r="O103" t="n">
        <v>3</v>
      </c>
      <c r="P103">
        <f>HYPERLINK("https://g1.globo.com/rr/roraima/noticia/2022/07/12/suspeito-de-matar-venezuelana-a-facadas-em-manaus-e-preso-em-boa-vista.ghtml", "URL")</f>
        <v/>
      </c>
      <c r="Q103">
        <f>HYPERLINK("https://raw.githubusercontent.com/marcosmapl/dataset_imigrantes/main/materias_filtered/g1/venezuelanos/2022/06_jul/html/g1_13a042d2-2316-11ed-b24f-6dbe51e79fca_3125.html", "HTML")</f>
        <v/>
      </c>
      <c r="R103">
        <f>HYPERLINK("https://raw.githubusercontent.com/marcosmapl/dataset_imigrantes/main/materias_filtered/g1/venezuelanos/2022/06_jul/txt/g1_13a042d2-2316-11ed-b24f-6dbe51e79fca_3125.txt", "TXT")</f>
        <v/>
      </c>
    </row>
    <row r="104">
      <c r="A104" s="1" t="n">
        <v>102</v>
      </c>
      <c r="B104" t="n">
        <v>2022</v>
      </c>
      <c r="C104" s="2" t="n">
        <v>44754.60899305555</v>
      </c>
      <c r="D104" t="inlineStr">
        <is>
          <t>A CRITICA</t>
        </is>
      </c>
      <c r="E104" t="inlineStr">
        <is>
          <t>VENEZUELANOS</t>
        </is>
      </c>
      <c r="F104" t="inlineStr">
        <is>
          <t>POLICIA</t>
        </is>
      </c>
      <c r="G104" t="inlineStr">
        <is>
          <t>NATASHA PINTO</t>
        </is>
      </c>
      <c r="H104" t="inlineStr">
        <is>
          <t>PRINCIPAL SUSPEITO DE ESFAQUEAR VENEZUELANA ATÉ A MORTE É PRESO EM RORAIMA</t>
        </is>
      </c>
      <c r="I104" t="inlineStr">
        <is>
          <t>O TAMBÉM VENEZUELANO ANDRES MUÑOS FOI PRESO EM UMA PRAÇA DE BOA VISTA. YEIME YANILETH RODRIGUES, DE 27 ANOS, FOI ASSASSINADA DENTRO DA PRÓPRIA CASA NO MAUAZINHO</t>
        </is>
      </c>
      <c r="J104" t="inlineStr"/>
      <c r="K104" t="n">
        <v>0</v>
      </c>
      <c r="L104" t="n">
        <v>1</v>
      </c>
      <c r="M104" t="n">
        <v>0</v>
      </c>
      <c r="N104" t="n">
        <v>0</v>
      </c>
      <c r="O104" t="n">
        <v>1</v>
      </c>
      <c r="P104">
        <f>HYPERLINK("https://www.acritica.com/policia/principal-suspeito-de-esfaquear-venezuelana-ate-a-morte-e-preso-em-roraima-1.275732", "URL")</f>
        <v/>
      </c>
      <c r="Q104">
        <f>HYPERLINK("https://raw.githubusercontent.com/marcosmapl/dataset_imigrantes/main/materias_filtered/a_critica/venezuelanos/2022/06_jul/html/1.275732_131.html", "HTML")</f>
        <v/>
      </c>
      <c r="R104">
        <f>HYPERLINK("https://raw.githubusercontent.com/marcosmapl/dataset_imigrantes/main/materias_filtered/a_critica/venezuelanos/2022/06_jul/txt/1.275732_131.txt", "TXT")</f>
        <v/>
      </c>
    </row>
    <row r="105">
      <c r="A105" s="1" t="n">
        <v>103</v>
      </c>
      <c r="B105" t="n">
        <v>2022</v>
      </c>
      <c r="C105" s="2" t="n">
        <v>44753.99720657407</v>
      </c>
      <c r="D105" t="inlineStr">
        <is>
          <t>G1</t>
        </is>
      </c>
      <c r="E105" t="inlineStr">
        <is>
          <t>VENEZUELANOS</t>
        </is>
      </c>
      <c r="F105" t="inlineStr">
        <is>
          <t>MUNDO</t>
        </is>
      </c>
      <c r="G105" t="inlineStr">
        <is>
          <t>REUTERS</t>
        </is>
      </c>
      <c r="H105" t="inlineStr">
        <is>
          <t>EUA DEVEM RENOVAR, MAS NÃO EXPANDIR, PROTEÇÃO HUMANITÁRIA PARA VENEZUELANOS NO PAÍS</t>
        </is>
      </c>
      <c r="I105" t="inlineStr">
        <is>
          <t>O GOVERNO BIDEN IRÁ OFERECER UMA EXTENSÃO DE 18 MESES DO PROGRAMA PARA VENEZUELANOS QUE ESTAVAM NOS EUA ATÉ 8 DE MARÇO DE 2021, MAS NÃO PERMITIRÁ QUE AQUELES QUE CHEGARAM MAIS RECENTEMENTE SE INSCREVAM.</t>
        </is>
      </c>
      <c r="J105" t="inlineStr"/>
      <c r="K105" t="n">
        <v>0</v>
      </c>
      <c r="L105" t="n">
        <v>3</v>
      </c>
      <c r="M105" t="n">
        <v>0</v>
      </c>
      <c r="N105" t="n">
        <v>0</v>
      </c>
      <c r="O105" t="n">
        <v>3</v>
      </c>
      <c r="P105">
        <f>HYPERLINK("https://g1.globo.com/mundo/noticia/2022/07/11/eua-devem-renovar-mas-nao-expandir-protecao-humanitaria-para-venezuelanos-no-pais.ghtml", "URL")</f>
        <v/>
      </c>
      <c r="Q105">
        <f>HYPERLINK("https://raw.githubusercontent.com/marcosmapl/dataset_imigrantes/main/materias_filtered/g1/venezuelanos/2022/06_jul/html/g1_9ebc70c6-2310-11ed-b24f-6dbe51e79fca_2866.html", "HTML")</f>
        <v/>
      </c>
      <c r="R105">
        <f>HYPERLINK("https://raw.githubusercontent.com/marcosmapl/dataset_imigrantes/main/materias_filtered/g1/venezuelanos/2022/06_jul/txt/g1_9ebc70c6-2310-11ed-b24f-6dbe51e79fca_2866.txt", "TXT")</f>
        <v/>
      </c>
    </row>
    <row r="106">
      <c r="A106" s="1" t="n">
        <v>104</v>
      </c>
      <c r="B106" t="n">
        <v>2022</v>
      </c>
      <c r="C106" s="2" t="n">
        <v>44752.72596064815</v>
      </c>
      <c r="D106" t="inlineStr">
        <is>
          <t>A CRITICA</t>
        </is>
      </c>
      <c r="E106" t="inlineStr">
        <is>
          <t>VENEZUELANOS</t>
        </is>
      </c>
      <c r="F106" t="inlineStr">
        <is>
          <t>ESPORTES</t>
        </is>
      </c>
      <c r="G106" t="inlineStr">
        <is>
          <t>AGÊNCIA BRASIL</t>
        </is>
      </c>
      <c r="H106" t="inlineStr">
        <is>
          <t>IPPON RELÂMPAGO DÁ BRONZE A MAYRA AGUIAR NO GRAND SLAM DE BUDAPESTE</t>
        </is>
      </c>
      <c r="I106" t="inlineStr">
        <is>
          <t>BRASIL ENCERRA 1º TORNEIO QUE VALEU PONTOS PARA 2024 COM TRÊS PÓDIOS</t>
        </is>
      </c>
      <c r="J106" t="inlineStr">
        <is>
          <t>GRAND SLAM DE JUDÔ, JUDÔ, MAYRA AGUIAR, PÓDIO</t>
        </is>
      </c>
      <c r="K106" t="n">
        <v>4</v>
      </c>
      <c r="L106" t="n">
        <v>1</v>
      </c>
      <c r="M106" t="n">
        <v>0</v>
      </c>
      <c r="N106" t="n">
        <v>0</v>
      </c>
      <c r="O106" t="n">
        <v>4</v>
      </c>
      <c r="P106">
        <f>HYPERLINK("https://www.acritica.com/esportes/ippon-relampago-da-bronze-a-mayra-aguiar-no-grand-slam-de-budapeste-1.275590", "URL")</f>
        <v/>
      </c>
      <c r="Q106">
        <f>HYPERLINK("https://raw.githubusercontent.com/marcosmapl/dataset_imigrantes/main/materias_filtered/a_critica/venezuelanos/2022/06_jul/html/1.275590_704.html", "HTML")</f>
        <v/>
      </c>
      <c r="R106">
        <f>HYPERLINK("https://raw.githubusercontent.com/marcosmapl/dataset_imigrantes/main/materias_filtered/a_critica/venezuelanos/2022/06_jul/txt/1.275590_704.txt", "TXT")</f>
        <v/>
      </c>
    </row>
    <row r="107">
      <c r="A107" s="1" t="n">
        <v>105</v>
      </c>
      <c r="B107" t="n">
        <v>2022</v>
      </c>
      <c r="C107" s="2" t="n">
        <v>44752.67380787037</v>
      </c>
      <c r="D107" t="inlineStr">
        <is>
          <t>A CRITICA</t>
        </is>
      </c>
      <c r="E107" t="inlineStr">
        <is>
          <t>VENEZUELANOS</t>
        </is>
      </c>
      <c r="F107" t="inlineStr">
        <is>
          <t>ESPORTES</t>
        </is>
      </c>
      <c r="G107" t="inlineStr">
        <is>
          <t>AGÊNCIA BRASIL</t>
        </is>
      </c>
      <c r="H107" t="inlineStr">
        <is>
          <t>ADRIANA BRILHA COM A CAMISA DA SELEÇÃO BRASILEIRA NA COPA AMÉRICA, NA COLÔMBIA</t>
        </is>
      </c>
      <c r="I107" t="inlineStr">
        <is>
          <t>ELA FOI ELEITA A MELHOR EM CAMPO NA GOLEADA SOBRE ARGENTINA: 4X0</t>
        </is>
      </c>
      <c r="J107" t="inlineStr">
        <is>
          <t>COPA AMÉRICA, SELEÇÃO BRASILEIRA, SELEÇÃO BRASILEIRA FEMININA</t>
        </is>
      </c>
      <c r="K107" t="n">
        <v>3</v>
      </c>
      <c r="L107" t="n">
        <v>1</v>
      </c>
      <c r="M107" t="n">
        <v>0</v>
      </c>
      <c r="N107" t="n">
        <v>0</v>
      </c>
      <c r="O107" t="n">
        <v>3</v>
      </c>
      <c r="P107">
        <f>HYPERLINK("https://www.acritica.com/esportes/adriana-brilha-com-a-camisa-da-selec-o-brasileira-na-copa-america-na-colombia-1.275584", "URL")</f>
        <v/>
      </c>
      <c r="Q107">
        <f>HYPERLINK("https://raw.githubusercontent.com/marcosmapl/dataset_imigrantes/main/materias_filtered/a_critica/venezuelanos/2022/06_jul/html/1.275584_1055.html", "HTML")</f>
        <v/>
      </c>
      <c r="R107">
        <f>HYPERLINK("https://raw.githubusercontent.com/marcosmapl/dataset_imigrantes/main/materias_filtered/a_critica/venezuelanos/2022/06_jul/txt/1.275584_1055.txt", "TXT")</f>
        <v/>
      </c>
    </row>
    <row r="108">
      <c r="A108" s="1" t="n">
        <v>106</v>
      </c>
      <c r="B108" t="n">
        <v>2022</v>
      </c>
      <c r="C108" s="2" t="n">
        <v>44752.66065417824</v>
      </c>
      <c r="D108" t="inlineStr">
        <is>
          <t>G1</t>
        </is>
      </c>
      <c r="E108" t="inlineStr">
        <is>
          <t>VENEZUELANOS</t>
        </is>
      </c>
      <c r="F108" t="inlineStr">
        <is>
          <t>PARÁ</t>
        </is>
      </c>
      <c r="G108" t="inlineStr">
        <is>
          <t>G1 PARÁ — BELÉM</t>
        </is>
      </c>
      <c r="H108" t="inlineStr">
        <is>
          <t>PILOTO PARAENSE DESAPARECE EM FLORESTA DENTRO DE ÁREA INDÍGENA NA VENEZUELA, APÓS POUSO FORÇADO, DIZ FAMÍLIA</t>
        </is>
      </c>
      <c r="I108" t="inlineStr">
        <is>
          <t>ROBERT BENTO DOS SANTOS MENEGACE, DE 26 ANOS, VOLTAVA DE GARIMPO QUANDO DESAPARECEU NO ÚLTIMO DIA 24 DE JUNHO NA FRONTEIRA DO BRASIL COM O PAÍS VIZINHO. INDÍGENAS E PILOTO DE HELICÓPTERO AJUDAM NAS BUSCAS.</t>
        </is>
      </c>
      <c r="J108" t="inlineStr"/>
      <c r="K108" t="n">
        <v>0</v>
      </c>
      <c r="L108" t="n">
        <v>2</v>
      </c>
      <c r="M108" t="n">
        <v>1</v>
      </c>
      <c r="N108" t="n">
        <v>0</v>
      </c>
      <c r="O108" t="n">
        <v>6</v>
      </c>
      <c r="P108">
        <f>HYPERLINK("https://g1.globo.com/pa/para/noticia/2022/07/10/piloto-paraense-desaparece-em-floresta-dentro-de-area-indigena-na-venezuela-apos-pane-e-pouso-forcado-diz-familia.ghtml", "URL")</f>
        <v/>
      </c>
      <c r="Q108">
        <f>HYPERLINK("https://raw.githubusercontent.com/marcosmapl/dataset_imigrantes/main/materias_filtered/g1/venezuelanos/2022/06_jul/html/g1_184253fc-2307-11ed-b24f-6dbe51e79fca_2297.html", "HTML")</f>
        <v/>
      </c>
      <c r="R108">
        <f>HYPERLINK("https://raw.githubusercontent.com/marcosmapl/dataset_imigrantes/main/materias_filtered/g1/venezuelanos/2022/06_jul/txt/g1_184253fc-2307-11ed-b24f-6dbe51e79fca_2297.txt", "TXT")</f>
        <v/>
      </c>
    </row>
    <row r="109">
      <c r="A109" s="1" t="n">
        <v>107</v>
      </c>
      <c r="B109" t="n">
        <v>2022</v>
      </c>
      <c r="C109" s="2" t="n">
        <v>44752.47835756945</v>
      </c>
      <c r="D109" t="inlineStr">
        <is>
          <t>G1</t>
        </is>
      </c>
      <c r="E109" t="inlineStr">
        <is>
          <t>VENEZUELANOS</t>
        </is>
      </c>
      <c r="F109" t="inlineStr">
        <is>
          <t>MUNDO</t>
        </is>
      </c>
      <c r="G109" t="inlineStr">
        <is>
          <t>BBC</t>
        </is>
      </c>
      <c r="H109" t="inlineStr">
        <is>
          <t>POR QUE VENEZUELANOS ESTÃO VOLTANDO AO PAÍS APÓS ÊXODO HISTÓRICO</t>
        </is>
      </c>
      <c r="I109" t="inlineStr">
        <is>
          <t>ATÉ O FINAL DO ANO PASSADO, O NÚMERO DE VENEZUELANOS QUE HAVIA DEIXADO O PAÍS CHEGOU A 6 MILHÕES — MAS ALGUNS COMEÇARAM A VOLTAR AGORA.</t>
        </is>
      </c>
      <c r="J109" t="inlineStr"/>
      <c r="K109" t="n">
        <v>0</v>
      </c>
      <c r="L109" t="n">
        <v>1</v>
      </c>
      <c r="M109" t="n">
        <v>0</v>
      </c>
      <c r="N109" t="n">
        <v>0</v>
      </c>
      <c r="O109" t="n">
        <v>6</v>
      </c>
      <c r="P109">
        <f>HYPERLINK("https://g1.globo.com/mundo/noticia/2022/07/10/por-que-venezuelanos-estao-voltando-ao-pais-apos-exodo-historico.ghtml", "URL")</f>
        <v/>
      </c>
      <c r="Q109">
        <f>HYPERLINK("https://raw.githubusercontent.com/marcosmapl/dataset_imigrantes/main/materias_filtered/g1/venezuelanos/2022/06_jul/html/g1_78558402-2326-11ed-b24f-6dbe51e79fca_3978.html", "HTML")</f>
        <v/>
      </c>
      <c r="R109">
        <f>HYPERLINK("https://raw.githubusercontent.com/marcosmapl/dataset_imigrantes/main/materias_filtered/g1/venezuelanos/2022/06_jul/txt/g1_78558402-2326-11ed-b24f-6dbe51e79fca_3978.txt", "TXT")</f>
        <v/>
      </c>
    </row>
    <row r="110">
      <c r="A110" s="1" t="n">
        <v>108</v>
      </c>
      <c r="B110" t="n">
        <v>2022</v>
      </c>
      <c r="C110" s="2" t="n">
        <v>44752.06453731481</v>
      </c>
      <c r="D110" t="inlineStr">
        <is>
          <t>G1</t>
        </is>
      </c>
      <c r="E110" t="inlineStr">
        <is>
          <t>VENEZUELANOS</t>
        </is>
      </c>
      <c r="F110" t="inlineStr">
        <is>
          <t>JORNAL NACIONAL</t>
        </is>
      </c>
      <c r="G110" t="inlineStr">
        <is>
          <t>JORNAL NACIONAL</t>
        </is>
      </c>
      <c r="H110" t="inlineStr">
        <is>
          <t>BRASILEIROS SE DEDICAM AO TRABALHO VOLUNTÁRIO VOLTADO A VENEZUELANOS EM BH</t>
        </is>
      </c>
      <c r="I110" t="inlineStr">
        <is>
          <t>APESAR DO INTENSO TRABALHO DOS VOLUNTÁRIOS, AS ONGS AFIRMAM QUE AINDA FALTA GENTE PARA COMBATER UM DOS NOSSOS PROBLEMAS MAIS URGENTES: A FOME.</t>
        </is>
      </c>
      <c r="J110" t="inlineStr"/>
      <c r="K110" t="n">
        <v>0</v>
      </c>
      <c r="L110" t="n">
        <v>1</v>
      </c>
      <c r="M110" t="n">
        <v>1</v>
      </c>
      <c r="N110" t="n">
        <v>0</v>
      </c>
      <c r="O110" t="n">
        <v>3</v>
      </c>
      <c r="P110">
        <f>HYPERLINK("https://g1.globo.com/jornal-nacional/noticia/2022/07/09/brasileiros-se-dedicam-ao-trabalho-voluntario-voltado-a-venezuelanos-em-bh.ghtml", "URL")</f>
        <v/>
      </c>
      <c r="Q110">
        <f>HYPERLINK("https://raw.githubusercontent.com/marcosmapl/dataset_imigrantes/main/materias_filtered/g1/venezuelanos/2022/06_jul/html/g1_cc83b2f8-230b-11ed-b24f-6dbe51e79fca_2587.html", "HTML")</f>
        <v/>
      </c>
      <c r="R110">
        <f>HYPERLINK("https://raw.githubusercontent.com/marcosmapl/dataset_imigrantes/main/materias_filtered/g1/venezuelanos/2022/06_jul/txt/g1_cc83b2f8-230b-11ed-b24f-6dbe51e79fca_2587.txt", "TXT")</f>
        <v/>
      </c>
    </row>
    <row r="111">
      <c r="A111" s="1" t="n">
        <v>109</v>
      </c>
      <c r="B111" t="n">
        <v>2022</v>
      </c>
      <c r="C111" s="2" t="n">
        <v>44751.73892361111</v>
      </c>
      <c r="D111" t="inlineStr">
        <is>
          <t>A CRITICA</t>
        </is>
      </c>
      <c r="E111" t="inlineStr">
        <is>
          <t>VENEZUELANOS</t>
        </is>
      </c>
      <c r="F111" t="inlineStr">
        <is>
          <t>ESPORTES</t>
        </is>
      </c>
      <c r="G111" t="inlineStr">
        <is>
          <t>AGÊNCIA BRASIL</t>
        </is>
      </c>
      <c r="H111" t="inlineStr">
        <is>
          <t>GUILHERME SCHMIDT CONQUISTA OURO NO GRAND SLAM DE BUDAPESTE</t>
        </is>
      </c>
      <c r="I111" t="inlineStr">
        <is>
          <t>O JUDOCA GARANTIU 2º PÓDIO BRASILEIRO APÓS A PRATA DE RAFAELA SILVA</t>
        </is>
      </c>
      <c r="J111" t="inlineStr">
        <is>
          <t>GRAND SLAM DE JUDÔ, JUDÔ, MEDALHA DE OURO</t>
        </is>
      </c>
      <c r="K111" t="n">
        <v>3</v>
      </c>
      <c r="L111" t="n">
        <v>1</v>
      </c>
      <c r="M111" t="n">
        <v>0</v>
      </c>
      <c r="N111" t="n">
        <v>0</v>
      </c>
      <c r="O111" t="n">
        <v>3</v>
      </c>
      <c r="P111">
        <f>HYPERLINK("https://www.acritica.com/esportes/guilherme-schmidt-conquista-ouro-no-grand-slam-de-budapeste-1.275498", "URL")</f>
        <v/>
      </c>
      <c r="Q111">
        <f>HYPERLINK("https://raw.githubusercontent.com/marcosmapl/dataset_imigrantes/main/materias_filtered/a_critica/venezuelanos/2022/06_jul/html/1.275498_981.html", "HTML")</f>
        <v/>
      </c>
      <c r="R111">
        <f>HYPERLINK("https://raw.githubusercontent.com/marcosmapl/dataset_imigrantes/main/materias_filtered/a_critica/venezuelanos/2022/06_jul/txt/1.275498_981.txt", "TXT")</f>
        <v/>
      </c>
    </row>
    <row r="112">
      <c r="A112" s="1" t="n">
        <v>110</v>
      </c>
      <c r="B112" t="n">
        <v>2022</v>
      </c>
      <c r="C112" s="2" t="n">
        <v>44751.49795155093</v>
      </c>
      <c r="D112" t="inlineStr">
        <is>
          <t>G1</t>
        </is>
      </c>
      <c r="E112" t="inlineStr">
        <is>
          <t>VENEZUELANOS</t>
        </is>
      </c>
      <c r="F112" t="inlineStr">
        <is>
          <t>GOIÁS</t>
        </is>
      </c>
      <c r="G112" t="inlineStr">
        <is>
          <t>RAFAEL OLIVEIRA, EDUARDO MARINS E ADRIEL MORAIS, G1 GOIÁS E TV ANHANGUERA</t>
        </is>
      </c>
      <c r="H112" t="inlineStr">
        <is>
          <t>VENEZUELANO É SUSPEITO DE ESTUPRAR MENINA DE 10 ANOS QUE MORAVA COM ELE EM ANÁPOLIS</t>
        </is>
      </c>
      <c r="I112" t="inlineStr">
        <is>
          <t>GAROTA TAMBÉM É VENEZUELANA. A POLÍCIA CIVIL DISSE QUE O HOMEM TAMBÉM COLOCAVA A CRIANÇA PARA PEDIR DINHEIRO E COMIDA EM SEMÁFOROS DA CIDADE, CONFORME MOSTRA UM VÍDEO DE CÂMERA DE SEGURANÇA.</t>
        </is>
      </c>
      <c r="J112" t="inlineStr"/>
      <c r="K112" t="n">
        <v>0</v>
      </c>
      <c r="L112" t="n">
        <v>2</v>
      </c>
      <c r="M112" t="n">
        <v>1</v>
      </c>
      <c r="N112" t="n">
        <v>0</v>
      </c>
      <c r="O112" t="n">
        <v>8</v>
      </c>
      <c r="P112">
        <f>HYPERLINK("https://g1.globo.com/go/goias/noticia/2022/07/09/venezuelano-e-suspeito-de-estuprar-menina-de-10-anos-que-morava-com-ele-em-anapolis.ghtml", "URL")</f>
        <v/>
      </c>
      <c r="Q112">
        <f>HYPERLINK("https://raw.githubusercontent.com/marcosmapl/dataset_imigrantes/main/materias_filtered/g1/venezuelanos/2022/06_jul/html/g1_40369c0e-231d-11ed-b24f-6dbe51e79fca_3492.html", "HTML")</f>
        <v/>
      </c>
      <c r="R112">
        <f>HYPERLINK("https://raw.githubusercontent.com/marcosmapl/dataset_imigrantes/main/materias_filtered/g1/venezuelanos/2022/06_jul/txt/g1_40369c0e-231d-11ed-b24f-6dbe51e79fca_3492.txt", "TXT")</f>
        <v/>
      </c>
    </row>
    <row r="113">
      <c r="A113" s="1" t="n">
        <v>111</v>
      </c>
      <c r="B113" t="n">
        <v>2022</v>
      </c>
      <c r="C113" s="2" t="n">
        <v>44750.76185627315</v>
      </c>
      <c r="D113" t="inlineStr">
        <is>
          <t>G1</t>
        </is>
      </c>
      <c r="E113" t="inlineStr">
        <is>
          <t>VENEZUELANOS</t>
        </is>
      </c>
      <c r="F113" t="inlineStr">
        <is>
          <t>AMAZONAS</t>
        </is>
      </c>
      <c r="G113" t="inlineStr">
        <is>
          <t>G1 AM*</t>
        </is>
      </c>
      <c r="H113" t="inlineStr">
        <is>
          <t>VÍDEO MOSTRA AMIGO DEIXANDO VILA APÓS ASSASSINATO DE VENEZUELANA EM MANAUS</t>
        </is>
      </c>
      <c r="I113" t="inlineStr">
        <is>
          <t>NAS IMAGENS, O HOMEM APARECE DEIXANDO O LOCAL COM UMA MANCHA NAS MÃOS PARECIDA COM SANGUE, SEGUNDO A POLÍCIA CIVIL.</t>
        </is>
      </c>
      <c r="J113" t="inlineStr"/>
      <c r="K113" t="n">
        <v>0</v>
      </c>
      <c r="L113" t="n">
        <v>2</v>
      </c>
      <c r="M113" t="n">
        <v>1</v>
      </c>
      <c r="N113" t="n">
        <v>0</v>
      </c>
      <c r="O113" t="n">
        <v>3</v>
      </c>
      <c r="P113">
        <f>HYPERLINK("https://g1.globo.com/am/amazonas/noticia/2022/07/08/video-mostra-amigo-deixando-vila-apos-assassinato-de-venezuelana-em-manaus.ghtml", "URL")</f>
        <v/>
      </c>
      <c r="Q113">
        <f>HYPERLINK("https://raw.githubusercontent.com/marcosmapl/dataset_imigrantes/main/materias_filtered/g1/venezuelanos/2022/06_jul/html/g1_4d8d6668-230d-11ed-b24f-6dbe51e79fca_2680.html", "HTML")</f>
        <v/>
      </c>
      <c r="R113">
        <f>HYPERLINK("https://raw.githubusercontent.com/marcosmapl/dataset_imigrantes/main/materias_filtered/g1/venezuelanos/2022/06_jul/txt/g1_4d8d6668-230d-11ed-b24f-6dbe51e79fca_2680.txt", "TXT")</f>
        <v/>
      </c>
    </row>
    <row r="114">
      <c r="A114" s="1" t="n">
        <v>112</v>
      </c>
      <c r="B114" t="n">
        <v>2022</v>
      </c>
      <c r="C114" s="2" t="n">
        <v>44750.73474153935</v>
      </c>
      <c r="D114" t="inlineStr">
        <is>
          <t>G1</t>
        </is>
      </c>
      <c r="E114" t="inlineStr">
        <is>
          <t>HAITIANOS</t>
        </is>
      </c>
      <c r="F114" t="inlineStr">
        <is>
          <t>RIO GRANDE DO SUL</t>
        </is>
      </c>
      <c r="G114" t="inlineStr">
        <is>
          <t>MATHEUS BECK E ROGER RUFFATO, G1 RS E RBS TV CAXIAS DO SUL</t>
        </is>
      </c>
      <c r="H114" t="inlineStr">
        <is>
          <t>ANUNCIADOS FILMES QUE COMPETEM NO 50º FESTIVAL DE CINEMA DE GRAMADO; VEJA A LISTA</t>
        </is>
      </c>
      <c r="I114" t="inlineStr">
        <is>
          <t>LONGAS E CURTAS, GAÚCHOS, NACIONAIS E ESTRANGEIROS, SERÃO EXIBIDOS ENTRE OS DIAS 12 E 19 DE AGOSTO, NO PALÁCIO DOS FESTIVAIS. NO DIA 20, SERÃO REVELADOS OS VENCEDORES DOS KIKITOS.</t>
        </is>
      </c>
      <c r="J114" t="inlineStr"/>
      <c r="K114" t="n">
        <v>0</v>
      </c>
      <c r="L114" t="n">
        <v>2</v>
      </c>
      <c r="M114" t="n">
        <v>1</v>
      </c>
      <c r="N114" t="n">
        <v>0</v>
      </c>
      <c r="O114" t="n">
        <v>2</v>
      </c>
      <c r="P114">
        <f>HYPERLINK("https://g1.globo.com/rs/rio-grande-do-sul/noticia/2022/07/08/anunciados-filmes-que-competem-no-50o-festival-de-cinema-de-gramado-veja-a-lista.ghtml", "URL")</f>
        <v/>
      </c>
      <c r="Q114">
        <f>HYPERLINK("https://raw.githubusercontent.com/marcosmapl/dataset_imigrantes/main/materias_filtered/g1/haitianos/2022/06_jul/html/g1_61a7d58c-2323-11ed-b24f-6dbe51e79fca_3803.html", "HTML")</f>
        <v/>
      </c>
      <c r="R114">
        <f>HYPERLINK("https://raw.githubusercontent.com/marcosmapl/dataset_imigrantes/main/materias_filtered/g1/haitianos/2022/06_jul/txt/g1_61a7d58c-2323-11ed-b24f-6dbe51e79fca_3803.txt", "TXT")</f>
        <v/>
      </c>
    </row>
    <row r="115">
      <c r="A115" s="1" t="n">
        <v>113</v>
      </c>
      <c r="B115" t="n">
        <v>2022</v>
      </c>
      <c r="C115" s="2" t="n">
        <v>44750.62383101852</v>
      </c>
      <c r="D115" t="inlineStr">
        <is>
          <t>A CRITICA</t>
        </is>
      </c>
      <c r="E115" t="inlineStr">
        <is>
          <t>VENEZUELANOS</t>
        </is>
      </c>
      <c r="F115" t="inlineStr">
        <is>
          <t>POLICIA</t>
        </is>
      </c>
      <c r="G115" t="inlineStr">
        <is>
          <t>THIAGO MONTEIRO</t>
        </is>
      </c>
      <c r="H115" t="inlineStr">
        <is>
          <t>POLÍCIA PROCURA SUSPEITO DE ASSASSINATO A VENEZUELANA NO MAUAZINHO</t>
        </is>
      </c>
      <c r="I115" t="inlineStr">
        <is>
          <t>ANDRES EDUARDO MUNHOZ PINTO, 31, É PROCURADO PELO ASSASSINATO DE YEIMY YENILETH VARGAS RODRÍGUEZ, 27, MORTA A FACADAS NA TARDE DA ÚLTIMA TERÇA-FEIRA (5)</t>
        </is>
      </c>
      <c r="J115" t="inlineStr"/>
      <c r="K115" t="n">
        <v>0</v>
      </c>
      <c r="L115" t="n">
        <v>1</v>
      </c>
      <c r="M115" t="n">
        <v>0</v>
      </c>
      <c r="N115" t="n">
        <v>0</v>
      </c>
      <c r="O115" t="n">
        <v>0</v>
      </c>
      <c r="P115">
        <f>HYPERLINK("https://www.acritica.com/policia/policia-procura-suspeito-de-assassinato-a-venezuelana-no-mauazinho-1.275417", "URL")</f>
        <v/>
      </c>
      <c r="Q115">
        <f>HYPERLINK("https://raw.githubusercontent.com/marcosmapl/dataset_imigrantes/main/materias_filtered/a_critica/venezuelanos/2022/06_jul/html/1.275417_717.html", "HTML")</f>
        <v/>
      </c>
      <c r="R115">
        <f>HYPERLINK("https://raw.githubusercontent.com/marcosmapl/dataset_imigrantes/main/materias_filtered/a_critica/venezuelanos/2022/06_jul/txt/1.275417_717.txt", "TXT")</f>
        <v/>
      </c>
    </row>
    <row r="116">
      <c r="A116" s="1" t="n">
        <v>114</v>
      </c>
      <c r="B116" t="n">
        <v>2022</v>
      </c>
      <c r="C116" s="2" t="n">
        <v>44750.35443453704</v>
      </c>
      <c r="D116" t="inlineStr">
        <is>
          <t>G1</t>
        </is>
      </c>
      <c r="E116" t="inlineStr">
        <is>
          <t>HAITIANOS</t>
        </is>
      </c>
      <c r="F116" t="inlineStr">
        <is>
          <t>MUNDO</t>
        </is>
      </c>
      <c r="G116" t="inlineStr">
        <is>
          <t>FRANCE PRESSE</t>
        </is>
      </c>
      <c r="H116" t="inlineStr">
        <is>
          <t>UM ANO APÓS ASSASSINATO DE PRESIDENTE DO HAITI, INVESTIGAÇÃO ESTÁ PARALISADA</t>
        </is>
      </c>
      <c r="I116" t="inlineStr">
        <is>
          <t>DESDE A MORTE DE MOISE, A PRESIDÊNCIA ESTÁ VAGA E NÃO HÁ DATA PREVISTA PARA A ELEIÇÃO DE SEU SUCESSOR. CINCO JUÍZES DE INSTRUÇÃO SE SUCEDERAM NESTE CASO, E NENHUM DELES ACUSOU FORMALMENTE QUALQUER UMA DAS 40 PESSOAS PRESAS.</t>
        </is>
      </c>
      <c r="J116" t="inlineStr"/>
      <c r="K116" t="n">
        <v>0</v>
      </c>
      <c r="L116" t="n">
        <v>2</v>
      </c>
      <c r="M116" t="n">
        <v>1</v>
      </c>
      <c r="N116" t="n">
        <v>0</v>
      </c>
      <c r="O116" t="n">
        <v>5</v>
      </c>
      <c r="P116">
        <f>HYPERLINK("https://g1.globo.com/mundo/noticia/2022/07/08/um-ano-apos-assassinato-de-presidente-do-haiti-investigacao-esta-paralisada.ghtml", "URL")</f>
        <v/>
      </c>
      <c r="Q116">
        <f>HYPERLINK("https://raw.githubusercontent.com/marcosmapl/dataset_imigrantes/main/materias_filtered/g1/haitianos/2022/06_jul/html/g1_b0e426cc-22ed-11ed-b24f-6dbe51e79fca_1685.html", "HTML")</f>
        <v/>
      </c>
      <c r="R116">
        <f>HYPERLINK("https://raw.githubusercontent.com/marcosmapl/dataset_imigrantes/main/materias_filtered/g1/haitianos/2022/06_jul/txt/g1_b0e426cc-22ed-11ed-b24f-6dbe51e79fca_1685.txt", "TXT")</f>
        <v/>
      </c>
    </row>
    <row r="117">
      <c r="A117" s="1" t="n">
        <v>115</v>
      </c>
      <c r="B117" t="n">
        <v>2022</v>
      </c>
      <c r="C117" s="2" t="n">
        <v>44749.11012111111</v>
      </c>
      <c r="D117" t="inlineStr">
        <is>
          <t>G1</t>
        </is>
      </c>
      <c r="E117" t="inlineStr">
        <is>
          <t>HAITIANOS</t>
        </is>
      </c>
      <c r="F117" t="inlineStr">
        <is>
          <t>MINAS GERAIS</t>
        </is>
      </c>
      <c r="G117" t="inlineStr">
        <is>
          <t>GUILHERME PIMENTA, G1 MINAS — BELO HORIZONTE</t>
        </is>
      </c>
      <c r="H117" t="inlineStr">
        <is>
          <t>JUSTIÇA CONDENA SUPERMERCADO E CONSTRUTORA POR RACISMO E XENOFOBIA CONTRA EX-FUNCIONÁRIO</t>
        </is>
      </c>
      <c r="I117" t="inlineStr">
        <is>
          <t>INDENIZAÇÃO POR DANOS MORAIS FOI FIXADA EM R$ 40 MIL; AS EMPRESAS RECORRERAM E CASO SEGUE SOB ANÁLISE DO TST.</t>
        </is>
      </c>
      <c r="J117" t="inlineStr"/>
      <c r="K117" t="n">
        <v>0</v>
      </c>
      <c r="L117" t="n">
        <v>2</v>
      </c>
      <c r="M117" t="n">
        <v>1</v>
      </c>
      <c r="N117" t="n">
        <v>0</v>
      </c>
      <c r="O117" t="n">
        <v>2</v>
      </c>
      <c r="P117">
        <f>HYPERLINK("https://g1.globo.com/mg/minas-gerais/noticia/2022/07/06/justica-condena-supermercado-e-construtora-por-racismo-e-xenofobia-contra-ex-funcionario.ghtml", "URL")</f>
        <v/>
      </c>
      <c r="Q117">
        <f>HYPERLINK("https://raw.githubusercontent.com/marcosmapl/dataset_imigrantes/main/materias_filtered/g1/haitianos/2022/06_jul/html/g1_6f638208-22f5-11ed-b24f-6dbe51e79fca_1949.html", "HTML")</f>
        <v/>
      </c>
      <c r="R117">
        <f>HYPERLINK("https://raw.githubusercontent.com/marcosmapl/dataset_imigrantes/main/materias_filtered/g1/haitianos/2022/06_jul/txt/g1_6f638208-22f5-11ed-b24f-6dbe51e79fca_1949.txt", "TXT")</f>
        <v/>
      </c>
    </row>
    <row r="118">
      <c r="A118" s="1" t="n">
        <v>116</v>
      </c>
      <c r="B118" t="n">
        <v>2022</v>
      </c>
      <c r="C118" s="2" t="n">
        <v>44748.74861210648</v>
      </c>
      <c r="D118" t="inlineStr">
        <is>
          <t>G1</t>
        </is>
      </c>
      <c r="E118" t="inlineStr">
        <is>
          <t>VENEZUELANOS</t>
        </is>
      </c>
      <c r="F118" t="inlineStr">
        <is>
          <t>AMAZONAS</t>
        </is>
      </c>
      <c r="G118" t="inlineStr">
        <is>
          <t>G1 AM</t>
        </is>
      </c>
      <c r="H118" t="inlineStr">
        <is>
          <t>MORTA DENTRO DE CASA EM MANAUS, VENEZUELANA GUARDAVA DINHEIRO PARA TRAZER FILHA AO BRASIL</t>
        </is>
      </c>
      <c r="I118" t="inlineStr">
        <is>
          <t>INFORMAÇÃO É DE VIZINHOS DA VÍTIMA. MULHER FOI ASSASSINADA A FACADAS DENTRO DA PRÓPRIA CASA, NO BAIRRO MAUZINHO, ZONA LESTE DA CAPITAL, NESSA TERÇA (5).</t>
        </is>
      </c>
      <c r="J118" t="inlineStr"/>
      <c r="K118" t="n">
        <v>0</v>
      </c>
      <c r="L118" t="n">
        <v>3</v>
      </c>
      <c r="M118" t="n">
        <v>1</v>
      </c>
      <c r="N118" t="n">
        <v>0</v>
      </c>
      <c r="O118" t="n">
        <v>2</v>
      </c>
      <c r="P118">
        <f>HYPERLINK("https://g1.globo.com/am/amazonas/noticia/2022/07/06/morta-dentro-de-casa-em-manaus-venezuelana-guardava-dinheiro-para-trazer-filha-ao-brasil.ghtml", "URL")</f>
        <v/>
      </c>
      <c r="Q118">
        <f>HYPERLINK("https://raw.githubusercontent.com/marcosmapl/dataset_imigrantes/main/materias_filtered/g1/venezuelanos/2022/06_jul/html/g1_3401bd1c-2307-11ed-b24f-6dbe51e79fca_2303.html", "HTML")</f>
        <v/>
      </c>
      <c r="R118">
        <f>HYPERLINK("https://raw.githubusercontent.com/marcosmapl/dataset_imigrantes/main/materias_filtered/g1/venezuelanos/2022/06_jul/txt/g1_3401bd1c-2307-11ed-b24f-6dbe51e79fca_2303.txt", "TXT")</f>
        <v/>
      </c>
    </row>
    <row r="119">
      <c r="A119" s="1" t="n">
        <v>117</v>
      </c>
      <c r="B119" t="n">
        <v>2022</v>
      </c>
      <c r="C119" s="2" t="n">
        <v>44748.54181408565</v>
      </c>
      <c r="D119" t="inlineStr">
        <is>
          <t>G1</t>
        </is>
      </c>
      <c r="E119" t="inlineStr">
        <is>
          <t>HAITIANOS</t>
        </is>
      </c>
      <c r="F119" t="inlineStr">
        <is>
          <t>TECNOLOGIA</t>
        </is>
      </c>
      <c r="G119" t="inlineStr">
        <is>
          <t>VICTOR HUGO SILVA, G1</t>
        </is>
      </c>
      <c r="H119" t="inlineStr">
        <is>
          <t>META CRIA INTELIGÊNCIA ARTIFICIAL CAPAZ DE TRADUZIR 200 IDIOMAS NO FACEBOOK, NO INSTAGRAM E NA WIKIPÉDIA</t>
        </is>
      </c>
      <c r="I119" t="inlineStr">
        <is>
          <t>MODELO DESENVOLVIDO PELA COMPANHIA AGRUPA IDIOMAS PARECIDOS PARA MELHORAR TRADUÇÕES NA INTERNET. ELE TAMBÉM SERÁ USADO PARA FACILITAR INTERAÇÕES EM IDIOMAS DIFERENTES NO METAVERSO E MELHORAR DETECÇÃO DE CONTEÚDO PREJUDICIAL NAS REDES SOCIAIS.</t>
        </is>
      </c>
      <c r="J119" t="inlineStr"/>
      <c r="K119" t="n">
        <v>0</v>
      </c>
      <c r="L119" t="n">
        <v>1</v>
      </c>
      <c r="M119" t="n">
        <v>0</v>
      </c>
      <c r="N119" t="n">
        <v>0</v>
      </c>
      <c r="O119" t="n">
        <v>7</v>
      </c>
      <c r="P119">
        <f>HYPERLINK("https://g1.globo.com/tecnologia/noticia/2022/07/06/meta-cria-inteligencia-artificial-capaz-de-traduzir-200-idiomas-no-facebook-no-instagram-e-na-wikipedia.ghtml", "URL")</f>
        <v/>
      </c>
      <c r="Q119">
        <f>HYPERLINK("https://raw.githubusercontent.com/marcosmapl/dataset_imigrantes/main/materias_filtered/g1/haitianos/2022/06_jul/html/g1_b1a53ccc-231a-11ed-b24f-6dbe51e79fca_3347.html", "HTML")</f>
        <v/>
      </c>
      <c r="R119">
        <f>HYPERLINK("https://raw.githubusercontent.com/marcosmapl/dataset_imigrantes/main/materias_filtered/g1/haitianos/2022/06_jul/txt/g1_b1a53ccc-231a-11ed-b24f-6dbe51e79fca_3347.txt", "TXT")</f>
        <v/>
      </c>
    </row>
    <row r="120">
      <c r="A120" s="1" t="n">
        <v>118</v>
      </c>
      <c r="B120" t="n">
        <v>2022</v>
      </c>
      <c r="C120" s="2" t="n">
        <v>44748.37543212963</v>
      </c>
      <c r="D120" t="inlineStr">
        <is>
          <t>G1</t>
        </is>
      </c>
      <c r="E120" t="inlineStr">
        <is>
          <t>HAITIANOS</t>
        </is>
      </c>
      <c r="F120" t="inlineStr">
        <is>
          <t>VALE DO PARAÍBA E REGIÃO</t>
        </is>
      </c>
      <c r="G120" t="inlineStr">
        <is>
          <t>G1 VALE DO PARAÍBA E REGIÃO</t>
        </is>
      </c>
      <c r="H120" t="inlineStr">
        <is>
          <t>CRIANÇA BRASILEIRA É RESGATADA NO MÉXICO APÓS MORTE DA MÃE, QUE TENTAVA ENTRAR DE FORMA ILEGAL NOS EUA</t>
        </is>
      </c>
      <c r="I120" t="inlineStr">
        <is>
          <t>MENINA DE 3 ANOS FOI REPATRIADA E CHEGOU AO BRASIL NA ÚLTIMA SEXTA-FEIRA (1°). ELA FOI ENTREGUE AO PAI, QUE VIVE EM JACAREÍ, NO INTERIOR DE SÃO PAULO.</t>
        </is>
      </c>
      <c r="J120" t="inlineStr"/>
      <c r="K120" t="n">
        <v>0</v>
      </c>
      <c r="L120" t="n">
        <v>2</v>
      </c>
      <c r="M120" t="n">
        <v>1</v>
      </c>
      <c r="N120" t="n">
        <v>0</v>
      </c>
      <c r="O120" t="n">
        <v>6</v>
      </c>
      <c r="P120">
        <f>HYPERLINK("https://g1.globo.com/sp/vale-do-paraiba-regiao/noticia/2022/07/06/crianca-brasileira-e-resgatada-no-mexico-apos-morte-da-mae-que-tentava-entrar-de-forma-ilegal-nos-eua.ghtml", "URL")</f>
        <v/>
      </c>
      <c r="Q120">
        <f>HYPERLINK("https://raw.githubusercontent.com/marcosmapl/dataset_imigrantes/main/materias_filtered/g1/haitianos/2022/06_jul/html/g1_7f570b6c-22fa-11ed-b24f-6dbe51e79fca_2223.html", "HTML")</f>
        <v/>
      </c>
      <c r="R120">
        <f>HYPERLINK("https://raw.githubusercontent.com/marcosmapl/dataset_imigrantes/main/materias_filtered/g1/haitianos/2022/06_jul/txt/g1_7f570b6c-22fa-11ed-b24f-6dbe51e79fca_2223.txt", "TXT")</f>
        <v/>
      </c>
    </row>
    <row r="121">
      <c r="A121" s="1" t="n">
        <v>119</v>
      </c>
      <c r="B121" t="n">
        <v>2022</v>
      </c>
      <c r="C121" s="2" t="n">
        <v>44747.76704861111</v>
      </c>
      <c r="D121" t="inlineStr">
        <is>
          <t>A CRITICA</t>
        </is>
      </c>
      <c r="E121" t="inlineStr">
        <is>
          <t>VENEZUELANOS</t>
        </is>
      </c>
      <c r="F121" t="inlineStr">
        <is>
          <t>POLICIA</t>
        </is>
      </c>
      <c r="G121" t="inlineStr">
        <is>
          <t>NATASHA PINTO</t>
        </is>
      </c>
      <c r="H121" t="inlineStr">
        <is>
          <t>BANDIDOS INVADEM CASA E MATAM VENEZUELANA NO BAIRRO MAUAZINHO, NA ZONA LESTE DE MANAUS</t>
        </is>
      </c>
      <c r="I121" t="inlineStr">
        <is>
          <t>YEIMY YENILETH VARGAS RODRÍGUEZ, 27,  FOI MORTA A FACADAS NA TARDE DESTA TERÇA-FEIRA (5). VIZINHOS ACIONARAM OS POLICIAIS QUANDO OUVIRAM GRITOS NA CASA</t>
        </is>
      </c>
      <c r="J121" t="inlineStr"/>
      <c r="K121" t="n">
        <v>0</v>
      </c>
      <c r="L121" t="n">
        <v>1</v>
      </c>
      <c r="M121" t="n">
        <v>0</v>
      </c>
      <c r="N121" t="n">
        <v>0</v>
      </c>
      <c r="O121" t="n">
        <v>0</v>
      </c>
      <c r="P121">
        <f>HYPERLINK("https://www.acritica.com/policia/bandidos-invadem-casa-e-matam-venezuelana-no-bairro-mauazinho-na-zona-leste-de-manaus-1.275144", "URL")</f>
        <v/>
      </c>
      <c r="Q121">
        <f>HYPERLINK("https://raw.githubusercontent.com/marcosmapl/dataset_imigrantes/main/materias_filtered/a_critica/venezuelanos/2022/06_jul/html/1.275144_874.html", "HTML")</f>
        <v/>
      </c>
      <c r="R121">
        <f>HYPERLINK("https://raw.githubusercontent.com/marcosmapl/dataset_imigrantes/main/materias_filtered/a_critica/venezuelanos/2022/06_jul/txt/1.275144_874.txt", "TXT")</f>
        <v/>
      </c>
    </row>
    <row r="122">
      <c r="A122" s="1" t="n">
        <v>120</v>
      </c>
      <c r="B122" t="n">
        <v>2022</v>
      </c>
      <c r="C122" s="2" t="n">
        <v>44746.66718857639</v>
      </c>
      <c r="D122" t="inlineStr">
        <is>
          <t>G1</t>
        </is>
      </c>
      <c r="E122" t="inlineStr">
        <is>
          <t>HAITIANOS</t>
        </is>
      </c>
      <c r="F122" t="inlineStr">
        <is>
          <t>OESTE E SUDOESTE</t>
        </is>
      </c>
      <c r="G122" t="inlineStr">
        <is>
          <t>RPC CASCAVEL</t>
        </is>
      </c>
      <c r="H122" t="inlineStr">
        <is>
          <t>JOVEM ATROPELADA COM FILHA ENQUANTO AGUARDAVA PARA ATRAVESSAR RUA EM CASCAVEL RECEBE ALTA HOSPITALAR</t>
        </is>
      </c>
      <c r="I122" t="inlineStr">
        <is>
          <t>MÃE E FILHA FORAM ATROPELADAS EM 20 DE JUNHO. MOTORISTA INFORMOU QUE PERDEU O CONTROLE DO VEÍCULO. MENINA DE 4 ANOS PERMANECE INTERNADA. ESTADO DE SAÚDE DELA NÃO FOI DIVULGADO.</t>
        </is>
      </c>
      <c r="J122" t="inlineStr"/>
      <c r="K122" t="n">
        <v>0</v>
      </c>
      <c r="L122" t="n">
        <v>2</v>
      </c>
      <c r="M122" t="n">
        <v>1</v>
      </c>
      <c r="N122" t="n">
        <v>0</v>
      </c>
      <c r="O122" t="n">
        <v>5</v>
      </c>
      <c r="P122">
        <f>HYPERLINK("https://g1.globo.com/pr/oeste-sudoeste/noticia/2022/07/04/jovem-atropelada-com-filha-enquanto-aguardava-para-atravessar-rua-em-cascavel-recebe-alta-hospitalar.ghtml", "URL")</f>
        <v/>
      </c>
      <c r="Q122">
        <f>HYPERLINK("https://raw.githubusercontent.com/marcosmapl/dataset_imigrantes/main/materias_filtered/g1/haitianos/2022/06_jul/html/g1_10f1b5b6-2307-11ed-b24f-6dbe51e79fca_2295.html", "HTML")</f>
        <v/>
      </c>
      <c r="R122">
        <f>HYPERLINK("https://raw.githubusercontent.com/marcosmapl/dataset_imigrantes/main/materias_filtered/g1/haitianos/2022/06_jul/txt/g1_10f1b5b6-2307-11ed-b24f-6dbe51e79fca_2295.txt", "TXT")</f>
        <v/>
      </c>
    </row>
    <row r="123">
      <c r="A123" s="1" t="n">
        <v>121</v>
      </c>
      <c r="B123" t="n">
        <v>2022</v>
      </c>
      <c r="C123" s="2" t="n">
        <v>44746.61394053241</v>
      </c>
      <c r="D123" t="inlineStr">
        <is>
          <t>G1</t>
        </is>
      </c>
      <c r="E123" t="inlineStr">
        <is>
          <t>HAITIANOS</t>
        </is>
      </c>
      <c r="F123" t="inlineStr">
        <is>
          <t>RONDÔNIA</t>
        </is>
      </c>
      <c r="G123" t="inlineStr">
        <is>
          <t>G1 RO E CBN PORTO VELHO</t>
        </is>
      </c>
      <c r="H123" t="inlineStr">
        <is>
          <t>DUAS PESSOAS MORREM EM ACIDENTES DE TRÂNSITO DURANTE O FIM DE SEMANA EM PORTO VELHO E CANDEIAS</t>
        </is>
      </c>
      <c r="I123" t="inlineStr">
        <is>
          <t>UM DOS ACIDENTE ACONTECEU NA BR-364. UMA DAS VÍTIMAS ERA DE NACIONALIDADE HAITIANA.</t>
        </is>
      </c>
      <c r="J123" t="inlineStr"/>
      <c r="K123" t="n">
        <v>0</v>
      </c>
      <c r="L123" t="n">
        <v>1</v>
      </c>
      <c r="M123" t="n">
        <v>1</v>
      </c>
      <c r="N123" t="n">
        <v>0</v>
      </c>
      <c r="O123" t="n">
        <v>1</v>
      </c>
      <c r="P123">
        <f>HYPERLINK("https://g1.globo.com/ro/rondonia/noticia/2022/07/04/duas-pessoas-morrem-em-acidentes-de-transito-durante-o-fim-de-semana-em-porto-velho-e-candeias.ghtml", "URL")</f>
        <v/>
      </c>
      <c r="Q123">
        <f>HYPERLINK("https://raw.githubusercontent.com/marcosmapl/dataset_imigrantes/main/materias_filtered/g1/haitianos/2022/06_jul/html/g1_6153aff8-2327-11ed-b24f-6dbe51e79fca_4031.html", "HTML")</f>
        <v/>
      </c>
      <c r="R123">
        <f>HYPERLINK("https://raw.githubusercontent.com/marcosmapl/dataset_imigrantes/main/materias_filtered/g1/haitianos/2022/06_jul/txt/g1_6153aff8-2327-11ed-b24f-6dbe51e79fca_4031.txt", "TXT")</f>
        <v/>
      </c>
    </row>
    <row r="124">
      <c r="A124" s="1" t="n">
        <v>122</v>
      </c>
      <c r="B124" t="n">
        <v>2022</v>
      </c>
      <c r="C124" s="2" t="n">
        <v>44746.34346854167</v>
      </c>
      <c r="D124" t="inlineStr">
        <is>
          <t>G1</t>
        </is>
      </c>
      <c r="E124" t="inlineStr">
        <is>
          <t>VENEZUELANOS</t>
        </is>
      </c>
      <c r="F124" t="inlineStr">
        <is>
          <t>SANTOS E REGIÃO</t>
        </is>
      </c>
      <c r="G124" t="inlineStr">
        <is>
          <t>CAROLINE MELO, G1 SANTOS</t>
        </is>
      </c>
      <c r="H124" t="inlineStr">
        <is>
          <t>JOGADOR VENEZUELANO É ABANDONADO POR EMPRESÁRIO NO BRASIL, DESISTE DO FUTEBOL E VIRA CANTOR GOSPEL</t>
        </is>
      </c>
      <c r="I124" t="inlineStr">
        <is>
          <t>MANUEL MOGOLLÓN PASSOU POR DIFICULDADES EM SUA TRAJETÓRIA NO ESPORTE, MAS SE ENCONTROU NA MÚSICA EVANGÉLICA.</t>
        </is>
      </c>
      <c r="J124" t="inlineStr"/>
      <c r="K124" t="n">
        <v>0</v>
      </c>
      <c r="L124" t="n">
        <v>2</v>
      </c>
      <c r="M124" t="n">
        <v>0</v>
      </c>
      <c r="N124" t="n">
        <v>0</v>
      </c>
      <c r="O124" t="n">
        <v>2</v>
      </c>
      <c r="P124">
        <f>HYPERLINK("https://g1.globo.com/sp/santos-regiao/noticia/2022/07/04/jogador-venezuelano-e-abandonado-por-empresario-no-brasil-desiste-do-futebol-e-vira-cantor-gospel.ghtml", "URL")</f>
        <v/>
      </c>
      <c r="Q124">
        <f>HYPERLINK("https://raw.githubusercontent.com/marcosmapl/dataset_imigrantes/main/materias_filtered/g1/venezuelanos/2022/06_jul/html/g1_f59d8082-232a-11ed-b24f-6dbe51e79fca_4213.html", "HTML")</f>
        <v/>
      </c>
      <c r="R124">
        <f>HYPERLINK("https://raw.githubusercontent.com/marcosmapl/dataset_imigrantes/main/materias_filtered/g1/venezuelanos/2022/06_jul/txt/g1_f59d8082-232a-11ed-b24f-6dbe51e79fca_4213.txt", "TXT")</f>
        <v/>
      </c>
    </row>
    <row r="125">
      <c r="A125" s="1" t="n">
        <v>123</v>
      </c>
      <c r="B125" t="n">
        <v>2022</v>
      </c>
      <c r="C125" s="2" t="n">
        <v>44745.98693128472</v>
      </c>
      <c r="D125" t="inlineStr">
        <is>
          <t>G1</t>
        </is>
      </c>
      <c r="E125" t="inlineStr">
        <is>
          <t>HAITIANOS</t>
        </is>
      </c>
      <c r="F125" t="inlineStr">
        <is>
          <t>RIO GRANDE DO SUL</t>
        </is>
      </c>
      <c r="G125" t="inlineStr">
        <is>
          <t>G1 RS E RBS TV</t>
        </is>
      </c>
      <c r="H125" t="inlineStr">
        <is>
          <t>HAITIANO SUSPEITO DE MATAR CONTERRÂNEO EM CAXIAS DO SUL É PRESO, DIZ POLÍCIA</t>
        </is>
      </c>
      <c r="I125" t="inlineStr">
        <is>
          <t>CRIME TERIA ACONTECIDO EM 29 DE JUNHO E TERIA SIDO MOTIVADO POR UMA DISCUSSÃO. SUSPEITO FOI PRESO TEMPORARIAMENTE E ESTÁ À DISPOSIÇÃO DA JUSTIÇA.</t>
        </is>
      </c>
      <c r="J125" t="inlineStr"/>
      <c r="K125" t="n">
        <v>0</v>
      </c>
      <c r="L125" t="n">
        <v>3</v>
      </c>
      <c r="M125" t="n">
        <v>0</v>
      </c>
      <c r="N125" t="n">
        <v>0</v>
      </c>
      <c r="O125" t="n">
        <v>2</v>
      </c>
      <c r="P125">
        <f>HYPERLINK("https://g1.globo.com/rs/rio-grande-do-sul/noticia/2022/07/03/haitiano-suspeito-de-matar-conterraneo-em-caxias-do-sul-e-preso-diz-policia.ghtml", "URL")</f>
        <v/>
      </c>
      <c r="Q125">
        <f>HYPERLINK("https://raw.githubusercontent.com/marcosmapl/dataset_imigrantes/main/materias_filtered/g1/haitianos/2022/06_jul/html/g1_c6987f82-22f1-11ed-b24f-6dbe51e79fca_1765.html", "HTML")</f>
        <v/>
      </c>
      <c r="R125">
        <f>HYPERLINK("https://raw.githubusercontent.com/marcosmapl/dataset_imigrantes/main/materias_filtered/g1/haitianos/2022/06_jul/txt/g1_c6987f82-22f1-11ed-b24f-6dbe51e79fca_1765.txt", "TXT")</f>
        <v/>
      </c>
    </row>
    <row r="126">
      <c r="A126" s="1" t="n">
        <v>124</v>
      </c>
      <c r="B126" t="n">
        <v>2022</v>
      </c>
      <c r="C126" s="2" t="n">
        <v>44743.99363321759</v>
      </c>
      <c r="D126" t="inlineStr">
        <is>
          <t>G1</t>
        </is>
      </c>
      <c r="E126" t="inlineStr">
        <is>
          <t>VENEZUELANOS</t>
        </is>
      </c>
      <c r="F126" t="inlineStr">
        <is>
          <t>MUNDO</t>
        </is>
      </c>
      <c r="G126" t="inlineStr">
        <is>
          <t>REUTERS</t>
        </is>
      </c>
      <c r="H126" t="inlineStr">
        <is>
          <t>LÍDER INDÍGENA QUE COMBATIA MINERAÇÃO ILEGAL É MORTO NA VENEZUELA, DIZ ONG</t>
        </is>
      </c>
      <c r="I126" t="inlineStr">
        <is>
          <t>VIRGILIO TRUJILLO ARANA, UM INDÍGENA UWOTTUJA DE 38 ANOS, ERA DEFENSOR DA AMAZÔNIA VENEZUELANA E HAVIA FORMADO GRUPOS COMUNITÁRIOS PARA ATUAR COMO GUARDIÕES DO MUNICÍPIO DE AUTANA, NO AMAZONAS.</t>
        </is>
      </c>
      <c r="J126" t="inlineStr"/>
      <c r="K126" t="n">
        <v>0</v>
      </c>
      <c r="L126" t="n">
        <v>4</v>
      </c>
      <c r="M126" t="n">
        <v>0</v>
      </c>
      <c r="N126" t="n">
        <v>0</v>
      </c>
      <c r="O126" t="n">
        <v>1</v>
      </c>
      <c r="P126">
        <f>HYPERLINK("https://g1.globo.com/mundo/noticia/2022/07/01/lider-indigena-que-combatia-mineracao-ilegal-e-morto-na-venezuela-diz-ong.ghtml", "URL")</f>
        <v/>
      </c>
      <c r="Q126">
        <f>HYPERLINK("https://raw.githubusercontent.com/marcosmapl/dataset_imigrantes/main/materias_filtered/g1/venezuelanos/2022/06_jul/html/g1_09a84fae-2325-11ed-b24f-6dbe51e79fca_3894.html", "HTML")</f>
        <v/>
      </c>
      <c r="R126">
        <f>HYPERLINK("https://raw.githubusercontent.com/marcosmapl/dataset_imigrantes/main/materias_filtered/g1/venezuelanos/2022/06_jul/txt/g1_09a84fae-2325-11ed-b24f-6dbe51e79fca_3894.txt", "TXT")</f>
        <v/>
      </c>
    </row>
    <row r="127">
      <c r="A127" s="1" t="n">
        <v>125</v>
      </c>
      <c r="B127" t="n">
        <v>2022</v>
      </c>
      <c r="C127" s="2" t="n">
        <v>44743.90319476852</v>
      </c>
      <c r="D127" t="inlineStr">
        <is>
          <t>G1</t>
        </is>
      </c>
      <c r="E127" t="inlineStr">
        <is>
          <t>HAITIANOS</t>
        </is>
      </c>
      <c r="F127" t="inlineStr">
        <is>
          <t>MATO GROSSO</t>
        </is>
      </c>
      <c r="G127" t="inlineStr">
        <is>
          <t>ROGÉRIO JÚNIOR, MATHEUS MAURÍCIO E LUIZ ALVES, G1 MT E TV CENTRO AMÉRICA</t>
        </is>
      </c>
      <c r="H127" t="inlineStr">
        <is>
          <t>'NÃO QUERO MAIS PASSAR POR ISSO', DIZ  AMBULANTES HAITIANOS QUE FORAM RETIRADOS À FORÇA DO CENTRO DE CUIABÁ</t>
        </is>
      </c>
      <c r="I127" t="inlineStr">
        <is>
          <t>A MULHER HAITIANA SUBIU NA CARROCERIA DA CAMINHONETE DA PREFEITURA PARA FICAR JUNTO DAS MERCADORIAS APREENDIDAS E FOI LEVADA ASSIM ATÉ A DELEGACIA. SECRETARIA DIZ QUE FOI ESCOLHA DELA IR DAQUELA MANEIRA.</t>
        </is>
      </c>
      <c r="J127" t="inlineStr"/>
      <c r="K127" t="n">
        <v>0</v>
      </c>
      <c r="L127" t="n">
        <v>4</v>
      </c>
      <c r="M127" t="n">
        <v>3</v>
      </c>
      <c r="N127" t="n">
        <v>0</v>
      </c>
      <c r="O127" t="n">
        <v>9</v>
      </c>
      <c r="P127">
        <f>HYPERLINK("https://g1.globo.com/mt/mato-grosso/noticia/2022/07/01/nao-quero-mais-passar-por-isso-diz-casal-de-haitianos-retirados-a-forca-do-centro-de-cuiaba.ghtml", "URL")</f>
        <v/>
      </c>
      <c r="Q127">
        <f>HYPERLINK("https://raw.githubusercontent.com/marcosmapl/dataset_imigrantes/main/materias_filtered/g1/haitianos/2022/06_jul/html/g1_cf85568c-22f7-11ed-b24f-6dbe51e79fca_2097.html", "HTML")</f>
        <v/>
      </c>
      <c r="R127">
        <f>HYPERLINK("https://raw.githubusercontent.com/marcosmapl/dataset_imigrantes/main/materias_filtered/g1/haitianos/2022/06_jul/txt/g1_cf85568c-22f7-11ed-b24f-6dbe51e79fca_2097.txt", "TXT")</f>
        <v/>
      </c>
    </row>
    <row r="128">
      <c r="A128" s="1" t="n">
        <v>126</v>
      </c>
      <c r="B128" t="n">
        <v>2022</v>
      </c>
      <c r="C128" s="2" t="n">
        <v>44743.75</v>
      </c>
      <c r="D128" t="inlineStr">
        <is>
          <t>PORTAL AMAZONIA</t>
        </is>
      </c>
      <c r="E128" t="inlineStr">
        <is>
          <t>VENEZUELANOS</t>
        </is>
      </c>
      <c r="F128" t="inlineStr">
        <is>
          <t>TURISMO,AMAZÔNIA INTERNACIONAL</t>
        </is>
      </c>
      <c r="G128" t="inlineStr">
        <is>
          <t>REDAÇÃO - JORNALISMO@PORTALAMAZONIA.COM</t>
        </is>
      </c>
      <c r="H128" t="inlineStr">
        <is>
          <t>O QUE ACONTECEU COM O AVIÃO DC-3 PRÓXIMO A SALTO ANGEL NA VENEZUELA?</t>
        </is>
      </c>
      <c r="I128" t="inlineStr">
        <is>
          <t>LOCALIZADO PRÓXIMO À MAIOR CACHOEIRA DO MUNDO, O AVIÃO ACABOU SE TORNANDO UM PONTO TURÍSTICO, MAS SUA HISTÓRIA DIVERGE EM DIVERSOS RELATOS.</t>
        </is>
      </c>
      <c r="J128" t="inlineStr">
        <is>
          <t>AMAZÔNIA, AMAZÔNIA INTERNACIONAL, AVIÃO, CULTURA, PARQUE NACIONAL CANAIMA, SALTO ANGEL, TURISMO, VENEZUELA</t>
        </is>
      </c>
      <c r="K128" t="n">
        <v>8</v>
      </c>
      <c r="L128" t="n">
        <v>5</v>
      </c>
      <c r="M128" t="n">
        <v>1</v>
      </c>
      <c r="N128" t="n">
        <v>0</v>
      </c>
      <c r="O128" t="n">
        <v>25</v>
      </c>
      <c r="P128">
        <f>HYPERLINK("https://portalamazonia.com/estados/amazonia-internacional/o-que-aconteceu-com-o-aviao-dc-3-proximo-a-salto-angel-na-venezuela", "URL")</f>
        <v/>
      </c>
      <c r="Q128">
        <f>HYPERLINK("https://raw.githubusercontent.com/marcosmapl/dataset_imigrantes/main/materias_filtered/portal_amazonia/venezuelanos/2022/06_jul/html/36018.87853_1493.html", "HTML")</f>
        <v/>
      </c>
      <c r="R128">
        <f>HYPERLINK("https://raw.githubusercontent.com/marcosmapl/dataset_imigrantes/main/materias_filtered/portal_amazonia/venezuelanos/2022/06_jul/txt/36018.87853_1493.txt", "TXT")</f>
        <v/>
      </c>
    </row>
    <row r="129">
      <c r="A129" s="1" t="n">
        <v>127</v>
      </c>
      <c r="B129" t="n">
        <v>2022</v>
      </c>
      <c r="C129" s="2" t="n">
        <v>44742.48365965277</v>
      </c>
      <c r="D129" t="inlineStr">
        <is>
          <t>G1</t>
        </is>
      </c>
      <c r="E129" t="inlineStr">
        <is>
          <t>HAITIANOS</t>
        </is>
      </c>
      <c r="F129" t="inlineStr">
        <is>
          <t>MATO GROSSO</t>
        </is>
      </c>
      <c r="G129" t="inlineStr">
        <is>
          <t>G1 MT</t>
        </is>
      </c>
      <c r="H129" t="inlineStr">
        <is>
          <t>VÍDEO: AMBULANTES SÃO RETIRADOS DO CENTRO DE CUIABÁ E PREFEITURA DIZ QUE NÃO AUTORIZOU AÇÃO</t>
        </is>
      </c>
      <c r="I129" t="inlineStr">
        <is>
          <t>PREFEITURA DE CUIABÁ DIZ QUE NÃO DETERMINOU AÇÃO E POLÍCIA MILITAR AFIRMA QUE APENAS PRESTOU APOIO AOS TRABALHADORES.</t>
        </is>
      </c>
      <c r="J129" t="inlineStr"/>
      <c r="K129" t="n">
        <v>0</v>
      </c>
      <c r="L129" t="n">
        <v>2</v>
      </c>
      <c r="M129" t="n">
        <v>1</v>
      </c>
      <c r="N129" t="n">
        <v>0</v>
      </c>
      <c r="O129" t="n">
        <v>0</v>
      </c>
      <c r="P129">
        <f>HYPERLINK("https://g1.globo.com/mt/mato-grosso/noticia/2022/06/30/video-ambulantes-sao-retirados-do-centro-de-cuiaba-e-prefeitura-diz-que-nao-autorizou-acao.ghtml", "URL")</f>
        <v/>
      </c>
      <c r="Q129">
        <f>HYPERLINK("https://raw.githubusercontent.com/marcosmapl/dataset_imigrantes/main/materias_filtered/g1/haitianos/2022/05_jun/html/g1_781d634a-22f6-11ed-b24f-6dbe51e79fca_2015.html", "HTML")</f>
        <v/>
      </c>
      <c r="R129">
        <f>HYPERLINK("https://raw.githubusercontent.com/marcosmapl/dataset_imigrantes/main/materias_filtered/g1/haitianos/2022/05_jun/txt/g1_781d634a-22f6-11ed-b24f-6dbe51e79fca_2015.txt", "TXT")</f>
        <v/>
      </c>
    </row>
    <row r="130">
      <c r="A130" s="1" t="n">
        <v>128</v>
      </c>
      <c r="B130" t="n">
        <v>2022</v>
      </c>
      <c r="C130" s="2" t="n">
        <v>44741.58260041667</v>
      </c>
      <c r="D130" t="inlineStr">
        <is>
          <t>G1</t>
        </is>
      </c>
      <c r="E130" t="inlineStr">
        <is>
          <t>VENEZUELANOS</t>
        </is>
      </c>
      <c r="F130" t="inlineStr">
        <is>
          <t>SANTA CATARINA</t>
        </is>
      </c>
      <c r="G130" t="inlineStr">
        <is>
          <t>CLARÌSSA BATÌSTELA E PAULO BATISTELLA, G1 SC E NSC</t>
        </is>
      </c>
      <c r="H130" t="inlineStr">
        <is>
          <t>OITO VENEZUELANOS FICAM FERIDOS EM ACIDENTE NO OESTE DE SC; VÍTIMAS VIAJAVAM NO MESMO CARRO</t>
        </is>
      </c>
      <c r="I130" t="inlineStr">
        <is>
          <t>VEÍCULO TINHA CAPACIDADE PARA CINCO PESSOAS E CAIU EM UMA RIBANCEIRA EM NOVA ITABERABA.</t>
        </is>
      </c>
      <c r="J130" t="inlineStr"/>
      <c r="K130" t="n">
        <v>0</v>
      </c>
      <c r="L130" t="n">
        <v>4</v>
      </c>
      <c r="M130" t="n">
        <v>0</v>
      </c>
      <c r="N130" t="n">
        <v>0</v>
      </c>
      <c r="O130" t="n">
        <v>5</v>
      </c>
      <c r="P130">
        <f>HYPERLINK("https://g1.globo.com/sc/santa-catarina/noticia/2022/06/29/oito-venezuelanos-ficam-feridos-em-acidente-no-oeste-de-sc-vitimas-viajavam-no-mesmo-carro.ghtml", "URL")</f>
        <v/>
      </c>
      <c r="Q130">
        <f>HYPERLINK("https://raw.githubusercontent.com/marcosmapl/dataset_imigrantes/main/materias_filtered/g1/venezuelanos/2022/05_jun/html/g1_8f0f81e0-2324-11ed-b24f-6dbe51e79fca_3877.html", "HTML")</f>
        <v/>
      </c>
      <c r="R130">
        <f>HYPERLINK("https://raw.githubusercontent.com/marcosmapl/dataset_imigrantes/main/materias_filtered/g1/venezuelanos/2022/05_jun/txt/g1_8f0f81e0-2324-11ed-b24f-6dbe51e79fca_3877.txt", "TXT")</f>
        <v/>
      </c>
    </row>
    <row r="131">
      <c r="A131" s="1" t="n">
        <v>129</v>
      </c>
      <c r="B131" t="n">
        <v>2022</v>
      </c>
      <c r="C131" s="2" t="n">
        <v>44741.44360142361</v>
      </c>
      <c r="D131" t="inlineStr">
        <is>
          <t>G1</t>
        </is>
      </c>
      <c r="E131" t="inlineStr">
        <is>
          <t>HAITIANOS</t>
        </is>
      </c>
      <c r="F131" t="inlineStr">
        <is>
          <t>RIO GRANDE DO SUL</t>
        </is>
      </c>
      <c r="G131" t="inlineStr">
        <is>
          <t>ROGER RUFFATO, RBS TV CAXIAS DO SUL</t>
        </is>
      </c>
      <c r="H131" t="inlineStr">
        <is>
          <t>HAITIANO É MORTO COM GOLPES DE FACA DURANTE UMA BRIGA EM CAXIAS DO SUL, NA SERRA, DIZ POLÍCIA</t>
        </is>
      </c>
      <c r="I131" t="inlineStr">
        <is>
          <t>SEGUNDO A BRIGADA MILITAR, HOMEM FOI ENCONTRADO MORTO APÓS AS 21H DESTA TERÇA (28). CONFORME A POLÍCIA CIVIL AUTOR, QUE TAMBÉM SERIA HAITIANO, FUGIU DO LOCAL E, ATÉ A MANHÃ DESTA QUARTA (29), NÃO FOI LOCALIZADO.</t>
        </is>
      </c>
      <c r="J131" t="inlineStr"/>
      <c r="K131" t="n">
        <v>0</v>
      </c>
      <c r="L131" t="n">
        <v>4</v>
      </c>
      <c r="M131" t="n">
        <v>1</v>
      </c>
      <c r="N131" t="n">
        <v>0</v>
      </c>
      <c r="O131" t="n">
        <v>2</v>
      </c>
      <c r="P131">
        <f>HYPERLINK("https://g1.globo.com/rs/rio-grande-do-sul/noticia/2022/06/29/haitiano-e-morto-com-golpes-de-faca-durante-uma-briga-em-caxias-do-sul-na-serra-diz-policia.ghtml", "URL")</f>
        <v/>
      </c>
      <c r="Q131">
        <f>HYPERLINK("https://raw.githubusercontent.com/marcosmapl/dataset_imigrantes/main/materias_filtered/g1/haitianos/2022/05_jun/html/g1_c4ce9924-22f7-11ed-b24f-6dbe51e79fca_2094.html", "HTML")</f>
        <v/>
      </c>
      <c r="R131">
        <f>HYPERLINK("https://raw.githubusercontent.com/marcosmapl/dataset_imigrantes/main/materias_filtered/g1/haitianos/2022/05_jun/txt/g1_c4ce9924-22f7-11ed-b24f-6dbe51e79fca_2094.txt", "TXT")</f>
        <v/>
      </c>
    </row>
    <row r="132">
      <c r="A132" s="1" t="n">
        <v>130</v>
      </c>
      <c r="B132" t="n">
        <v>2022</v>
      </c>
      <c r="C132" s="2" t="n">
        <v>44740.74666332176</v>
      </c>
      <c r="D132" t="inlineStr">
        <is>
          <t>G1</t>
        </is>
      </c>
      <c r="E132" t="inlineStr">
        <is>
          <t>VENEZUELANOS</t>
        </is>
      </c>
      <c r="F132" t="inlineStr">
        <is>
          <t>RORAIMA</t>
        </is>
      </c>
      <c r="G132" t="inlineStr">
        <is>
          <t>G1 RR — BOA VISTA</t>
        </is>
      </c>
      <c r="H132" t="inlineStr">
        <is>
          <t>MULHER ASSASSINADA A TIROS E ENCONTRADA AMORDAÇADA EM BOA VISTA ERA VENEZUELANA</t>
        </is>
      </c>
      <c r="I132" t="inlineStr">
        <is>
          <t>VÍTIMA FOI IDENTIFICADA E SE CHAMAVA GENÊSIS YULEYSIS RONDON COVA, DE 27 ANOS. IML AINDA AGUARDA COMPARECIMENTO DOS FAMILIARES PARA LIBERAÇÃO DO CORPO.</t>
        </is>
      </c>
      <c r="J132" t="inlineStr"/>
      <c r="K132" t="n">
        <v>0</v>
      </c>
      <c r="L132" t="n">
        <v>1</v>
      </c>
      <c r="M132" t="n">
        <v>0</v>
      </c>
      <c r="N132" t="n">
        <v>0</v>
      </c>
      <c r="O132" t="n">
        <v>2</v>
      </c>
      <c r="P132">
        <f>HYPERLINK("https://g1.globo.com/rr/roraima/noticia/2022/06/28/corpo-de-mulher-encontrada-assassinada-a-tiros-e-amordacada-na-br-174-e-identificado.ghtml", "URL")</f>
        <v/>
      </c>
      <c r="Q132">
        <f>HYPERLINK("https://raw.githubusercontent.com/marcosmapl/dataset_imigrantes/main/materias_filtered/g1/venezuelanos/2022/05_jun/html/g1_a81c70d2-230e-11ed-b24f-6dbe51e79fca_2749.html", "HTML")</f>
        <v/>
      </c>
      <c r="R132">
        <f>HYPERLINK("https://raw.githubusercontent.com/marcosmapl/dataset_imigrantes/main/materias_filtered/g1/venezuelanos/2022/05_jun/txt/g1_a81c70d2-230e-11ed-b24f-6dbe51e79fca_2749.txt", "TXT")</f>
        <v/>
      </c>
    </row>
    <row r="133">
      <c r="A133" s="1" t="n">
        <v>131</v>
      </c>
      <c r="B133" t="n">
        <v>2022</v>
      </c>
      <c r="C133" s="2" t="n">
        <v>44739.66063994213</v>
      </c>
      <c r="D133" t="inlineStr">
        <is>
          <t>G1</t>
        </is>
      </c>
      <c r="E133" t="inlineStr">
        <is>
          <t>VENEZUELANOS</t>
        </is>
      </c>
      <c r="F133" t="inlineStr">
        <is>
          <t>BAURU E MARÍLIA</t>
        </is>
      </c>
      <c r="G133" t="inlineStr">
        <is>
          <t>G1 BAURU E MARÍLIA</t>
        </is>
      </c>
      <c r="H133" t="inlineStr">
        <is>
          <t>VENEZUELANOS SÃO RESGATADOS DE TRABALHO ANÁLOGO AO DE ESCRAVO NO INTERIOR DE SP</t>
        </is>
      </c>
      <c r="I133" t="inlineStr">
        <is>
          <t>SEGUNDO O MPT, ESTRANGEIROS NÃO RECEBIAM REMUNERAÇÃO PARA TRABALHAR NA COLHEITA DE LARANJA E TIVERAM DOCUMENTOS RETIDOS PELO AGENCIADOR EM FAZENDA DE CAFELÂNDIA (SP). ACORDO COM CONTRATANTES PREVÊ PAGAMENTO DE VERBAS TRABALHISTA E INDENIZAÇÃO DE R$ 5 MIL.</t>
        </is>
      </c>
      <c r="J133" t="inlineStr"/>
      <c r="K133" t="n">
        <v>0</v>
      </c>
      <c r="L133" t="n">
        <v>2</v>
      </c>
      <c r="M133" t="n">
        <v>0</v>
      </c>
      <c r="N133" t="n">
        <v>0</v>
      </c>
      <c r="O133" t="n">
        <v>6</v>
      </c>
      <c r="P133">
        <f>HYPERLINK("https://g1.globo.com/sp/bauru-marilia/noticia/2022/06/27/venezuelanos-sao-resgatados-de-trabalho-analogo-ao-de-escravo-no-interior-de-sp.ghtml", "URL")</f>
        <v/>
      </c>
      <c r="Q133">
        <f>HYPERLINK("https://raw.githubusercontent.com/marcosmapl/dataset_imigrantes/main/materias_filtered/g1/venezuelanos/2022/05_jun/html/g1_b4dcec66-2322-11ed-b24f-6dbe51e79fca_3768.html", "HTML")</f>
        <v/>
      </c>
      <c r="R133">
        <f>HYPERLINK("https://raw.githubusercontent.com/marcosmapl/dataset_imigrantes/main/materias_filtered/g1/venezuelanos/2022/05_jun/txt/g1_b4dcec66-2322-11ed-b24f-6dbe51e79fca_3768.txt", "TXT")</f>
        <v/>
      </c>
    </row>
    <row r="134">
      <c r="A134" s="1" t="n">
        <v>132</v>
      </c>
      <c r="B134" t="n">
        <v>2022</v>
      </c>
      <c r="C134" s="2" t="n">
        <v>44737.73645833333</v>
      </c>
      <c r="D134" t="inlineStr">
        <is>
          <t>A CRITICA</t>
        </is>
      </c>
      <c r="E134" t="inlineStr">
        <is>
          <t>VENEZUELANOS</t>
        </is>
      </c>
      <c r="F134" t="inlineStr">
        <is>
          <t>POLICIA</t>
        </is>
      </c>
      <c r="G134" t="inlineStr">
        <is>
          <t>NATASHA PINTO</t>
        </is>
      </c>
      <c r="H134" t="inlineStr">
        <is>
          <t>HOMEM É PRESO ACUSADO DE ALICIAR OS NETOS DE 3 E 5 ANOS</t>
        </is>
      </c>
      <c r="I134" t="inlineStr">
        <is>
          <t>PRISÃO POR FLAGRANTE ACONTECEU APÓS TESTEMUNHAS RELATAREM QUE O HOMEM DE 52 ANOS FAZIA AS CRIANÇAS SENTAREM NO COLO DELE E SE ESFREGAR NELAS. CASO ACONTECEU NA COMPENSA</t>
        </is>
      </c>
      <c r="J134" t="inlineStr">
        <is>
          <t>ALICIAMENTO, ZONA OESTE</t>
        </is>
      </c>
      <c r="K134" t="n">
        <v>2</v>
      </c>
      <c r="L134" t="n">
        <v>1</v>
      </c>
      <c r="M134" t="n">
        <v>0</v>
      </c>
      <c r="N134" t="n">
        <v>0</v>
      </c>
      <c r="O134" t="n">
        <v>2</v>
      </c>
      <c r="P134">
        <f>HYPERLINK("https://www.acritica.com/policia/homem-e-preso-acusado-de-aliciar-os-netos-de-3-e-5-anos-1.274127", "URL")</f>
        <v/>
      </c>
      <c r="Q134">
        <f>HYPERLINK("https://raw.githubusercontent.com/marcosmapl/dataset_imigrantes/main/materias_filtered/a_critica/venezuelanos/2022/05_jun/html/1.274127_1339.html", "HTML")</f>
        <v/>
      </c>
      <c r="R134">
        <f>HYPERLINK("https://raw.githubusercontent.com/marcosmapl/dataset_imigrantes/main/materias_filtered/a_critica/venezuelanos/2022/05_jun/txt/1.274127_1339.txt", "TXT")</f>
        <v/>
      </c>
    </row>
    <row r="135">
      <c r="A135" s="1" t="n">
        <v>133</v>
      </c>
      <c r="B135" t="n">
        <v>2022</v>
      </c>
      <c r="C135" s="2" t="n">
        <v>44737.46971350694</v>
      </c>
      <c r="D135" t="inlineStr">
        <is>
          <t>G1</t>
        </is>
      </c>
      <c r="E135" t="inlineStr">
        <is>
          <t>AMBOS</t>
        </is>
      </c>
      <c r="F135" t="inlineStr">
        <is>
          <t>DISTRITO FEDERAL</t>
        </is>
      </c>
      <c r="G135" t="inlineStr">
        <is>
          <t>CAROLINE CINTRA, G1 DF</t>
        </is>
      </c>
      <c r="H135" t="inlineStr">
        <is>
          <t>DIA DO IMIGRANTE: 'ME SINTO EM CASA, FORA DE CASA', DIZ CAMARONÊS QUE MORA HÁ 13 ANOS NO DF</t>
        </is>
      </c>
      <c r="I135" t="inlineStr">
        <is>
          <t>DATA É CELEBRADA NESTE SÁBADO (25). G1 CONTA HISTÓRIA DE PESSOAS QUE SAÍRAM DA TERRA NATAL PARA TENTAR VIDA NA CAPITAL DO BRASIL.</t>
        </is>
      </c>
      <c r="J135" t="inlineStr"/>
      <c r="K135" t="n">
        <v>0</v>
      </c>
      <c r="L135" t="n">
        <v>1</v>
      </c>
      <c r="M135" t="n">
        <v>0</v>
      </c>
      <c r="N135" t="n">
        <v>0</v>
      </c>
      <c r="O135" t="n">
        <v>11</v>
      </c>
      <c r="P135">
        <f>HYPERLINK("https://g1.globo.com/df/distrito-federal/noticia/2022/06/25/dia-do-imigrante-me-sinto-em-casa-fora-de-casa-diz-camarones-que-mora-ha-13-anos-no-df.ghtml", "URL")</f>
        <v/>
      </c>
      <c r="Q135">
        <f>HYPERLINK("https://raw.githubusercontent.com/marcosmapl/dataset_imigrantes/main/materias_filtered/g1/ambos/2022/05_jun/html/g1_f9c6de16-22ed-11ed-b24f-6dbe51e79fca_1694.html", "HTML")</f>
        <v/>
      </c>
      <c r="R135">
        <f>HYPERLINK("https://raw.githubusercontent.com/marcosmapl/dataset_imigrantes/main/materias_filtered/g1/ambos/2022/05_jun/txt/g1_f9c6de16-22ed-11ed-b24f-6dbe51e79fca_1694.txt", "TXT")</f>
        <v/>
      </c>
    </row>
    <row r="136">
      <c r="A136" s="1" t="n">
        <v>134</v>
      </c>
      <c r="B136" t="n">
        <v>2022</v>
      </c>
      <c r="C136" s="2" t="n">
        <v>44736.79674627315</v>
      </c>
      <c r="D136" t="inlineStr">
        <is>
          <t>G1</t>
        </is>
      </c>
      <c r="E136" t="inlineStr">
        <is>
          <t>HAITIANOS</t>
        </is>
      </c>
      <c r="F136" t="inlineStr">
        <is>
          <t>SANTA CATARINA</t>
        </is>
      </c>
      <c r="G136" t="inlineStr">
        <is>
          <t>SOFIA MAYER E TALITA CATIE, G1 SC E NSC</t>
        </is>
      </c>
      <c r="H136" t="inlineStr">
        <is>
          <t>HOMEM É PRESO POR ESPANCAR COMPANHEIRA COM FIO DE ENERGIA ELÉTRICA E SOCOS EM SC</t>
        </is>
      </c>
      <c r="I136" t="inlineStr">
        <is>
          <t>SEGUNDO A PM, HOMEM TAMBÉM DEU UMA FACADA NAS COSTAS DA VÍTIMA, DE 40 ANOS, EM POMERODE.</t>
        </is>
      </c>
      <c r="J136" t="inlineStr"/>
      <c r="K136" t="n">
        <v>0</v>
      </c>
      <c r="L136" t="n">
        <v>3</v>
      </c>
      <c r="M136" t="n">
        <v>0</v>
      </c>
      <c r="N136" t="n">
        <v>0</v>
      </c>
      <c r="O136" t="n">
        <v>9</v>
      </c>
      <c r="P136">
        <f>HYPERLINK("https://g1.globo.com/sc/santa-catarina/noticia/2022/06/24/homem-e-preso-por-espancar-companheira-com-fio-de-energia-eletrica-e-socos-em-sc.ghtml", "URL")</f>
        <v/>
      </c>
      <c r="Q136">
        <f>HYPERLINK("https://raw.githubusercontent.com/marcosmapl/dataset_imigrantes/main/materias_filtered/g1/haitianos/2022/05_jun/html/g1_5db6ad70-232a-11ed-b24f-6dbe51e79fca_4174.html", "HTML")</f>
        <v/>
      </c>
      <c r="R136">
        <f>HYPERLINK("https://raw.githubusercontent.com/marcosmapl/dataset_imigrantes/main/materias_filtered/g1/haitianos/2022/05_jun/txt/g1_5db6ad70-232a-11ed-b24f-6dbe51e79fca_4174.txt", "TXT")</f>
        <v/>
      </c>
    </row>
    <row r="137">
      <c r="A137" s="1" t="n">
        <v>135</v>
      </c>
      <c r="B137" t="n">
        <v>2022</v>
      </c>
      <c r="C137" s="2" t="n">
        <v>44736.53657453704</v>
      </c>
      <c r="D137" t="inlineStr">
        <is>
          <t>G1</t>
        </is>
      </c>
      <c r="E137" t="inlineStr">
        <is>
          <t>HAITIANOS</t>
        </is>
      </c>
      <c r="F137" t="inlineStr">
        <is>
          <t>SANTA CATARINA</t>
        </is>
      </c>
      <c r="G137" t="inlineStr">
        <is>
          <t>CAROLINE BORGES, G1 SC</t>
        </is>
      </c>
      <c r="H137" t="inlineStr">
        <is>
          <t>RAIO CAUSA INCÊNDIO AO ATINGIR TETO DE CASA EM SC, DIZEM BOMBEIROS</t>
        </is>
      </c>
      <c r="I137" t="inlineStr">
        <is>
          <t>RAIO ATINGIU UMA CASA E PROVOCOU UM INÍCIO DE INCÊNDIO NA NOITE DE QUINTA-FEIRA EM URUBICI, NA SERRA.</t>
        </is>
      </c>
      <c r="J137" t="inlineStr"/>
      <c r="K137" t="n">
        <v>0</v>
      </c>
      <c r="L137" t="n">
        <v>2</v>
      </c>
      <c r="M137" t="n">
        <v>0</v>
      </c>
      <c r="N137" t="n">
        <v>0</v>
      </c>
      <c r="O137" t="n">
        <v>7</v>
      </c>
      <c r="P137">
        <f>HYPERLINK("https://g1.globo.com/sc/santa-catarina/noticia/2022/06/24/morador-apaga-incendio-com-balde-de-agua-apos-raio-atingir-teto-de-casa-em-sc-dizem-bombeiros.ghtml", "URL")</f>
        <v/>
      </c>
      <c r="Q137">
        <f>HYPERLINK("https://raw.githubusercontent.com/marcosmapl/dataset_imigrantes/main/materias_filtered/g1/haitianos/2022/05_jun/html/g1_65d77a16-231b-11ed-b24f-6dbe51e79fca_3384.html", "HTML")</f>
        <v/>
      </c>
      <c r="R137">
        <f>HYPERLINK("https://raw.githubusercontent.com/marcosmapl/dataset_imigrantes/main/materias_filtered/g1/haitianos/2022/05_jun/txt/g1_65d77a16-231b-11ed-b24f-6dbe51e79fca_3384.txt", "TXT")</f>
        <v/>
      </c>
    </row>
    <row r="138">
      <c r="A138" s="1" t="n">
        <v>136</v>
      </c>
      <c r="B138" t="n">
        <v>2022</v>
      </c>
      <c r="C138" s="2" t="n">
        <v>44736.37779586806</v>
      </c>
      <c r="D138" t="inlineStr">
        <is>
          <t>G1</t>
        </is>
      </c>
      <c r="E138" t="inlineStr">
        <is>
          <t>HAITIANOS</t>
        </is>
      </c>
      <c r="F138" t="inlineStr">
        <is>
          <t>SANTA CATARINA</t>
        </is>
      </c>
      <c r="G138" t="inlineStr">
        <is>
          <t>SOFIA MAYER, G1 SC</t>
        </is>
      </c>
      <c r="H138" t="inlineStr">
        <is>
          <t>VÍDEO: HAITIANA VÍTIMA DE AGRESSÃO É ATENDIDA COM TRADUÇÃO EM FRANCÊS POR POLÍCIA DE BLUMENAU</t>
        </is>
      </c>
      <c r="I138" t="inlineStr">
        <is>
          <t>VÍTIMA DE 33 ANOS RELATOU QUE FOI AGREDIDA A FACADAS PELO EX-COMPANHEIRO. MULHER RECEBEU UMA MEDIDA PROTETIVA CONTRA O SUSPEITO.</t>
        </is>
      </c>
      <c r="J138" t="inlineStr"/>
      <c r="K138" t="n">
        <v>0</v>
      </c>
      <c r="L138" t="n">
        <v>2</v>
      </c>
      <c r="M138" t="n">
        <v>1</v>
      </c>
      <c r="N138" t="n">
        <v>0</v>
      </c>
      <c r="O138" t="n">
        <v>5</v>
      </c>
      <c r="P138">
        <f>HYPERLINK("https://g1.globo.com/sc/santa-catarina/noticia/2022/06/24/video-haitiana-vitima-de-agressao-e-atendida-com-traducao-em-frances-por-policia-de-blumenau.ghtml", "URL")</f>
        <v/>
      </c>
      <c r="Q138">
        <f>HYPERLINK("https://raw.githubusercontent.com/marcosmapl/dataset_imigrantes/main/materias_filtered/g1/haitianos/2022/05_jun/html/g1_4ce87974-22f8-11ed-b24f-6dbe51e79fca_2127.html", "HTML")</f>
        <v/>
      </c>
      <c r="R138">
        <f>HYPERLINK("https://raw.githubusercontent.com/marcosmapl/dataset_imigrantes/main/materias_filtered/g1/haitianos/2022/05_jun/txt/g1_4ce87974-22f8-11ed-b24f-6dbe51e79fca_2127.txt", "TXT")</f>
        <v/>
      </c>
    </row>
    <row r="139">
      <c r="A139" s="1" t="n">
        <v>137</v>
      </c>
      <c r="B139" t="n">
        <v>2022</v>
      </c>
      <c r="C139" s="2" t="n">
        <v>44735.88842112268</v>
      </c>
      <c r="D139" t="inlineStr">
        <is>
          <t>G1</t>
        </is>
      </c>
      <c r="E139" t="inlineStr">
        <is>
          <t>VENEZUELANOS</t>
        </is>
      </c>
      <c r="F139" t="inlineStr">
        <is>
          <t>ALAGOAS</t>
        </is>
      </c>
      <c r="G139" t="inlineStr">
        <is>
          <t>G1 AL</t>
        </is>
      </c>
      <c r="H139" t="inlineStr">
        <is>
          <t>MACEIÓ TEM R$ 722 MIL PARADOS POR FALTA DE PLANO PARA INDÍGENAS VENEZUELANOS REFUGIADOS</t>
        </is>
      </c>
      <c r="I139" t="inlineStr">
        <is>
          <t>RECURSOS DEVEM SER UTILIZADOS EM AÇÕES DE ACOLHIMENTO. MPF DEU PRAZO DE 40 DIAS PARA QUE O DOCUMENTO SEJA ELABORADO, EVITANDO QUE DINHEIRO SEJA DEVOLVIDO. IMIGRANTES PEDEM COMIDA NAS RUAS DA CAPITAL.</t>
        </is>
      </c>
      <c r="J139" t="inlineStr"/>
      <c r="K139" t="n">
        <v>0</v>
      </c>
      <c r="L139" t="n">
        <v>2</v>
      </c>
      <c r="M139" t="n">
        <v>1</v>
      </c>
      <c r="N139" t="n">
        <v>0</v>
      </c>
      <c r="O139" t="n">
        <v>7</v>
      </c>
      <c r="P139">
        <f>HYPERLINK("https://g1.globo.com/al/alagoas/noticia/2022/06/23/maceio-tem-r-722-mil-parados-por-falta-de-plano-para-indigenas-venezuelanos-refugiados.ghtml", "URL")</f>
        <v/>
      </c>
      <c r="Q139">
        <f>HYPERLINK("https://raw.githubusercontent.com/marcosmapl/dataset_imigrantes/main/materias_filtered/g1/venezuelanos/2022/05_jun/html/g1_1e1d640a-230d-11ed-b24f-6dbe51e79fca_2667.html", "HTML")</f>
        <v/>
      </c>
      <c r="R139">
        <f>HYPERLINK("https://raw.githubusercontent.com/marcosmapl/dataset_imigrantes/main/materias_filtered/g1/venezuelanos/2022/05_jun/txt/g1_1e1d640a-230d-11ed-b24f-6dbe51e79fca_2667.txt", "TXT")</f>
        <v/>
      </c>
    </row>
    <row r="140">
      <c r="A140" s="1" t="n">
        <v>138</v>
      </c>
      <c r="B140" t="n">
        <v>2022</v>
      </c>
      <c r="C140" s="2" t="n">
        <v>44735.84112961806</v>
      </c>
      <c r="D140" t="inlineStr">
        <is>
          <t>G1</t>
        </is>
      </c>
      <c r="E140" t="inlineStr">
        <is>
          <t>VENEZUELANOS</t>
        </is>
      </c>
      <c r="F140" t="inlineStr">
        <is>
          <t>SANTARÉM E REGIÃO</t>
        </is>
      </c>
      <c r="G140" t="inlineStr">
        <is>
          <t>G1 SANTARÉM E REGIÃO — PA</t>
        </is>
      </c>
      <c r="H140" t="inlineStr">
        <is>
          <t>IDOSOS VENEZUELANOS DA ETNIA WARAO QUE CONVIVEM NA CAAF, VISITAM O PARQUE DA CIDADE EM SANTARÉM</t>
        </is>
      </c>
      <c r="I140" t="inlineStr">
        <is>
          <t>ATIVIDADE É ALUSIVA AO 'JUNHO VIOLETA' E OCORREU NA MANHÃ DESTA QUINTA-FEIRA (23).</t>
        </is>
      </c>
      <c r="J140" t="inlineStr"/>
      <c r="K140" t="n">
        <v>0</v>
      </c>
      <c r="L140" t="n">
        <v>4</v>
      </c>
      <c r="M140" t="n">
        <v>0</v>
      </c>
      <c r="N140" t="n">
        <v>0</v>
      </c>
      <c r="O140" t="n">
        <v>4</v>
      </c>
      <c r="P140">
        <f>HYPERLINK("https://g1.globo.com/pa/santarem-regiao/noticia/2022/06/23/idosos-venezuelanos-da-etnia-warao-que-convivem-na-caaf-visitam-o-parque-da-cidade-em-santarem.ghtml", "URL")</f>
        <v/>
      </c>
      <c r="Q140">
        <f>HYPERLINK("https://raw.githubusercontent.com/marcosmapl/dataset_imigrantes/main/materias_filtered/g1/venezuelanos/2022/05_jun/html/g1_f37782d0-231b-11ed-b24f-6dbe51e79fca_3418.html", "HTML")</f>
        <v/>
      </c>
      <c r="R140">
        <f>HYPERLINK("https://raw.githubusercontent.com/marcosmapl/dataset_imigrantes/main/materias_filtered/g1/venezuelanos/2022/05_jun/txt/g1_f37782d0-231b-11ed-b24f-6dbe51e79fca_3418.txt", "TXT")</f>
        <v/>
      </c>
    </row>
    <row r="141">
      <c r="A141" s="1" t="n">
        <v>139</v>
      </c>
      <c r="B141" t="n">
        <v>2022</v>
      </c>
      <c r="C141" s="2" t="n">
        <v>44735.73671296296</v>
      </c>
      <c r="D141" t="inlineStr">
        <is>
          <t>A CRITICA</t>
        </is>
      </c>
      <c r="E141" t="inlineStr">
        <is>
          <t>VENEZUELANOS</t>
        </is>
      </c>
      <c r="F141" t="inlineStr">
        <is>
          <t>POLICIA</t>
        </is>
      </c>
      <c r="G141" t="inlineStr">
        <is>
          <t>NATASHA PINTO</t>
        </is>
      </c>
      <c r="H141" t="inlineStr">
        <is>
          <t>ENQUANTO SEGURAVA O FILHO NO COLO, HOMEM É EXECUTADO A TIROS NO BAIRRO CENTRO</t>
        </is>
      </c>
      <c r="I141" t="inlineStr">
        <is>
          <t>A COMPANHEIRA DA VÍTIMA DISSE A POLICIAIS MILITARES DA 24ª CICOM QUE O SUSPEITO DE TER MATADO MÁRCIO SARDINHA É UM HOMEM VENEZUELANO IDENTIFICADO APENAS COMO "CATIRE"</t>
        </is>
      </c>
      <c r="J141" t="inlineStr">
        <is>
          <t>EXECUÇÃO, MANAUS, MORTO A TIROS, POLÍCIA</t>
        </is>
      </c>
      <c r="K141" t="n">
        <v>4</v>
      </c>
      <c r="L141" t="n">
        <v>1</v>
      </c>
      <c r="M141" t="n">
        <v>0</v>
      </c>
      <c r="N141" t="n">
        <v>0</v>
      </c>
      <c r="O141" t="n">
        <v>4</v>
      </c>
      <c r="P141">
        <f>HYPERLINK("https://www.acritica.com/policia/enquanto-segurava-o-filho-no-colo-homem-e-executado-a-tiros-no-bairro-centro-1.273797", "URL")</f>
        <v/>
      </c>
      <c r="Q141">
        <f>HYPERLINK("https://raw.githubusercontent.com/marcosmapl/dataset_imigrantes/main/materias_filtered/a_critica/venezuelanos/2022/05_jun/html/1.273797_1079.html", "HTML")</f>
        <v/>
      </c>
      <c r="R141">
        <f>HYPERLINK("https://raw.githubusercontent.com/marcosmapl/dataset_imigrantes/main/materias_filtered/a_critica/venezuelanos/2022/05_jun/txt/1.273797_1079.txt", "TXT")</f>
        <v/>
      </c>
    </row>
    <row r="142">
      <c r="A142" s="1" t="n">
        <v>140</v>
      </c>
      <c r="B142" t="n">
        <v>2022</v>
      </c>
      <c r="C142" s="2" t="n">
        <v>44734.80375850695</v>
      </c>
      <c r="D142" t="inlineStr">
        <is>
          <t>G1</t>
        </is>
      </c>
      <c r="E142" t="inlineStr">
        <is>
          <t>VENEZUELANOS</t>
        </is>
      </c>
      <c r="F142" t="inlineStr">
        <is>
          <t>MUNDO</t>
        </is>
      </c>
      <c r="G142" t="inlineStr">
        <is>
          <t>G1</t>
        </is>
      </c>
      <c r="H142" t="inlineStr">
        <is>
          <t>PRESIDENTE ELEITO DA COLÔMBIA, PETRO PROMETE FRONTEIRA ABERTA COM VENEZUELA; VEJA O QUE ESPERAR DAS RELAÇÕES DOS DOIS PAÍSES</t>
        </is>
      </c>
      <c r="I142" t="inlineStr">
        <is>
          <t>EXPECTATIVA É DE RETOMADA DE RELAÇÕES AGORA QUE COLOMBIANOS ELEGERAM UM GOVERNO DE ESQUERDA. ESPECIALISTAS, NO ENTANTO, QUE NÃO SE PODE ESPERAR ALINHAMENTO AUTOMÁTICO DE PETRO COM MADURO.</t>
        </is>
      </c>
      <c r="J142" t="inlineStr"/>
      <c r="K142" t="n">
        <v>0</v>
      </c>
      <c r="L142" t="n">
        <v>3</v>
      </c>
      <c r="M142" t="n">
        <v>1</v>
      </c>
      <c r="N142" t="n">
        <v>0</v>
      </c>
      <c r="O142" t="n">
        <v>0</v>
      </c>
      <c r="P142">
        <f>HYPERLINK("https://g1.globo.com/mundo/noticia/2022/06/22/presidente-eleito-da-colombia-petro-promete-fronteira-aberta-com-venezuela-veja-o-que-esperar-das-relacoes-dos-dois-paises.ghtml", "URL")</f>
        <v/>
      </c>
      <c r="Q142">
        <f>HYPERLINK("https://raw.githubusercontent.com/marcosmapl/dataset_imigrantes/main/materias_filtered/g1/venezuelanos/2022/05_jun/html/g1_59106f46-231a-11ed-b24f-6dbe51e79fca_3330.html", "HTML")</f>
        <v/>
      </c>
      <c r="R142">
        <f>HYPERLINK("https://raw.githubusercontent.com/marcosmapl/dataset_imigrantes/main/materias_filtered/g1/venezuelanos/2022/05_jun/txt/g1_59106f46-231a-11ed-b24f-6dbe51e79fca_3330.txt", "TXT")</f>
        <v/>
      </c>
    </row>
    <row r="143">
      <c r="A143" s="1" t="n">
        <v>141</v>
      </c>
      <c r="B143" t="n">
        <v>2022</v>
      </c>
      <c r="C143" s="2" t="n">
        <v>44734.04295708334</v>
      </c>
      <c r="D143" t="inlineStr">
        <is>
          <t>G1</t>
        </is>
      </c>
      <c r="E143" t="inlineStr">
        <is>
          <t>HAITIANOS</t>
        </is>
      </c>
      <c r="F143" t="inlineStr">
        <is>
          <t>PARANÁ</t>
        </is>
      </c>
      <c r="G143" t="inlineStr">
        <is>
          <t>G1 PR — CURITIBA</t>
        </is>
      </c>
      <c r="H143" t="inlineStr">
        <is>
          <t>RESUMO DO DIA: PARANÁ, TERÇA-FEIRA, 21 DE JUNHO DE 2022</t>
        </is>
      </c>
      <c r="I143" t="inlineStr">
        <is>
          <t>BOA NOITE! AQUI ESTÃO AS PRINCIPAIS NOTÍCIAS DO ESTADO PARA VOCÊ TERMINAR O DIA BEM-INFORMADO.</t>
        </is>
      </c>
      <c r="J143" t="inlineStr"/>
      <c r="K143" t="n">
        <v>0</v>
      </c>
      <c r="L143" t="n">
        <v>8</v>
      </c>
      <c r="M143" t="n">
        <v>4</v>
      </c>
      <c r="N143" t="n">
        <v>0</v>
      </c>
      <c r="O143" t="n">
        <v>15</v>
      </c>
      <c r="P143">
        <f>HYPERLINK("https://g1.globo.com/pr/parana/noticia/2022/06/21/resumo-do-dia-parana-terca-feira-21-de-junho-de-2022.ghtml", "URL")</f>
        <v/>
      </c>
      <c r="Q143">
        <f>HYPERLINK("https://raw.githubusercontent.com/marcosmapl/dataset_imigrantes/main/materias_filtered/g1/haitianos/2022/05_jun/html/g1_a89a30f0-22ee-11ed-b24f-6dbe51e79fca_1707.html", "HTML")</f>
        <v/>
      </c>
      <c r="R143">
        <f>HYPERLINK("https://raw.githubusercontent.com/marcosmapl/dataset_imigrantes/main/materias_filtered/g1/haitianos/2022/05_jun/txt/g1_a89a30f0-22ee-11ed-b24f-6dbe51e79fca_1707.txt", "TXT")</f>
        <v/>
      </c>
    </row>
    <row r="144">
      <c r="A144" s="1" t="n">
        <v>142</v>
      </c>
      <c r="B144" t="n">
        <v>2022</v>
      </c>
      <c r="C144" s="2" t="n">
        <v>44733.6188332176</v>
      </c>
      <c r="D144" t="inlineStr">
        <is>
          <t>G1</t>
        </is>
      </c>
      <c r="E144" t="inlineStr">
        <is>
          <t>HAITIANOS</t>
        </is>
      </c>
      <c r="F144" t="inlineStr">
        <is>
          <t>OESTE E SUDOESTE</t>
        </is>
      </c>
      <c r="G144" t="inlineStr">
        <is>
          <t>RPC CASCAVEL</t>
        </is>
      </c>
      <c r="H144" t="inlineStr">
        <is>
          <t>'IA CASAR DOMINGO', DIZ AMIGA DE JOVEM QUE FOI ATROPELADA COM A FILHA EM CASCAVEL AO TENTAR ATRAVESSAR RUA</t>
        </is>
      </c>
      <c r="I144" t="inlineStr">
        <is>
          <t>MÃE E FILHA, QUE SÃO HAITIANAS, PERMANECEM EM ESTADO GRAVE, INTERNADAS NO HU. ATROPELAMENTO FOI NA SEGUNDA (20). MOTORISTA INFORMOU QUE PERDEU O CONTROLE DO VEÍCULO. POLÍCIA INVESTIGA O CASO.</t>
        </is>
      </c>
      <c r="J144" t="inlineStr"/>
      <c r="K144" t="n">
        <v>0</v>
      </c>
      <c r="L144" t="n">
        <v>2</v>
      </c>
      <c r="M144" t="n">
        <v>1</v>
      </c>
      <c r="N144" t="n">
        <v>0</v>
      </c>
      <c r="O144" t="n">
        <v>6</v>
      </c>
      <c r="P144">
        <f>HYPERLINK("https://g1.globo.com/pr/oeste-sudoeste/noticia/2022/06/21/ia-casar-domingo-diz-amiga-de-jovem-que-foi-atropelada-com-a-filha-em-cascavel-ao-tentar-atravessar-rua.ghtml", "URL")</f>
        <v/>
      </c>
      <c r="Q144">
        <f>HYPERLINK("https://raw.githubusercontent.com/marcosmapl/dataset_imigrantes/main/materias_filtered/g1/haitianos/2022/05_jun/html/g1_68d5472c-2319-11ed-b24f-6dbe51e79fca_3315.html", "HTML")</f>
        <v/>
      </c>
      <c r="R144">
        <f>HYPERLINK("https://raw.githubusercontent.com/marcosmapl/dataset_imigrantes/main/materias_filtered/g1/haitianos/2022/05_jun/txt/g1_68d5472c-2319-11ed-b24f-6dbe51e79fca_3315.txt", "TXT")</f>
        <v/>
      </c>
    </row>
    <row r="145">
      <c r="A145" s="1" t="n">
        <v>143</v>
      </c>
      <c r="B145" t="n">
        <v>2022</v>
      </c>
      <c r="C145" s="2" t="n">
        <v>44732.86325231481</v>
      </c>
      <c r="D145" t="inlineStr">
        <is>
          <t>A CRITICA</t>
        </is>
      </c>
      <c r="E145" t="inlineStr">
        <is>
          <t>VENEZUELANOS</t>
        </is>
      </c>
      <c r="F145" t="inlineStr"/>
      <c r="G145" t="inlineStr">
        <is>
          <t>AGÊNCIA BRASIL</t>
        </is>
      </c>
      <c r="H145" t="inlineStr">
        <is>
          <t>VENEZUELANOS REPRESENTARAM MAIORIA DE PEDIDOS DE REFÚGIO EM 2021 NO BRASIL</t>
        </is>
      </c>
      <c r="I145" t="inlineStr">
        <is>
          <t>DE ACORDO COM O LEVANTAMENTO DIVULGADO, O BRASIL FECHOU O ANO DE 2021 COM 60 MIL REFUGIADOS</t>
        </is>
      </c>
      <c r="J145" t="inlineStr"/>
      <c r="K145" t="n">
        <v>0</v>
      </c>
      <c r="L145" t="n">
        <v>1</v>
      </c>
      <c r="M145" t="n">
        <v>0</v>
      </c>
      <c r="N145" t="n">
        <v>0</v>
      </c>
      <c r="O145" t="n">
        <v>0</v>
      </c>
      <c r="P145">
        <f>HYPERLINK("https://www.acritica.com/venezuelanos-representaram-maioria-de-pedidos-de-refugio-em-2021-no-brasil-1.273395", "URL")</f>
        <v/>
      </c>
      <c r="Q145">
        <f>HYPERLINK("https://raw.githubusercontent.com/marcosmapl/dataset_imigrantes/main/materias_filtered/a_critica/venezuelanos/2022/05_jun/html/1.273395_731.html", "HTML")</f>
        <v/>
      </c>
      <c r="R145">
        <f>HYPERLINK("https://raw.githubusercontent.com/marcosmapl/dataset_imigrantes/main/materias_filtered/a_critica/venezuelanos/2022/05_jun/txt/1.273395_731.txt", "TXT")</f>
        <v/>
      </c>
    </row>
    <row r="146">
      <c r="A146" s="1" t="n">
        <v>144</v>
      </c>
      <c r="B146" t="n">
        <v>2022</v>
      </c>
      <c r="C146" s="2" t="n">
        <v>44730.44664733797</v>
      </c>
      <c r="D146" t="inlineStr">
        <is>
          <t>G1</t>
        </is>
      </c>
      <c r="E146" t="inlineStr">
        <is>
          <t>HAITIANOS</t>
        </is>
      </c>
      <c r="F146" t="inlineStr">
        <is>
          <t>MUNDO</t>
        </is>
      </c>
      <c r="G146" t="inlineStr">
        <is>
          <t>FRANCE PRESSE</t>
        </is>
      </c>
      <c r="H146" t="inlineStr">
        <is>
          <t>UNICEF ALERTA PARA AUMENTO 'MACIÇO' DE CRIANÇAS MIGRANTES EM SELVA PANAMENHA</t>
        </is>
      </c>
      <c r="I146" t="inlineStr">
        <is>
          <t>DURANTE O TRAJETO EM MEIO À DENSA FLORESTA, OS MIGRANTES, EM SUA MAIORIA HAITIANOS E CUBANOS, ENFRENTAM RIOS CAUDALOSOS, ANIMAIS SELVAGENS E QUADRILHAS DE CRIMINOSOS.</t>
        </is>
      </c>
      <c r="J146" t="inlineStr"/>
      <c r="K146" t="n">
        <v>0</v>
      </c>
      <c r="L146" t="n">
        <v>1</v>
      </c>
      <c r="M146" t="n">
        <v>0</v>
      </c>
      <c r="N146" t="n">
        <v>0</v>
      </c>
      <c r="O146" t="n">
        <v>4</v>
      </c>
      <c r="P146">
        <f>HYPERLINK("https://g1.globo.com/mundo/noticia/2022/06/18/unicef-alerta-para-aumento-macico-de-criancas-migrantes-em-selva-panamenha.ghtml", "URL")</f>
        <v/>
      </c>
      <c r="Q146">
        <f>HYPERLINK("https://raw.githubusercontent.com/marcosmapl/dataset_imigrantes/main/materias_filtered/g1/haitianos/2022/05_jun/html/g1_a354bf9c-22f9-11ed-b24f-6dbe51e79fca_2175.html", "HTML")</f>
        <v/>
      </c>
      <c r="R146">
        <f>HYPERLINK("https://raw.githubusercontent.com/marcosmapl/dataset_imigrantes/main/materias_filtered/g1/haitianos/2022/05_jun/txt/g1_a354bf9c-22f9-11ed-b24f-6dbe51e79fca_2175.txt", "TXT")</f>
        <v/>
      </c>
    </row>
    <row r="147">
      <c r="A147" s="1" t="n">
        <v>145</v>
      </c>
      <c r="B147" t="n">
        <v>2022</v>
      </c>
      <c r="C147" s="2" t="n">
        <v>44729.98758866898</v>
      </c>
      <c r="D147" t="inlineStr">
        <is>
          <t>G1</t>
        </is>
      </c>
      <c r="E147" t="inlineStr">
        <is>
          <t>VENEZUELANOS</t>
        </is>
      </c>
      <c r="F147" t="inlineStr">
        <is>
          <t>MUNDO</t>
        </is>
      </c>
      <c r="G147" t="inlineStr">
        <is>
          <t>FRANCE PRESSE</t>
        </is>
      </c>
      <c r="H147" t="inlineStr">
        <is>
          <t>PARAGUAI DIZ QUE TRIPULANTE DE AVIÃO RETIDO NA ARGENTINA FAZ PARTE DA GUARDA REVOLUCIONÁRIA IRANIANA</t>
        </is>
      </c>
      <c r="I147" t="inlineStr">
        <is>
          <t>A AL-QUDS, FORÇA DE ELITE DOS GUARDIÕES DA REVOLUÇÃO DO IRÃ, É CLASSIFICADA COMO ORGANIZAÇÃO TERRORISTA PELOS ESTADO UNIDOS. BOEING 747 DE CARGA ESTÁ DETIDO EM BUENOS AIRES HÁ UMA SEMANA SOB INVESTIGAÇÃO, ASSIM COMO SUA TRIPULAÇÃO COMPOSTA POR 14 VENEZUELANOS E CINCO IRANIANOS.</t>
        </is>
      </c>
      <c r="J147" t="inlineStr"/>
      <c r="K147" t="n">
        <v>0</v>
      </c>
      <c r="L147" t="n">
        <v>1</v>
      </c>
      <c r="M147" t="n">
        <v>0</v>
      </c>
      <c r="N147" t="n">
        <v>0</v>
      </c>
      <c r="O147" t="n">
        <v>1</v>
      </c>
      <c r="P147">
        <f>HYPERLINK("https://g1.globo.com/mundo/noticia/2022/06/17/paraguai-diz-que-tripulante-de-aviao-retido-na-argentina-faz-parte-da-guarda-revolucionaria-iraniana.ghtml", "URL")</f>
        <v/>
      </c>
      <c r="Q147">
        <f>HYPERLINK("https://raw.githubusercontent.com/marcosmapl/dataset_imigrantes/main/materias_filtered/g1/venezuelanos/2022/05_jun/html/g1_984faacc-232a-11ed-b24f-6dbe51e79fca_4189.html", "HTML")</f>
        <v/>
      </c>
      <c r="R147">
        <f>HYPERLINK("https://raw.githubusercontent.com/marcosmapl/dataset_imigrantes/main/materias_filtered/g1/venezuelanos/2022/05_jun/txt/g1_984faacc-232a-11ed-b24f-6dbe51e79fca_4189.txt", "TXT")</f>
        <v/>
      </c>
    </row>
    <row r="148">
      <c r="A148" s="1" t="n">
        <v>146</v>
      </c>
      <c r="B148" t="n">
        <v>2022</v>
      </c>
      <c r="C148" s="2" t="n">
        <v>44729.88041613426</v>
      </c>
      <c r="D148" t="inlineStr">
        <is>
          <t>G1</t>
        </is>
      </c>
      <c r="E148" t="inlineStr">
        <is>
          <t>VENEZUELANOS</t>
        </is>
      </c>
      <c r="F148" t="inlineStr">
        <is>
          <t>RORAIMA</t>
        </is>
      </c>
      <c r="G148" t="inlineStr">
        <is>
          <t>G1 RR — BOA VISTA</t>
        </is>
      </c>
      <c r="H148" t="inlineStr">
        <is>
          <t>VENEZUELANO RECEBE VIA PIX VALOR DE DÍVIDA TRABALHISTA EM AUDIÊNCIA DE CONCILIAÇÃO EM RORAIMA</t>
        </is>
      </c>
      <c r="I148" t="inlineStr">
        <is>
          <t>JUIZ DA 3ª VARA DO TRABALHO DE BOA VISTA, RAIMUNDO PAULINO CAVALCANTE FILHO, HOMOLOGOU ACORDO PARA QUITAÇÃO DA DÍVIDA E EMPRESÁRIA FEZ PIX AINDA NA SALA DE AUDIÊNCIA.</t>
        </is>
      </c>
      <c r="J148" t="inlineStr"/>
      <c r="K148" t="n">
        <v>0</v>
      </c>
      <c r="L148" t="n">
        <v>1</v>
      </c>
      <c r="M148" t="n">
        <v>0</v>
      </c>
      <c r="N148" t="n">
        <v>0</v>
      </c>
      <c r="O148" t="n">
        <v>2</v>
      </c>
      <c r="P148">
        <f>HYPERLINK("https://g1.globo.com/rr/roraima/noticia/2022/06/17/venezuelano-recebe-via-pix-valor-de-divida-trabalhista-em-audiencia-de-conciliacao-em-roraima.ghtml", "URL")</f>
        <v/>
      </c>
      <c r="Q148">
        <f>HYPERLINK("https://raw.githubusercontent.com/marcosmapl/dataset_imigrantes/main/materias_filtered/g1/venezuelanos/2022/05_jun/html/g1_8522d0e0-231c-11ed-b24f-6dbe51e79fca_3449.html", "HTML")</f>
        <v/>
      </c>
      <c r="R148">
        <f>HYPERLINK("https://raw.githubusercontent.com/marcosmapl/dataset_imigrantes/main/materias_filtered/g1/venezuelanos/2022/05_jun/txt/g1_8522d0e0-231c-11ed-b24f-6dbe51e79fca_3449.txt", "TXT")</f>
        <v/>
      </c>
    </row>
    <row r="149">
      <c r="A149" s="1" t="n">
        <v>147</v>
      </c>
      <c r="B149" t="n">
        <v>2022</v>
      </c>
      <c r="C149" s="2" t="n">
        <v>44729.75890145834</v>
      </c>
      <c r="D149" t="inlineStr">
        <is>
          <t>G1</t>
        </is>
      </c>
      <c r="E149" t="inlineStr">
        <is>
          <t>HAITIANOS</t>
        </is>
      </c>
      <c r="F149" t="inlineStr">
        <is>
          <t>PARÁ</t>
        </is>
      </c>
      <c r="G149" t="inlineStr">
        <is>
          <t>G1 PARÁ E TV LIBERAL — BELÉM</t>
        </is>
      </c>
      <c r="H149" t="inlineStr">
        <is>
          <t>INTERCAMBISTA HAITIANO MORRE EM CACHOEIRA NO PARÁ</t>
        </is>
      </c>
      <c r="I149" t="inlineStr">
        <is>
          <t>ESTUDANTE DE PÓS GRADUAÇÃO DESPARECEU EM CACHOEIRA DURANTE PASSEIO COM AMIGOS, SEGUNDO UNIVERSIDADE. CORPO FOI ENCONTRADO SUBMERSO POR COLEGAS E LAUDO DEVE APONTAR CAUSA DA MORTE.</t>
        </is>
      </c>
      <c r="J149" t="inlineStr"/>
      <c r="K149" t="n">
        <v>0</v>
      </c>
      <c r="L149" t="n">
        <v>2</v>
      </c>
      <c r="M149" t="n">
        <v>1</v>
      </c>
      <c r="N149" t="n">
        <v>0</v>
      </c>
      <c r="O149" t="n">
        <v>3</v>
      </c>
      <c r="P149">
        <f>HYPERLINK("https://g1.globo.com/pa/para/noticia/2022/06/17/intercambista-haitiano-morre-em-cachoeira-no-para.ghtml", "URL")</f>
        <v/>
      </c>
      <c r="Q149">
        <f>HYPERLINK("https://raw.githubusercontent.com/marcosmapl/dataset_imigrantes/main/materias_filtered/g1/haitianos/2022/05_jun/html/g1_9a123728-22f6-11ed-b24f-6dbe51e79fca_2023.html", "HTML")</f>
        <v/>
      </c>
      <c r="R149">
        <f>HYPERLINK("https://raw.githubusercontent.com/marcosmapl/dataset_imigrantes/main/materias_filtered/g1/haitianos/2022/05_jun/txt/g1_9a123728-22f6-11ed-b24f-6dbe51e79fca_2023.txt", "TXT")</f>
        <v/>
      </c>
    </row>
    <row r="150">
      <c r="A150" s="1" t="n">
        <v>148</v>
      </c>
      <c r="B150" t="n">
        <v>2022</v>
      </c>
      <c r="C150" s="2" t="n">
        <v>44728.94718892361</v>
      </c>
      <c r="D150" t="inlineStr">
        <is>
          <t>G1</t>
        </is>
      </c>
      <c r="E150" t="inlineStr">
        <is>
          <t>VENEZUELANOS</t>
        </is>
      </c>
      <c r="F150" t="inlineStr">
        <is>
          <t>BAHIA</t>
        </is>
      </c>
      <c r="G150" t="inlineStr">
        <is>
          <t>G1 BA</t>
        </is>
      </c>
      <c r="H150" t="inlineStr">
        <is>
          <t>MAPEAMENTO DA PREFEITURA DE LAURO DE FREITAS IDENTIFICA 300 PERUANOS E VENEZUELANOS ENTRE REFUGIADOS E MIGRANTES NA CIDADE</t>
        </is>
      </c>
      <c r="I150" t="inlineStr">
        <is>
          <t>MUNICÍPIO FOI RECONHECIDO PELA ORGANIZAÇÃO DAS NAÇÕES UNIDAS (ONU) COMO 'CIDADE SOLIDÁRIA'.</t>
        </is>
      </c>
      <c r="J150" t="inlineStr"/>
      <c r="K150" t="n">
        <v>0</v>
      </c>
      <c r="L150" t="n">
        <v>2</v>
      </c>
      <c r="M150" t="n">
        <v>0</v>
      </c>
      <c r="N150" t="n">
        <v>0</v>
      </c>
      <c r="O150" t="n">
        <v>3</v>
      </c>
      <c r="P150">
        <f>HYPERLINK("https://g1.globo.com/ba/bahia/noticia/2022/06/16/mapeamento-da-prefeitura-de-lauro-de-freitas-identifica-300-peruanos-e-venezuelanos-entre-refugiados-e-migrantes-na-cidade.ghtml", "URL")</f>
        <v/>
      </c>
      <c r="Q150">
        <f>HYPERLINK("https://raw.githubusercontent.com/marcosmapl/dataset_imigrantes/main/materias_filtered/g1/venezuelanos/2022/05_jun/html/g1_eb60cca4-2321-11ed-b24f-6dbe51e79fca_3724.html", "HTML")</f>
        <v/>
      </c>
      <c r="R150">
        <f>HYPERLINK("https://raw.githubusercontent.com/marcosmapl/dataset_imigrantes/main/materias_filtered/g1/venezuelanos/2022/05_jun/txt/g1_eb60cca4-2321-11ed-b24f-6dbe51e79fca_3724.txt", "TXT")</f>
        <v/>
      </c>
    </row>
    <row r="151">
      <c r="A151" s="1" t="n">
        <v>149</v>
      </c>
      <c r="B151" t="n">
        <v>2022</v>
      </c>
      <c r="C151" s="2" t="n">
        <v>44726.87044978009</v>
      </c>
      <c r="D151" t="inlineStr">
        <is>
          <t>G1</t>
        </is>
      </c>
      <c r="E151" t="inlineStr">
        <is>
          <t>VENEZUELANOS</t>
        </is>
      </c>
      <c r="F151" t="inlineStr">
        <is>
          <t>MUNDO</t>
        </is>
      </c>
      <c r="G151" t="inlineStr">
        <is>
          <t>FRANCE PRESSE</t>
        </is>
      </c>
      <c r="H151" t="inlineStr">
        <is>
          <t>JUIZ PROÍBE TRIPULAÇÃO DE AVIÃO VENEZUELANO DE SAIR DA ARGENTINA</t>
        </is>
      </c>
      <c r="I151" t="inlineStr">
        <is>
          <t>O CASO ESTÁ SOB SEGREDO DE JUSTIÇA. HOUVE UMA OPERAÇÃO DE BUSCA E APREENSÃO NO HOTEL ONDE A TRIPULAÇÃO ESTÁ HOSPEDADA. SUSPEITA-SE QUE ELES FORAM PARA A ARGENTINA POR UM MOTIVO DIFERENTE DO APRESENTADO.</t>
        </is>
      </c>
      <c r="J151" t="inlineStr"/>
      <c r="K151" t="n">
        <v>0</v>
      </c>
      <c r="L151" t="n">
        <v>1</v>
      </c>
      <c r="M151" t="n">
        <v>0</v>
      </c>
      <c r="N151" t="n">
        <v>0</v>
      </c>
      <c r="O151" t="n">
        <v>1</v>
      </c>
      <c r="P151">
        <f>HYPERLINK("https://g1.globo.com/mundo/noticia/2022/06/14/juiz-proibe-tripulacao-de-aviao-venezuelano-de-sair-da-argentina.ghtml", "URL")</f>
        <v/>
      </c>
      <c r="Q151">
        <f>HYPERLINK("https://raw.githubusercontent.com/marcosmapl/dataset_imigrantes/main/materias_filtered/g1/venezuelanos/2022/05_jun/html/g1_37148978-2323-11ed-b24f-6dbe51e79fca_3792.html", "HTML")</f>
        <v/>
      </c>
      <c r="R151">
        <f>HYPERLINK("https://raw.githubusercontent.com/marcosmapl/dataset_imigrantes/main/materias_filtered/g1/venezuelanos/2022/05_jun/txt/g1_37148978-2323-11ed-b24f-6dbe51e79fca_3792.txt", "TXT")</f>
        <v/>
      </c>
    </row>
    <row r="152">
      <c r="A152" s="1" t="n">
        <v>150</v>
      </c>
      <c r="B152" t="n">
        <v>2022</v>
      </c>
      <c r="C152" s="2" t="n">
        <v>44726.57265273148</v>
      </c>
      <c r="D152" t="inlineStr">
        <is>
          <t>G1</t>
        </is>
      </c>
      <c r="E152" t="inlineStr">
        <is>
          <t>VENEZUELANOS</t>
        </is>
      </c>
      <c r="F152" t="inlineStr">
        <is>
          <t>RIO GRANDE DO SUL</t>
        </is>
      </c>
      <c r="G152" t="inlineStr">
        <is>
          <t>JULIANA LISBOA, G1 RS</t>
        </is>
      </c>
      <c r="H152" t="inlineStr">
        <is>
          <t>DOCUMENTAÇÃO, LÍNGUA, EMPREGO, ABRIGO, FRIO: AS DIFICULDADES DOS MIGRANTES QUE CHEGAM AO RS</t>
        </is>
      </c>
      <c r="I152" t="inlineStr">
        <is>
          <t>DE ACORDO COM A POLÍCIA FEDERAL, SÃO CERCA DE 90 MIL IMIGRANTES REGISTRADOS NO ESTADO. CONFORME O MINISTÉRIO DA CIDADANIA, DE ABRIL DE 2018 ATÉ MARÇO DE 2022, 72,6 MIL VENEZUELANOS PARTICIPARAM DA ESTRATÉGIA DE INTERIORIZAÇÃO. O RIO GRANDE DO SUL RECEBEU 10,5 MIL  NESTE PERÍODO.</t>
        </is>
      </c>
      <c r="J152" t="inlineStr"/>
      <c r="K152" t="n">
        <v>0</v>
      </c>
      <c r="L152" t="n">
        <v>1</v>
      </c>
      <c r="M152" t="n">
        <v>0</v>
      </c>
      <c r="N152" t="n">
        <v>0</v>
      </c>
      <c r="O152" t="n">
        <v>6</v>
      </c>
      <c r="P152">
        <f>HYPERLINK("https://g1.globo.com/rs/rio-grande-do-sul/noticia/2022/06/14/documentacao-lingua-emprego-abrigo-frio-as-dificuldades-dos-migrantes-que-chegam-ao-rs.ghtml", "URL")</f>
        <v/>
      </c>
      <c r="Q152">
        <f>HYPERLINK("https://raw.githubusercontent.com/marcosmapl/dataset_imigrantes/main/materias_filtered/g1/venezuelanos/2022/05_jun/html/g1_dccd1b56-2322-11ed-b24f-6dbe51e79fca_3776.html", "HTML")</f>
        <v/>
      </c>
      <c r="R152">
        <f>HYPERLINK("https://raw.githubusercontent.com/marcosmapl/dataset_imigrantes/main/materias_filtered/g1/venezuelanos/2022/05_jun/txt/g1_dccd1b56-2322-11ed-b24f-6dbe51e79fca_3776.txt", "TXT")</f>
        <v/>
      </c>
    </row>
    <row r="153">
      <c r="A153" s="1" t="n">
        <v>151</v>
      </c>
      <c r="B153" t="n">
        <v>2022</v>
      </c>
      <c r="C153" s="2" t="n">
        <v>44723.80251954861</v>
      </c>
      <c r="D153" t="inlineStr">
        <is>
          <t>G1</t>
        </is>
      </c>
      <c r="E153" t="inlineStr">
        <is>
          <t>VENEZUELANOS</t>
        </is>
      </c>
      <c r="F153" t="inlineStr">
        <is>
          <t>MUNDO</t>
        </is>
      </c>
      <c r="G153" t="inlineStr">
        <is>
          <t>RFI</t>
        </is>
      </c>
      <c r="H153" t="inlineStr">
        <is>
          <t>'AMIZADE INDESTRUTÍVEL': IRÃ E VENEZUELA ASSINAM ACORDO DE COOPERAÇÃO DE 20 ANOS</t>
        </is>
      </c>
      <c r="I153" t="inlineStr">
        <is>
          <t>O COMPROMISSO, SOBRE O QUAL POUCOS DETALHES FORAM REVELADOS, FOI FIRMADO DURANTE UMA VISITA DO PRESIDENTE VENEZUELANO, NICOLÁS MADURO, A TEERÃ.</t>
        </is>
      </c>
      <c r="J153" t="inlineStr"/>
      <c r="K153" t="n">
        <v>0</v>
      </c>
      <c r="L153" t="n">
        <v>1</v>
      </c>
      <c r="M153" t="n">
        <v>0</v>
      </c>
      <c r="N153" t="n">
        <v>0</v>
      </c>
      <c r="O153" t="n">
        <v>0</v>
      </c>
      <c r="P153">
        <f>HYPERLINK("https://g1.globo.com/mundo/noticia/2022/06/11/amizade-indestrutivel-ira-e-venezuela-assinam-acordo-de-cooperacao-de-20-anos.ghtml", "URL")</f>
        <v/>
      </c>
      <c r="Q153">
        <f>HYPERLINK("https://raw.githubusercontent.com/marcosmapl/dataset_imigrantes/main/materias_filtered/g1/venezuelanos/2022/05_jun/html/g1_9c8a5772-2311-11ed-b24f-6dbe51e79fca_2925.html", "HTML")</f>
        <v/>
      </c>
      <c r="R153">
        <f>HYPERLINK("https://raw.githubusercontent.com/marcosmapl/dataset_imigrantes/main/materias_filtered/g1/venezuelanos/2022/05_jun/txt/g1_9c8a5772-2311-11ed-b24f-6dbe51e79fca_2925.txt", "TXT")</f>
        <v/>
      </c>
    </row>
    <row r="154">
      <c r="A154" s="1" t="n">
        <v>152</v>
      </c>
      <c r="B154" t="n">
        <v>2022</v>
      </c>
      <c r="C154" s="2" t="n">
        <v>44723.62726525463</v>
      </c>
      <c r="D154" t="inlineStr">
        <is>
          <t>G1</t>
        </is>
      </c>
      <c r="E154" t="inlineStr">
        <is>
          <t>HAITIANOS</t>
        </is>
      </c>
      <c r="F154" t="inlineStr">
        <is>
          <t>RONDÔNIA</t>
        </is>
      </c>
      <c r="G154" t="inlineStr">
        <is>
          <t>G1 RO</t>
        </is>
      </c>
      <c r="H154" t="inlineStr">
        <is>
          <t>DOIS HOMENS SÃO CONDENADOS POR MORTE DE HAITIANO EM FEIRA DE PORTO VELHO</t>
        </is>
      </c>
      <c r="I154" t="inlineStr">
        <is>
          <t>UM DOS ACUSADOS TERIA ATIRADO NA VÍTIMA APÓS UMA DISCUSSÃO. O SEGUNDO HOMEM FOI CONDENADO POR TER AJUDADO NA FUGA DO ATIRADOR.</t>
        </is>
      </c>
      <c r="J154" t="inlineStr"/>
      <c r="K154" t="n">
        <v>0</v>
      </c>
      <c r="L154" t="n">
        <v>4</v>
      </c>
      <c r="M154" t="n">
        <v>0</v>
      </c>
      <c r="N154" t="n">
        <v>0</v>
      </c>
      <c r="O154" t="n">
        <v>2</v>
      </c>
      <c r="P154">
        <f>HYPERLINK("https://g1.globo.com/ro/rondonia/noticia/2022/06/11/dois-homens-sao-condenados-por-morte-de-haitiano-em-feira-de-porto-velho.ghtml", "URL")</f>
        <v/>
      </c>
      <c r="Q154">
        <f>HYPERLINK("https://raw.githubusercontent.com/marcosmapl/dataset_imigrantes/main/materias_filtered/g1/haitianos/2022/05_jun/html/g1_d44a91d6-22f8-11ed-b24f-6dbe51e79fca_2160.html", "HTML")</f>
        <v/>
      </c>
      <c r="R154">
        <f>HYPERLINK("https://raw.githubusercontent.com/marcosmapl/dataset_imigrantes/main/materias_filtered/g1/haitianos/2022/05_jun/txt/g1_d44a91d6-22f8-11ed-b24f-6dbe51e79fca_2160.txt", "TXT")</f>
        <v/>
      </c>
    </row>
    <row r="155">
      <c r="A155" s="1" t="n">
        <v>153</v>
      </c>
      <c r="B155" t="n">
        <v>2022</v>
      </c>
      <c r="C155" s="2" t="n">
        <v>44722.81819444444</v>
      </c>
      <c r="D155" t="inlineStr">
        <is>
          <t>A CRITICA</t>
        </is>
      </c>
      <c r="E155" t="inlineStr">
        <is>
          <t>VENEZUELANOS</t>
        </is>
      </c>
      <c r="F155" t="inlineStr"/>
      <c r="G155" t="inlineStr">
        <is>
          <t>LANE AZEVEDO</t>
        </is>
      </c>
      <c r="H155" t="inlineStr">
        <is>
          <t>NA ESTREIA DO A2, IRANDUBA VISITA CEFAMA DO MARANHÃO PELO BRASILEIRÃO FEMININO</t>
        </is>
      </c>
      <c r="I155" t="inlineStr">
        <is>
          <t>O HULK DA AMAZÔNIA EMBARCOU COM 19 ATLETAS, PARA O DUELO DESTE SÁBADO (11) FORA DE CASA</t>
        </is>
      </c>
      <c r="J155" t="inlineStr"/>
      <c r="K155" t="n">
        <v>0</v>
      </c>
      <c r="L155" t="n">
        <v>1</v>
      </c>
      <c r="M155" t="n">
        <v>0</v>
      </c>
      <c r="N155" t="n">
        <v>0</v>
      </c>
      <c r="O155" t="n">
        <v>0</v>
      </c>
      <c r="P155">
        <f>HYPERLINK("https://www.acritica.com/na-estreia-do-a2-iranduba-visita-cefama-do-maranh-o-pelo-brasileir-o-feminino-1.272399", "URL")</f>
        <v/>
      </c>
      <c r="Q155">
        <f>HYPERLINK("https://raw.githubusercontent.com/marcosmapl/dataset_imigrantes/main/materias_filtered/a_critica/venezuelanos/2022/05_jun/html/1.272399_1071.html", "HTML")</f>
        <v/>
      </c>
      <c r="R155">
        <f>HYPERLINK("https://raw.githubusercontent.com/marcosmapl/dataset_imigrantes/main/materias_filtered/a_critica/venezuelanos/2022/05_jun/txt/1.272399_1071.txt", "TXT")</f>
        <v/>
      </c>
    </row>
    <row r="156">
      <c r="A156" s="1" t="n">
        <v>154</v>
      </c>
      <c r="B156" t="n">
        <v>2022</v>
      </c>
      <c r="C156" s="2" t="n">
        <v>44720.99952016204</v>
      </c>
      <c r="D156" t="inlineStr">
        <is>
          <t>G1</t>
        </is>
      </c>
      <c r="E156" t="inlineStr">
        <is>
          <t>VENEZUELANOS</t>
        </is>
      </c>
      <c r="F156" t="inlineStr">
        <is>
          <t>MUNDO</t>
        </is>
      </c>
      <c r="G156" t="inlineStr">
        <is>
          <t>REUTERS</t>
        </is>
      </c>
      <c r="H156" t="inlineStr">
        <is>
          <t>A CAMINHO DE CÚPULA DAS AMÉRICAS, BIDEN CONVERSA POR TELEFONE COM LÍDER DA OPOSIÇÃO VENEZUELANA</t>
        </is>
      </c>
      <c r="I156" t="inlineStr">
        <is>
          <t>BIDEN REAFIRMOU QUE OS EUA ESTÃO DISPOSTOS A 'CALIBRAR A POLÍTICA DE SANÇÕES' CONTRA A VENEZUELA DE ACORDO COM O RESULTADO DAS CONVERSAÇÕES.</t>
        </is>
      </c>
      <c r="J156" t="inlineStr"/>
      <c r="K156" t="n">
        <v>0</v>
      </c>
      <c r="L156" t="n">
        <v>2</v>
      </c>
      <c r="M156" t="n">
        <v>1</v>
      </c>
      <c r="N156" t="n">
        <v>0</v>
      </c>
      <c r="O156" t="n">
        <v>3</v>
      </c>
      <c r="P156">
        <f>HYPERLINK("https://g1.globo.com/mundo/noticia/2022/06/08/a-caminho-de-cupula-das-americas-biden-conversa-por-telefone-com-lider-da-oposicao-venezuelana.ghtml", "URL")</f>
        <v/>
      </c>
      <c r="Q156">
        <f>HYPERLINK("https://raw.githubusercontent.com/marcosmapl/dataset_imigrantes/main/materias_filtered/g1/venezuelanos/2022/05_jun/html/g1_1cc330e4-2321-11ed-b24f-6dbe51e79fca_3680.html", "HTML")</f>
        <v/>
      </c>
      <c r="R156">
        <f>HYPERLINK("https://raw.githubusercontent.com/marcosmapl/dataset_imigrantes/main/materias_filtered/g1/venezuelanos/2022/05_jun/txt/g1_1cc330e4-2321-11ed-b24f-6dbe51e79fca_3680.txt", "TXT")</f>
        <v/>
      </c>
    </row>
    <row r="157">
      <c r="A157" s="1" t="n">
        <v>155</v>
      </c>
      <c r="B157" t="n">
        <v>2022</v>
      </c>
      <c r="C157" s="2" t="n">
        <v>44718.59602083333</v>
      </c>
      <c r="D157" t="inlineStr">
        <is>
          <t>G1</t>
        </is>
      </c>
      <c r="E157" t="inlineStr">
        <is>
          <t>VENEZUELANOS</t>
        </is>
      </c>
      <c r="F157" t="inlineStr">
        <is>
          <t>MATO GROSSO</t>
        </is>
      </c>
      <c r="G157" t="inlineStr">
        <is>
          <t>JOÃO CARLOS MORANDI, TV CENTRO AMÉRICA</t>
        </is>
      </c>
      <c r="H157" t="inlineStr">
        <is>
          <t>POLÍCIA PROCURA POR SERVIDOR PÚBLICO SUSPEITO DE HOMICÍDIO CONTRA VENEZUELANO EM MT</t>
        </is>
      </c>
      <c r="I157" t="inlineStr">
        <is>
          <t>O MISSIONÁRIO VENEZUELANO YOMIL GEOMAR AGUILERA LEVOU UM TIRO NO PEITO E FOI ENCAMINHADO DO HOSPITAL REGIONAL DE SINOP.</t>
        </is>
      </c>
      <c r="J157" t="inlineStr"/>
      <c r="K157" t="n">
        <v>0</v>
      </c>
      <c r="L157" t="n">
        <v>1</v>
      </c>
      <c r="M157" t="n">
        <v>0</v>
      </c>
      <c r="N157" t="n">
        <v>0</v>
      </c>
      <c r="O157" t="n">
        <v>3</v>
      </c>
      <c r="P157">
        <f>HYPERLINK("https://g1.globo.com/mt/mato-grosso/noticia/2022/06/06/policia-procura-por-servidor-publico-suspeito-de-homicidio-contra-venezuelano-em-mt.ghtml", "URL")</f>
        <v/>
      </c>
      <c r="Q157">
        <f>HYPERLINK("https://raw.githubusercontent.com/marcosmapl/dataset_imigrantes/main/materias_filtered/g1/venezuelanos/2022/05_jun/html/g1_5b877586-230a-11ed-b24f-6dbe51e79fca_2500.html", "HTML")</f>
        <v/>
      </c>
      <c r="R157">
        <f>HYPERLINK("https://raw.githubusercontent.com/marcosmapl/dataset_imigrantes/main/materias_filtered/g1/venezuelanos/2022/05_jun/txt/g1_5b877586-230a-11ed-b24f-6dbe51e79fca_2500.txt", "TXT")</f>
        <v/>
      </c>
    </row>
    <row r="158">
      <c r="A158" s="1" t="n">
        <v>156</v>
      </c>
      <c r="B158" t="n">
        <v>2022</v>
      </c>
      <c r="C158" s="2" t="n">
        <v>44715.5659375</v>
      </c>
      <c r="D158" t="inlineStr">
        <is>
          <t>A CRITICA</t>
        </is>
      </c>
      <c r="E158" t="inlineStr">
        <is>
          <t>VENEZUELANOS</t>
        </is>
      </c>
      <c r="F158" t="inlineStr">
        <is>
          <t>POLICIA</t>
        </is>
      </c>
      <c r="G158" t="inlineStr">
        <is>
          <t>JOANA QUEIROZ</t>
        </is>
      </c>
      <c r="H158" t="inlineStr">
        <is>
          <t>SUSPEITO DE ASSALTO É MORTO A TIROS UMA SEMANA APÓS SER PRESO POR FURTO</t>
        </is>
      </c>
      <c r="I158" t="inlineStr">
        <is>
          <t>O VEÍCULO ENTROU NA ÁREA DOS CICLISTAS DA PRAÇA E UM DOS SUSPEITOS DESCEU ATIRANDO TRÊS VEZES CONTRA A VÍTIMA. O HOMEM MORREU NO LOCAL.</t>
        </is>
      </c>
      <c r="J158" t="inlineStr"/>
      <c r="K158" t="n">
        <v>0</v>
      </c>
      <c r="L158" t="n">
        <v>1</v>
      </c>
      <c r="M158" t="n">
        <v>0</v>
      </c>
      <c r="N158" t="n">
        <v>0</v>
      </c>
      <c r="O158" t="n">
        <v>0</v>
      </c>
      <c r="P158">
        <f>HYPERLINK("https://www.acritica.com/policia/suspeito-de-assalto-e-morto-a-tiros-uma-semana-apos-ser-preso-por-furto-1.271692", "URL")</f>
        <v/>
      </c>
      <c r="Q158">
        <f>HYPERLINK("https://raw.githubusercontent.com/marcosmapl/dataset_imigrantes/main/materias_filtered/a_critica/venezuelanos/2022/05_jun/html/1.271692_138.html", "HTML")</f>
        <v/>
      </c>
      <c r="R158">
        <f>HYPERLINK("https://raw.githubusercontent.com/marcosmapl/dataset_imigrantes/main/materias_filtered/a_critica/venezuelanos/2022/05_jun/txt/1.271692_138.txt", "TXT")</f>
        <v/>
      </c>
    </row>
    <row r="159">
      <c r="A159" s="1" t="n">
        <v>157</v>
      </c>
      <c r="B159" t="n">
        <v>2022</v>
      </c>
      <c r="C159" s="2" t="n">
        <v>44714.50106481482</v>
      </c>
      <c r="D159" t="inlineStr">
        <is>
          <t>A CRITICA</t>
        </is>
      </c>
      <c r="E159" t="inlineStr">
        <is>
          <t>VENEZUELANOS</t>
        </is>
      </c>
      <c r="F159" t="inlineStr"/>
      <c r="G159" t="inlineStr">
        <is>
          <t>DANIEL PRESTES</t>
        </is>
      </c>
      <c r="H159" t="inlineStr">
        <is>
          <t>ATLETA VENEZUELANO RECEBE PRÊMIO DE MELHOR GOLEIRO DO NORTE E NORDESTE DE POLO AQUÁTICO</t>
        </is>
      </c>
      <c r="I159" t="inlineStr">
        <is>
          <t>KEVIN ROJAS GOMEZ AJUDOU A EQUIPE DO CLUBE AMAZONENSE DE POLO AQUÁTICO A TERMINAR ETAPA REGIONAL DE FORMA INVICTA</t>
        </is>
      </c>
      <c r="J159" t="inlineStr"/>
      <c r="K159" t="n">
        <v>0</v>
      </c>
      <c r="L159" t="n">
        <v>1</v>
      </c>
      <c r="M159" t="n">
        <v>0</v>
      </c>
      <c r="N159" t="n">
        <v>0</v>
      </c>
      <c r="O159" t="n">
        <v>0</v>
      </c>
      <c r="P159">
        <f>HYPERLINK("https://www.acritica.com/atleta-venezuelano-recebe-premio-de-melhor-goleiro-do-norte-e-nordeste-de-polo-aquatico-1.271592", "URL")</f>
        <v/>
      </c>
      <c r="Q159">
        <f>HYPERLINK("https://raw.githubusercontent.com/marcosmapl/dataset_imigrantes/main/materias_filtered/a_critica/venezuelanos/2022/05_jun/html/1.271592_635.html", "HTML")</f>
        <v/>
      </c>
      <c r="R159">
        <f>HYPERLINK("https://raw.githubusercontent.com/marcosmapl/dataset_imigrantes/main/materias_filtered/a_critica/venezuelanos/2022/05_jun/txt/1.271592_635.txt", "TXT")</f>
        <v/>
      </c>
    </row>
    <row r="160">
      <c r="A160" s="1" t="n">
        <v>158</v>
      </c>
      <c r="B160" t="n">
        <v>2022</v>
      </c>
      <c r="C160" s="2" t="n">
        <v>44713.94923203703</v>
      </c>
      <c r="D160" t="inlineStr">
        <is>
          <t>G1</t>
        </is>
      </c>
      <c r="E160" t="inlineStr">
        <is>
          <t>VENEZUELANOS</t>
        </is>
      </c>
      <c r="F160" t="inlineStr">
        <is>
          <t>VALE DO PARAÍBA E REGIÃO</t>
        </is>
      </c>
      <c r="G160" t="inlineStr">
        <is>
          <t>G1 VALE DO PARAÍBA E REGIÃO</t>
        </is>
      </c>
      <c r="H160" t="inlineStr">
        <is>
          <t>HOMEM É PRESO COM 11 TIJOLOS DE MACONHA E 81 MIL BOLIVARES VENEZUELANOS EM GUARATINGUETÁ</t>
        </is>
      </c>
      <c r="I160" t="inlineStr">
        <is>
          <t>DE ACORDO COM A POLÍCIA, ELES IAM A UMA CASA PARA CUMPRIR UM MANDADO DE PRISÃO QUANDO VIRAM O HOMEM CORRENDO DO IMÓVEL. ELE ESTAVA COM UMA BOLSA E FOI PARADO PELOS POLICIAIS.</t>
        </is>
      </c>
      <c r="J160" t="inlineStr"/>
      <c r="K160" t="n">
        <v>0</v>
      </c>
      <c r="L160" t="n">
        <v>4</v>
      </c>
      <c r="M160" t="n">
        <v>0</v>
      </c>
      <c r="N160" t="n">
        <v>0</v>
      </c>
      <c r="O160" t="n">
        <v>1</v>
      </c>
      <c r="P160">
        <f>HYPERLINK("https://g1.globo.com/sp/vale-do-paraiba-regiao/noticia/2022/06/01/homem-e-preso-com-11-tijolos-de-maconha-e-81-mil-bolivares-venezuelanos-em-guaratingueta.ghtml", "URL")</f>
        <v/>
      </c>
      <c r="Q160">
        <f>HYPERLINK("https://raw.githubusercontent.com/marcosmapl/dataset_imigrantes/main/materias_filtered/g1/venezuelanos/2022/05_jun/html/g1_416f905c-232d-11ed-b24f-6dbe51e79fca_4348.html", "HTML")</f>
        <v/>
      </c>
      <c r="R160">
        <f>HYPERLINK("https://raw.githubusercontent.com/marcosmapl/dataset_imigrantes/main/materias_filtered/g1/venezuelanos/2022/05_jun/txt/g1_416f905c-232d-11ed-b24f-6dbe51e79fca_4348.txt", "TXT")</f>
        <v/>
      </c>
    </row>
    <row r="161">
      <c r="A161" s="1" t="n">
        <v>159</v>
      </c>
      <c r="B161" t="n">
        <v>2022</v>
      </c>
      <c r="C161" s="2" t="n">
        <v>44713.34749766203</v>
      </c>
      <c r="D161" t="inlineStr">
        <is>
          <t>G1</t>
        </is>
      </c>
      <c r="E161" t="inlineStr">
        <is>
          <t>VENEZUELANOS</t>
        </is>
      </c>
      <c r="F161" t="inlineStr">
        <is>
          <t>SANTA CATARINA</t>
        </is>
      </c>
      <c r="G161" t="inlineStr">
        <is>
          <t>SOFIA MAYER, G1 SC</t>
        </is>
      </c>
      <c r="H161" t="inlineStr">
        <is>
          <t>ESCOLA DE SC PASSA A CANTAR HINO DA VENEZUELA PARA VALORIZAR IMIGRANTES: 'TROCA DE RESPEITO, DISCIPLINA E AMOR'</t>
        </is>
      </c>
      <c r="I161" t="inlineStr">
        <is>
          <t>SEGUNDO A PREFEITURA, 34 ESTUDANTES VENEZUELANOS ESTÃO MATRICULADOS NA ESCOLA MUNICIPAL SANTO ANDRÉ, EM CAPIVARI DE BAIXO.</t>
        </is>
      </c>
      <c r="J161" t="inlineStr"/>
      <c r="K161" t="n">
        <v>0</v>
      </c>
      <c r="L161" t="n">
        <v>2</v>
      </c>
      <c r="M161" t="n">
        <v>1</v>
      </c>
      <c r="N161" t="n">
        <v>0</v>
      </c>
      <c r="O161" t="n">
        <v>7</v>
      </c>
      <c r="P161">
        <f>HYPERLINK("https://g1.globo.com/sc/santa-catarina/noticia/2022/06/01/escola-de-sc-passa-a-cantar-hino-da-venezuela-para-valorizar-imigrantes-troca-de-respeito-disciplina-e-amor.ghtml", "URL")</f>
        <v/>
      </c>
      <c r="Q161">
        <f>HYPERLINK("https://raw.githubusercontent.com/marcosmapl/dataset_imigrantes/main/materias_filtered/g1/venezuelanos/2022/05_jun/html/g1_fdca7338-2315-11ed-b24f-6dbe51e79fca_3119.html", "HTML")</f>
        <v/>
      </c>
      <c r="R161">
        <f>HYPERLINK("https://raw.githubusercontent.com/marcosmapl/dataset_imigrantes/main/materias_filtered/g1/venezuelanos/2022/05_jun/txt/g1_fdca7338-2315-11ed-b24f-6dbe51e79fca_3119.txt", "TXT")</f>
        <v/>
      </c>
    </row>
    <row r="162">
      <c r="A162" s="1" t="n">
        <v>160</v>
      </c>
      <c r="B162" t="n">
        <v>2022</v>
      </c>
      <c r="C162" s="2" t="n">
        <v>44710.88717074074</v>
      </c>
      <c r="D162" t="inlineStr">
        <is>
          <t>G1</t>
        </is>
      </c>
      <c r="E162" t="inlineStr">
        <is>
          <t>VENEZUELANOS</t>
        </is>
      </c>
      <c r="F162" t="inlineStr">
        <is>
          <t>PARÁ</t>
        </is>
      </c>
      <c r="G162" t="inlineStr">
        <is>
          <t>G1 PARÁ — BALÉM</t>
        </is>
      </c>
      <c r="H162" t="inlineStr">
        <is>
          <t>HOMEM DE NACIONALIDADE ESTRANGEIRA É PRESO EM FLAGRANTE NO DISTRITO DE ICOARACI, EM BELÉM</t>
        </is>
      </c>
      <c r="I162" t="inlineStr">
        <is>
          <t>SUSPEITO, DE ORIGEM VENEZUELANA, TERIA FURTADO OBJETOS DE ESTABELECIMENTOS COMERCIAIS.</t>
        </is>
      </c>
      <c r="J162" t="inlineStr"/>
      <c r="K162" t="n">
        <v>0</v>
      </c>
      <c r="L162" t="n">
        <v>3</v>
      </c>
      <c r="M162" t="n">
        <v>0</v>
      </c>
      <c r="N162" t="n">
        <v>0</v>
      </c>
      <c r="O162" t="n">
        <v>3</v>
      </c>
      <c r="P162">
        <f>HYPERLINK("https://g1.globo.com/pa/para/noticia/2022/05/29/homem-de-nacionalidade-estrangeira-e-preso-em-flagrante-no-distrito-de-icoaraci-em-belem.ghtml", "URL")</f>
        <v/>
      </c>
      <c r="Q162">
        <f>HYPERLINK("https://raw.githubusercontent.com/marcosmapl/dataset_imigrantes/main/materias_filtered/g1/venezuelanos/2022/04_mai/html/g1_3e539eec-231c-11ed-b24f-6dbe51e79fca_3435.html", "HTML")</f>
        <v/>
      </c>
      <c r="R162">
        <f>HYPERLINK("https://raw.githubusercontent.com/marcosmapl/dataset_imigrantes/main/materias_filtered/g1/venezuelanos/2022/04_mai/txt/g1_3e539eec-231c-11ed-b24f-6dbe51e79fca_3435.txt", "TXT")</f>
        <v/>
      </c>
    </row>
    <row r="163">
      <c r="A163" s="1" t="n">
        <v>161</v>
      </c>
      <c r="B163" t="n">
        <v>2022</v>
      </c>
      <c r="C163" s="2" t="n">
        <v>44709.35614583334</v>
      </c>
      <c r="D163" t="inlineStr">
        <is>
          <t>A CRITICA</t>
        </is>
      </c>
      <c r="E163" t="inlineStr">
        <is>
          <t>VENEZUELANOS</t>
        </is>
      </c>
      <c r="F163" t="inlineStr">
        <is>
          <t>MANAUS</t>
        </is>
      </c>
      <c r="G163" t="inlineStr">
        <is>
          <t>WALDICK JÚNIOR</t>
        </is>
      </c>
      <c r="H163" t="inlineStr">
        <is>
          <t>MAIS DA METADE DOS VENEZUELANOS EM MANAUS NÃO CONHECE AS LEIS TRABALHISTAS</t>
        </is>
      </c>
      <c r="I163" t="inlineStr">
        <is>
          <t>PESQUISA REALIZADA PELA ACNUR E OUTRAS ENTIDADES FEZ O PERFIL SOCIOECONÔMICO DESSES REFUGIADOS</t>
        </is>
      </c>
      <c r="J163" t="inlineStr">
        <is>
          <t>ACNUR, MANAUS, PERFIL SOCIOECONÔMICO, REFUGIADOS</t>
        </is>
      </c>
      <c r="K163" t="n">
        <v>4</v>
      </c>
      <c r="L163" t="n">
        <v>1</v>
      </c>
      <c r="M163" t="n">
        <v>0</v>
      </c>
      <c r="N163" t="n">
        <v>0</v>
      </c>
      <c r="O163" t="n">
        <v>4</v>
      </c>
      <c r="P163">
        <f>HYPERLINK("https://www.acritica.com/manaus/mais-da-metade-dos-venezuelanos-em-manaus-n-o-conhece-as-leis-trabalhistas-1.271097", "URL")</f>
        <v/>
      </c>
      <c r="Q163">
        <f>HYPERLINK("https://raw.githubusercontent.com/marcosmapl/dataset_imigrantes/main/materias_filtered/a_critica/venezuelanos/2022/04_mai/html/1.271097_1028.html", "HTML")</f>
        <v/>
      </c>
      <c r="R163">
        <f>HYPERLINK("https://raw.githubusercontent.com/marcosmapl/dataset_imigrantes/main/materias_filtered/a_critica/venezuelanos/2022/04_mai/txt/1.271097_1028.txt", "TXT")</f>
        <v/>
      </c>
    </row>
    <row r="164">
      <c r="A164" s="1" t="n">
        <v>162</v>
      </c>
      <c r="B164" t="n">
        <v>2022</v>
      </c>
      <c r="C164" s="2" t="n">
        <v>44708.60038325231</v>
      </c>
      <c r="D164" t="inlineStr">
        <is>
          <t>G1</t>
        </is>
      </c>
      <c r="E164" t="inlineStr">
        <is>
          <t>HAITIANOS</t>
        </is>
      </c>
      <c r="F164" t="inlineStr">
        <is>
          <t>PARANÁ</t>
        </is>
      </c>
      <c r="G164" t="inlineStr">
        <is>
          <t>G1 PR E RPC CURITIBA</t>
        </is>
      </c>
      <c r="H164" t="inlineStr">
        <is>
          <t>HOMEM É PRESO SUSPEITO DE SER UM DOS MANDANTES DO ASSASSINATO DE HAITIANO BALEADO APÓS CONVIDAR MULHER PARA DANÇAR, EM CURITIBA</t>
        </is>
      </c>
      <c r="I164" t="inlineStr">
        <is>
          <t>CRIME OCORREU NO BAIRRO ALTO BOQUEIRÃO, EM FEVEREIRO; UMA MULHER JÁ HAVIA SIDO PRESA SUSPEITA DE TAMBÉM SER MANDANTE DO CRIME, E UM ADOLESCENTE SUSPEITO DE ATIRAR NA VÍTIMA FOI APREENDIDO.</t>
        </is>
      </c>
      <c r="J164" t="inlineStr"/>
      <c r="K164" t="n">
        <v>0</v>
      </c>
      <c r="L164" t="n">
        <v>2</v>
      </c>
      <c r="M164" t="n">
        <v>1</v>
      </c>
      <c r="N164" t="n">
        <v>0</v>
      </c>
      <c r="O164" t="n">
        <v>5</v>
      </c>
      <c r="P164">
        <f>HYPERLINK("https://g1.globo.com/pr/parana/noticia/2022/05/27/homem-e-preso-suspeito-de-ser-um-dos-mandantes-do-assassinato-de-haitiano-baleado-apos-convidar-mulher-para-dancar-em-curitiba.ghtml", "URL")</f>
        <v/>
      </c>
      <c r="Q164">
        <f>HYPERLINK("https://raw.githubusercontent.com/marcosmapl/dataset_imigrantes/main/materias_filtered/g1/haitianos/2022/04_mai/html/g1_202f23d0-22f6-11ed-b24f-6dbe51e79fca_1994.html", "HTML")</f>
        <v/>
      </c>
      <c r="R164">
        <f>HYPERLINK("https://raw.githubusercontent.com/marcosmapl/dataset_imigrantes/main/materias_filtered/g1/haitianos/2022/04_mai/txt/g1_202f23d0-22f6-11ed-b24f-6dbe51e79fca_1994.txt", "TXT")</f>
        <v/>
      </c>
    </row>
    <row r="165">
      <c r="A165" s="1" t="n">
        <v>163</v>
      </c>
      <c r="B165" t="n">
        <v>2022</v>
      </c>
      <c r="C165" s="2" t="n">
        <v>44707.53805868055</v>
      </c>
      <c r="D165" t="inlineStr">
        <is>
          <t>G1</t>
        </is>
      </c>
      <c r="E165" t="inlineStr">
        <is>
          <t>VENEZUELANOS</t>
        </is>
      </c>
      <c r="F165" t="inlineStr">
        <is>
          <t>NORTE E NOROESTE</t>
        </is>
      </c>
      <c r="G165" t="inlineStr">
        <is>
          <t>RPC MARINGÁ</t>
        </is>
      </c>
      <c r="H165" t="inlineStr">
        <is>
          <t>CICLISTA MORRE E OUTRO FICA FERIDO EM ACIDENTE ENVOLVENDO ÔNIBUS, EM MARINGÁ</t>
        </is>
      </c>
      <c r="I165" t="inlineStr">
        <is>
          <t>ACIDENTE ACONTECEU NA AVENIDA TUIUTI, NO FIM DA TARDE DE QUARTA-FEIRA (25). VÍTIMAS SÃO VENEZUELANAS.</t>
        </is>
      </c>
      <c r="J165" t="inlineStr"/>
      <c r="K165" t="n">
        <v>0</v>
      </c>
      <c r="L165" t="n">
        <v>5</v>
      </c>
      <c r="M165" t="n">
        <v>1</v>
      </c>
      <c r="N165" t="n">
        <v>0</v>
      </c>
      <c r="O165" t="n">
        <v>3</v>
      </c>
      <c r="P165">
        <f>HYPERLINK("https://g1.globo.com/pr/norte-noroeste/noticia/2022/05/26/ciclista-morre-e-outro-fica-ferido-em-acidente-envolvendo-onibus-em-maringa.ghtml", "URL")</f>
        <v/>
      </c>
      <c r="Q165">
        <f>HYPERLINK("https://raw.githubusercontent.com/marcosmapl/dataset_imigrantes/main/materias_filtered/g1/venezuelanos/2022/04_mai/html/g1_a521fc1e-230c-11ed-b24f-6dbe51e79fca_2638.html", "HTML")</f>
        <v/>
      </c>
      <c r="R165">
        <f>HYPERLINK("https://raw.githubusercontent.com/marcosmapl/dataset_imigrantes/main/materias_filtered/g1/venezuelanos/2022/04_mai/txt/g1_a521fc1e-230c-11ed-b24f-6dbe51e79fca_2638.txt", "TXT")</f>
        <v/>
      </c>
    </row>
    <row r="166">
      <c r="A166" s="1" t="n">
        <v>164</v>
      </c>
      <c r="B166" t="n">
        <v>2022</v>
      </c>
      <c r="C166" s="2" t="n">
        <v>44707.33571619213</v>
      </c>
      <c r="D166" t="inlineStr">
        <is>
          <t>G1</t>
        </is>
      </c>
      <c r="E166" t="inlineStr">
        <is>
          <t>VENEZUELANOS</t>
        </is>
      </c>
      <c r="F166" t="inlineStr">
        <is>
          <t>MUNDO</t>
        </is>
      </c>
      <c r="G166" t="inlineStr">
        <is>
          <t>REUTERS</t>
        </is>
      </c>
      <c r="H166" t="inlineStr">
        <is>
          <t>MAIS VELHO DO MUNDO, VENEZUELANO QUE TOMA AGUARDENTE TODOS OS DIAS COMPLETA 113 ANOS NA SEXTA-FEIRA</t>
        </is>
      </c>
      <c r="I166" t="inlineStr">
        <is>
          <t>MORA SE TORNOU A PESSOA MAIS VELHA DO MUNDO DEPOIS QUE SATURNINO DE LA FUENTE GARCIA, NASCIDO EM 11 DE FEVEREIRO DE 1909 NA ESPANHA, MORREU EM JANEIRO COM 112 ANOS E 341 DIAS.</t>
        </is>
      </c>
      <c r="J166" t="inlineStr"/>
      <c r="K166" t="n">
        <v>0</v>
      </c>
      <c r="L166" t="n">
        <v>2</v>
      </c>
      <c r="M166" t="n">
        <v>1</v>
      </c>
      <c r="N166" t="n">
        <v>0</v>
      </c>
      <c r="O166" t="n">
        <v>4</v>
      </c>
      <c r="P166">
        <f>HYPERLINK("https://g1.globo.com/mundo/noticia/2022/05/26/mais-velho-do-mundo-venezuelano-que-toma-aguardente-todos-os-dias-completa-113-anos-na-sexta-feira.ghtml", "URL")</f>
        <v/>
      </c>
      <c r="Q166">
        <f>HYPERLINK("https://raw.githubusercontent.com/marcosmapl/dataset_imigrantes/main/materias_filtered/g1/venezuelanos/2022/04_mai/html/g1_225f1b6e-230b-11ed-b24f-6dbe51e79fca_2546.html", "HTML")</f>
        <v/>
      </c>
      <c r="R166">
        <f>HYPERLINK("https://raw.githubusercontent.com/marcosmapl/dataset_imigrantes/main/materias_filtered/g1/venezuelanos/2022/04_mai/txt/g1_225f1b6e-230b-11ed-b24f-6dbe51e79fca_2546.txt", "TXT")</f>
        <v/>
      </c>
    </row>
    <row r="167">
      <c r="A167" s="1" t="n">
        <v>165</v>
      </c>
      <c r="B167" t="n">
        <v>2022</v>
      </c>
      <c r="C167" s="2" t="n">
        <v>44706.96797275463</v>
      </c>
      <c r="D167" t="inlineStr">
        <is>
          <t>G1</t>
        </is>
      </c>
      <c r="E167" t="inlineStr">
        <is>
          <t>VENEZUELANOS</t>
        </is>
      </c>
      <c r="F167" t="inlineStr">
        <is>
          <t>ACRE</t>
        </is>
      </c>
      <c r="G167" t="inlineStr">
        <is>
          <t>G1 AC — RIO BRANCO</t>
        </is>
      </c>
      <c r="H167" t="inlineStr">
        <is>
          <t>VENEZUELANOS SÃO PRESOS COM MAIS DE 4KG DE COCAÍNA LÍQUIDA DENTRO DE PACOTES DE ÓLEO DE COCO NO AC</t>
        </is>
      </c>
      <c r="I167" t="inlineStr">
        <is>
          <t>DROGA FOI ACHADA EM BAGAGENS DENTRO DE ÔNIBUS QUE TINHA SAÍDO DA FRONTEIRA COM DESTINO À CAPITAL ACREANA, RIO BRANCO. FLAGRANTE OCORREU NESTA QUARTA-FEIRA (25) NA BR-317, EM SENADOR GUIOMARD.</t>
        </is>
      </c>
      <c r="J167" t="inlineStr"/>
      <c r="K167" t="n">
        <v>0</v>
      </c>
      <c r="L167" t="n">
        <v>2</v>
      </c>
      <c r="M167" t="n">
        <v>1</v>
      </c>
      <c r="N167" t="n">
        <v>0</v>
      </c>
      <c r="O167" t="n">
        <v>0</v>
      </c>
      <c r="P167">
        <f>HYPERLINK("https://g1.globo.com/ac/acre/noticia/2022/05/25/venezuelanos-sao-presos-com-mais-de-4kg-de-cocaina-liquida-dentro-de-pacotes-de-oleo-de-coco-no-ac.ghtml", "URL")</f>
        <v/>
      </c>
      <c r="Q167">
        <f>HYPERLINK("https://raw.githubusercontent.com/marcosmapl/dataset_imigrantes/main/materias_filtered/g1/venezuelanos/2022/04_mai/html/g1_f6577dec-2321-11ed-b24f-6dbe51e79fca_3727.html", "HTML")</f>
        <v/>
      </c>
      <c r="R167">
        <f>HYPERLINK("https://raw.githubusercontent.com/marcosmapl/dataset_imigrantes/main/materias_filtered/g1/venezuelanos/2022/04_mai/txt/g1_f6577dec-2321-11ed-b24f-6dbe51e79fca_3727.txt", "TXT")</f>
        <v/>
      </c>
    </row>
    <row r="168">
      <c r="A168" s="1" t="n">
        <v>166</v>
      </c>
      <c r="B168" t="n">
        <v>2022</v>
      </c>
      <c r="C168" s="2" t="n">
        <v>44705.79832854166</v>
      </c>
      <c r="D168" t="inlineStr">
        <is>
          <t>G1</t>
        </is>
      </c>
      <c r="E168" t="inlineStr">
        <is>
          <t>VENEZUELANOS</t>
        </is>
      </c>
      <c r="F168" t="inlineStr">
        <is>
          <t>MATO GROSSO DO SUL</t>
        </is>
      </c>
      <c r="G168" t="inlineStr">
        <is>
          <t>DÉBORA RICALDE E GESSE LÓPEZ, G1 MS E TV MORENA</t>
        </is>
      </c>
      <c r="H168" t="inlineStr">
        <is>
          <t>DOIS VENEZUELANOS MORREM AO TER MOTO ATINGIDA POR CAMINHONETE NO INTERIOR DE MS; VÍDEO MOSTRA O ACIDENTE</t>
        </is>
      </c>
      <c r="I168" t="inlineStr">
        <is>
          <t>ACIDENTE OCORREU NA MANHÃ DESTA TERÇA-FEIRA (24), NA PRINCIPAL AVENIDA DE DOURADOS. UMA DAS VÍTIMAS MORREU NO LOCAL DA COLISÃO. A OUTRA CHEGOU A SER SOCORRIDA E LEVADA PARA UM HOSPITAL, MAS NÃO RESISTIU.</t>
        </is>
      </c>
      <c r="J168" t="inlineStr"/>
      <c r="K168" t="n">
        <v>0</v>
      </c>
      <c r="L168" t="n">
        <v>4</v>
      </c>
      <c r="M168" t="n">
        <v>1</v>
      </c>
      <c r="N168" t="n">
        <v>0</v>
      </c>
      <c r="O168" t="n">
        <v>1</v>
      </c>
      <c r="P168">
        <f>HYPERLINK("https://g1.globo.com/ms/mato-grosso-do-sul/noticia/2022/05/24/dois-venezuelanos-morrem-ao-ter-moto-atingida-por-caminhonete-no-interior-de-ms-video-mostra-o-acidente.ghtml", "URL")</f>
        <v/>
      </c>
      <c r="Q168">
        <f>HYPERLINK("https://raw.githubusercontent.com/marcosmapl/dataset_imigrantes/main/materias_filtered/g1/venezuelanos/2022/04_mai/html/g1_2d54addc-230f-11ed-b24f-6dbe51e79fca_2782.html", "HTML")</f>
        <v/>
      </c>
      <c r="R168">
        <f>HYPERLINK("https://raw.githubusercontent.com/marcosmapl/dataset_imigrantes/main/materias_filtered/g1/venezuelanos/2022/04_mai/txt/g1_2d54addc-230f-11ed-b24f-6dbe51e79fca_2782.txt", "TXT")</f>
        <v/>
      </c>
    </row>
    <row r="169">
      <c r="A169" s="1" t="n">
        <v>167</v>
      </c>
      <c r="B169" t="n">
        <v>2022</v>
      </c>
      <c r="C169" s="2" t="n">
        <v>44704.64953447917</v>
      </c>
      <c r="D169" t="inlineStr">
        <is>
          <t>G1</t>
        </is>
      </c>
      <c r="E169" t="inlineStr">
        <is>
          <t>VENEZUELANOS</t>
        </is>
      </c>
      <c r="F169" t="inlineStr">
        <is>
          <t>PARAÍBA</t>
        </is>
      </c>
      <c r="G169" t="inlineStr">
        <is>
          <t>G1 PB</t>
        </is>
      </c>
      <c r="H169" t="inlineStr">
        <is>
          <t>SUSPEITO DE MATAR JOVEM VENEZUELANO É PRESO, EM JOÃO PESSOA</t>
        </is>
      </c>
      <c r="I169" t="inlineStr">
        <is>
          <t>O SUSPEITO RESISTIU À PRISÃO, INCLUSIVE ATIRANDO CONTRA A EQUIPE. ELE FOI CAPTURADO E ATENDIDO NO HOSPITAL DE EMERGÊNCIA E TRAUMA DE JOÃO PESSOA, DEPOIS FOI INTERROGADO E ENCAMINHADO À CARCERAGEM.</t>
        </is>
      </c>
      <c r="J169" t="inlineStr"/>
      <c r="K169" t="n">
        <v>0</v>
      </c>
      <c r="L169" t="n">
        <v>2</v>
      </c>
      <c r="M169" t="n">
        <v>0</v>
      </c>
      <c r="N169" t="n">
        <v>0</v>
      </c>
      <c r="O169" t="n">
        <v>3</v>
      </c>
      <c r="P169">
        <f>HYPERLINK("https://g1.globo.com/pb/paraiba/noticia/2022/05/23/suspeito-de-matar-jovem-venezuelano-e-preso-em-joao-pessoa.ghtml", "URL")</f>
        <v/>
      </c>
      <c r="Q169">
        <f>HYPERLINK("https://raw.githubusercontent.com/marcosmapl/dataset_imigrantes/main/materias_filtered/g1/venezuelanos/2022/04_mai/html/g1_e7807f00-231f-11ed-b24f-6dbe51e79fca_3651.html", "HTML")</f>
        <v/>
      </c>
      <c r="R169">
        <f>HYPERLINK("https://raw.githubusercontent.com/marcosmapl/dataset_imigrantes/main/materias_filtered/g1/venezuelanos/2022/04_mai/txt/g1_e7807f00-231f-11ed-b24f-6dbe51e79fca_3651.txt", "TXT")</f>
        <v/>
      </c>
    </row>
    <row r="170">
      <c r="A170" s="1" t="n">
        <v>168</v>
      </c>
      <c r="B170" t="n">
        <v>2022</v>
      </c>
      <c r="C170" s="2" t="n">
        <v>44703.44092019676</v>
      </c>
      <c r="D170" t="inlineStr">
        <is>
          <t>G1</t>
        </is>
      </c>
      <c r="E170" t="inlineStr">
        <is>
          <t>HAITIANOS</t>
        </is>
      </c>
      <c r="F170" t="inlineStr">
        <is>
          <t>MUNDO</t>
        </is>
      </c>
      <c r="G170" t="inlineStr">
        <is>
          <t>DEUTSCHE WELLE</t>
        </is>
      </c>
      <c r="H170" t="inlineStr">
        <is>
          <t>QUEM É KARINE JEAN-PIERRE, A PRIMEIRA PORTA-VOZ NEGRA E LGBTQ+ DA CASA BRANCA</t>
        </is>
      </c>
      <c r="I170" t="inlineStr">
        <is>
          <t>KARINE JEAN-PIERRE FARÁ HISTÓRIA AO SUBSTITUIR JEN PSAKI COMO SECRETÁRIA DE IMPRENSA. NASCIDA NA MARTINICA E FILHA DE PAIS HAITIANOS, ELA É COLABORADORA DE LONGA DATA DE BIDEN E TRABALHOU COM A VICE-PRESIDENTE HARRIS.</t>
        </is>
      </c>
      <c r="J170" t="inlineStr"/>
      <c r="K170" t="n">
        <v>0</v>
      </c>
      <c r="L170" t="n">
        <v>2</v>
      </c>
      <c r="M170" t="n">
        <v>0</v>
      </c>
      <c r="N170" t="n">
        <v>0</v>
      </c>
      <c r="O170" t="n">
        <v>4</v>
      </c>
      <c r="P170">
        <f>HYPERLINK("https://g1.globo.com/mundo/noticia/2022/05/22/quem-e-karine-jean-pierre-a-primeira-porta-voz-negra-e-lgbtq-da-casa-branca.ghtml", "URL")</f>
        <v/>
      </c>
      <c r="Q170">
        <f>HYPERLINK("https://raw.githubusercontent.com/marcosmapl/dataset_imigrantes/main/materias_filtered/g1/haitianos/2022/04_mai/html/g1_ae9452f6-22f8-11ed-b24f-6dbe51e79fca_2150.html", "HTML")</f>
        <v/>
      </c>
      <c r="R170">
        <f>HYPERLINK("https://raw.githubusercontent.com/marcosmapl/dataset_imigrantes/main/materias_filtered/g1/haitianos/2022/04_mai/txt/g1_ae9452f6-22f8-11ed-b24f-6dbe51e79fca_2150.txt", "TXT")</f>
        <v/>
      </c>
    </row>
    <row r="171">
      <c r="A171" s="1" t="n">
        <v>169</v>
      </c>
      <c r="B171" t="n">
        <v>2022</v>
      </c>
      <c r="C171" s="2" t="n">
        <v>44702.73961567129</v>
      </c>
      <c r="D171" t="inlineStr">
        <is>
          <t>G1</t>
        </is>
      </c>
      <c r="E171" t="inlineStr">
        <is>
          <t>VENEZUELANOS</t>
        </is>
      </c>
      <c r="F171" t="inlineStr">
        <is>
          <t>PRESIDENTE PRUDENTE E REGIÃO</t>
        </is>
      </c>
      <c r="G171" t="inlineStr">
        <is>
          <t>G1 PRESIDENTE PRUDENTE</t>
        </is>
      </c>
      <c r="H171" t="inlineStr">
        <is>
          <t>CRIADOR AMADOR DE PÁSSAROS LEVA MULTA DE R$ 2,4 MIL POR MANTER IRREGULARMENTE AVES EXÓTICAS EM CATIVEIRO</t>
        </is>
      </c>
      <c r="I171" t="inlineStr">
        <is>
          <t>POLÍCIA MILITAR AMBIENTAL COMPARECEU À RESIDÊNCIA, EM FLÓRIDA PAULISTA (SP), ONDE ENCONTROU DOIS PINTASSILGOS-VENEZUELANOS SEM COMPROVANTE DE ORIGEM EM GAIOLAS INDIVIDUAIS.</t>
        </is>
      </c>
      <c r="J171" t="inlineStr"/>
      <c r="K171" t="n">
        <v>0</v>
      </c>
      <c r="L171" t="n">
        <v>4</v>
      </c>
      <c r="M171" t="n">
        <v>0</v>
      </c>
      <c r="N171" t="n">
        <v>0</v>
      </c>
      <c r="O171" t="n">
        <v>3</v>
      </c>
      <c r="P171">
        <f>HYPERLINK("https://g1.globo.com/sp/presidente-prudente-regiao/noticia/2022/05/21/criador-amador-de-passaros-leva-multa-de-r-24-mil-por-manter-irregularmente-aves-exoticas-em-cativeiro.ghtml", "URL")</f>
        <v/>
      </c>
      <c r="Q171">
        <f>HYPERLINK("https://raw.githubusercontent.com/marcosmapl/dataset_imigrantes/main/materias_filtered/g1/venezuelanos/2022/04_mai/html/g1_b3849352-230c-11ed-b24f-6dbe51e79fca_2642.html", "HTML")</f>
        <v/>
      </c>
      <c r="R171">
        <f>HYPERLINK("https://raw.githubusercontent.com/marcosmapl/dataset_imigrantes/main/materias_filtered/g1/venezuelanos/2022/04_mai/txt/g1_b3849352-230c-11ed-b24f-6dbe51e79fca_2642.txt", "TXT")</f>
        <v/>
      </c>
    </row>
    <row r="172">
      <c r="A172" s="1" t="n">
        <v>170</v>
      </c>
      <c r="B172" t="n">
        <v>2022</v>
      </c>
      <c r="C172" s="2" t="n">
        <v>44700.42649305556</v>
      </c>
      <c r="D172" t="inlineStr">
        <is>
          <t>A CRITICA</t>
        </is>
      </c>
      <c r="E172" t="inlineStr">
        <is>
          <t>VENEZUELANOS</t>
        </is>
      </c>
      <c r="F172" t="inlineStr">
        <is>
          <t>POLICIA</t>
        </is>
      </c>
      <c r="G172" t="inlineStr">
        <is>
          <t>JOANA QUEIROZ</t>
        </is>
      </c>
      <c r="H172" t="inlineStr">
        <is>
          <t>POLÍCIA APREENDE MAIS DE MEIA TONELADA DE DROGA PRÓXIMO AO ARQUIPÉLAGO DE ANAVILHANAS</t>
        </is>
      </c>
      <c r="I172" t="inlineStr">
        <is>
          <t>A DROGA FOI AVALIADA EM MAIS DE R$ 9 MILHÕES</t>
        </is>
      </c>
      <c r="J172" t="inlineStr"/>
      <c r="K172" t="n">
        <v>0</v>
      </c>
      <c r="L172" t="n">
        <v>1</v>
      </c>
      <c r="M172" t="n">
        <v>0</v>
      </c>
      <c r="N172" t="n">
        <v>0</v>
      </c>
      <c r="O172" t="n">
        <v>0</v>
      </c>
      <c r="P172">
        <f>HYPERLINK("https://www.acritica.com/policia/policia-apreende-mais-de-meia-tonelada-de-droga-proximo-ao-arquipelago-de-anavilhanas-1.270306", "URL")</f>
        <v/>
      </c>
      <c r="Q172">
        <f>HYPERLINK("https://raw.githubusercontent.com/marcosmapl/dataset_imigrantes/main/materias_filtered/a_critica/venezuelanos/2022/04_mai/html/1.270306_100.html", "HTML")</f>
        <v/>
      </c>
      <c r="R172">
        <f>HYPERLINK("https://raw.githubusercontent.com/marcosmapl/dataset_imigrantes/main/materias_filtered/a_critica/venezuelanos/2022/04_mai/txt/1.270306_100.txt", "TXT")</f>
        <v/>
      </c>
    </row>
    <row r="173">
      <c r="A173" s="1" t="n">
        <v>171</v>
      </c>
      <c r="B173" t="n">
        <v>2022</v>
      </c>
      <c r="C173" s="2" t="n">
        <v>44699.82806712963</v>
      </c>
      <c r="D173" t="inlineStr">
        <is>
          <t>A CRITICA</t>
        </is>
      </c>
      <c r="E173" t="inlineStr">
        <is>
          <t>VENEZUELANOS</t>
        </is>
      </c>
      <c r="F173" t="inlineStr">
        <is>
          <t>ESPORTES</t>
        </is>
      </c>
      <c r="G173" t="inlineStr">
        <is>
          <t>ACRITICA.COM</t>
        </is>
      </c>
      <c r="H173" t="inlineStr">
        <is>
          <t>PCD´S TERÃO ACESSO GRATUITO À ARENA DA AMAZÔNIA NO JOGO ENTRE GUARANI E VASCO DA GAMA</t>
        </is>
      </c>
      <c r="I173" t="inlineStr">
        <is>
          <t>LEI ESTADUAL GARANTE GRATUIDADE PARA PESSOAS COM DEFICIÊNCIA E QUE O ACOMPANHANTE PAGUE MEIA-ENTRADA</t>
        </is>
      </c>
      <c r="J173" t="inlineStr">
        <is>
          <t>ARENA DA AMAZÔNIA, BRASILEIRÃO, GUARANI, PCDS, SÉRIE B, VASCO</t>
        </is>
      </c>
      <c r="K173" t="n">
        <v>6</v>
      </c>
      <c r="L173" t="n">
        <v>1</v>
      </c>
      <c r="M173" t="n">
        <v>0</v>
      </c>
      <c r="N173" t="n">
        <v>0</v>
      </c>
      <c r="O173" t="n">
        <v>6</v>
      </c>
      <c r="P173">
        <f>HYPERLINK("https://www.acritica.com/esportes/pcd-s-ter-o-acesso-gratuito-a-arena-da-amazonia-no-jogo-entre-guarani-e-vasco-da-gama-1.270279", "URL")</f>
        <v/>
      </c>
      <c r="Q173">
        <f>HYPERLINK("https://raw.githubusercontent.com/marcosmapl/dataset_imigrantes/main/materias_filtered/a_critica/venezuelanos/2022/04_mai/html/1.270279_351.html", "HTML")</f>
        <v/>
      </c>
      <c r="R173">
        <f>HYPERLINK("https://raw.githubusercontent.com/marcosmapl/dataset_imigrantes/main/materias_filtered/a_critica/venezuelanos/2022/04_mai/txt/1.270279_351.txt", "TXT")</f>
        <v/>
      </c>
    </row>
    <row r="174">
      <c r="A174" s="1" t="n">
        <v>172</v>
      </c>
      <c r="B174" t="n">
        <v>2022</v>
      </c>
      <c r="C174" s="2" t="n">
        <v>44699.43416958334</v>
      </c>
      <c r="D174" t="inlineStr">
        <is>
          <t>G1</t>
        </is>
      </c>
      <c r="E174" t="inlineStr">
        <is>
          <t>VENEZUELANOS</t>
        </is>
      </c>
      <c r="F174" t="inlineStr">
        <is>
          <t>MUNDO</t>
        </is>
      </c>
      <c r="G174" t="inlineStr">
        <is>
          <t>BBC</t>
        </is>
      </c>
      <c r="H174" t="inlineStr">
        <is>
          <t>POR QUE OS EUA DECIDIRAM RELAXAR SANÇÕES CONTRA A VENEZUELA AGORA?</t>
        </is>
      </c>
      <c r="I174" t="inlineStr">
        <is>
          <t>PREÇO DO PETRÓLEO, PRESSÃO DE OUTROS LÍDERES NA AMÉRICA LATINA, DESEJO DE FORÇAR RETOMADA DE NEGOCIAÇÕES NO PAÍS E DE REVERTER A AGENDA DE TRUMP EXPLICAM POLÊMICA AÇÃO DO GOVERNO BIDEN.</t>
        </is>
      </c>
      <c r="J174" t="inlineStr"/>
      <c r="K174" t="n">
        <v>0</v>
      </c>
      <c r="L174" t="n">
        <v>2</v>
      </c>
      <c r="M174" t="n">
        <v>0</v>
      </c>
      <c r="N174" t="n">
        <v>0</v>
      </c>
      <c r="O174" t="n">
        <v>2</v>
      </c>
      <c r="P174">
        <f>HYPERLINK("https://g1.globo.com/mundo/noticia/2022/05/18/por-que-os-eua-decidiram-relaxar-sancoes-contra-a-venezuela-agora.ghtml", "URL")</f>
        <v/>
      </c>
      <c r="Q174">
        <f>HYPERLINK("https://raw.githubusercontent.com/marcosmapl/dataset_imigrantes/main/materias_filtered/g1/venezuelanos/2022/04_mai/html/g1_3c978804-231f-11ed-b24f-6dbe51e79fca_3610.html", "HTML")</f>
        <v/>
      </c>
      <c r="R174">
        <f>HYPERLINK("https://raw.githubusercontent.com/marcosmapl/dataset_imigrantes/main/materias_filtered/g1/venezuelanos/2022/04_mai/txt/g1_3c978804-231f-11ed-b24f-6dbe51e79fca_3610.txt", "TXT")</f>
        <v/>
      </c>
    </row>
    <row r="175">
      <c r="A175" s="1" t="n">
        <v>173</v>
      </c>
      <c r="B175" t="n">
        <v>2022</v>
      </c>
      <c r="C175" s="2" t="n">
        <v>44699.32986111111</v>
      </c>
      <c r="D175" t="inlineStr">
        <is>
          <t>PORTAL AMAZONIA</t>
        </is>
      </c>
      <c r="E175" t="inlineStr">
        <is>
          <t>VENEZUELANOS</t>
        </is>
      </c>
      <c r="F175" t="inlineStr">
        <is>
          <t>AMAZÔNIA,RONDÔNIA</t>
        </is>
      </c>
      <c r="G175" t="inlineStr">
        <is>
          <t>PORTAL AMAZÔNIA, COM INFORMAÇÕES DO G1 RONDÔNIA</t>
        </is>
      </c>
      <c r="H175" t="inlineStr">
        <is>
          <t>JIBOIA ARCO-ÍRIS: ESPÉCIE RESGATADA EM RONDÔNIA TAMBÉM É ENCONTRADA EM OUTRAS REGIÕES NA AMAZÔNIA</t>
        </is>
      </c>
      <c r="I175" t="inlineStr">
        <is>
          <t>ESSA ESPÉCIE DE COBRA É ENCONTRADA EM PARTE DA AMAZÔNIA BRASILEIRA, COLOMBIANA E VENEZUELANA, ALÉM DA AMÉRICA CENTRAL. ELAS VIVEM APROXIMADAMENTE 15 ANOS, PODEM CHEGAR A MAIS DE DOIS METROS E PESAR 5 KG.</t>
        </is>
      </c>
      <c r="J175" t="inlineStr">
        <is>
          <t>AMAZÔNIA, ARCO IRIS, COBRA, JIBOIA, JIBOIA ARCO IRIS, RONDÔNIA, SERPENTE, VILHENA</t>
        </is>
      </c>
      <c r="K175" t="n">
        <v>8</v>
      </c>
      <c r="L175" t="n">
        <v>6</v>
      </c>
      <c r="M175" t="n">
        <v>1</v>
      </c>
      <c r="N175" t="n">
        <v>0</v>
      </c>
      <c r="O175" t="n">
        <v>23</v>
      </c>
      <c r="P175">
        <f>HYPERLINK("https://portalamazonia.com/estados/rondonia/jiboia-arco-iris-especie-resgatada-em-rondonia-tambem-e-encontrada-em-outras-regioes-na-amazonia", "URL")</f>
        <v/>
      </c>
      <c r="Q175">
        <f>HYPERLINK("https://raw.githubusercontent.com/marcosmapl/dataset_imigrantes/main/materias_filtered/portal_amazonia/venezuelanos/2022/04_mai/html/35715.87074_1607.html", "HTML")</f>
        <v/>
      </c>
      <c r="R175">
        <f>HYPERLINK("https://raw.githubusercontent.com/marcosmapl/dataset_imigrantes/main/materias_filtered/portal_amazonia/venezuelanos/2022/04_mai/txt/35715.87074_1607.txt", "TXT")</f>
        <v/>
      </c>
    </row>
    <row r="176">
      <c r="A176" s="1" t="n">
        <v>174</v>
      </c>
      <c r="B176" t="n">
        <v>2022</v>
      </c>
      <c r="C176" s="2" t="n">
        <v>44698.74148197917</v>
      </c>
      <c r="D176" t="inlineStr">
        <is>
          <t>G1</t>
        </is>
      </c>
      <c r="E176" t="inlineStr">
        <is>
          <t>VENEZUELANOS</t>
        </is>
      </c>
      <c r="F176" t="inlineStr">
        <is>
          <t>MUNDO</t>
        </is>
      </c>
      <c r="G176" t="inlineStr">
        <is>
          <t>FRANCE PRESSE</t>
        </is>
      </c>
      <c r="H176" t="inlineStr">
        <is>
          <t>VENEZUELANO DE 112 ANOS SE TORNA O HOMEM MAIS VELHO DO MUNDO</t>
        </is>
      </c>
      <c r="I176" t="inlineStr">
        <is>
          <t>A PESSOA VIVA MAIS VELHA É UMA FRANCESA, A IRMÃ ANDRÉ, CUJO NOME DE BATISMO É LUCILE RANDON, NASCIDA EM 11 DE FEVEREIRO DE 1904. ELA TEM 118 ANOS.</t>
        </is>
      </c>
      <c r="J176" t="inlineStr"/>
      <c r="K176" t="n">
        <v>0</v>
      </c>
      <c r="L176" t="n">
        <v>1</v>
      </c>
      <c r="M176" t="n">
        <v>1</v>
      </c>
      <c r="N176" t="n">
        <v>0</v>
      </c>
      <c r="O176" t="n">
        <v>2</v>
      </c>
      <c r="P176">
        <f>HYPERLINK("https://g1.globo.com/mundo/noticia/2022/05/17/venezuelano-de-112-anos-se-torna-o-homem-mais-velho-do-mundo.ghtml", "URL")</f>
        <v/>
      </c>
      <c r="Q176">
        <f>HYPERLINK("https://raw.githubusercontent.com/marcosmapl/dataset_imigrantes/main/materias_filtered/g1/venezuelanos/2022/04_mai/html/g1_7b792490-2317-11ed-b24f-6dbe51e79fca_3210.html", "HTML")</f>
        <v/>
      </c>
      <c r="R176">
        <f>HYPERLINK("https://raw.githubusercontent.com/marcosmapl/dataset_imigrantes/main/materias_filtered/g1/venezuelanos/2022/04_mai/txt/g1_7b792490-2317-11ed-b24f-6dbe51e79fca_3210.txt", "TXT")</f>
        <v/>
      </c>
    </row>
    <row r="177">
      <c r="A177" s="1" t="n">
        <v>175</v>
      </c>
      <c r="B177" t="n">
        <v>2022</v>
      </c>
      <c r="C177" s="2" t="n">
        <v>44698.48275016204</v>
      </c>
      <c r="D177" t="inlineStr">
        <is>
          <t>G1</t>
        </is>
      </c>
      <c r="E177" t="inlineStr">
        <is>
          <t>VENEZUELANOS</t>
        </is>
      </c>
      <c r="F177" t="inlineStr">
        <is>
          <t>MUNDO</t>
        </is>
      </c>
      <c r="G177" t="inlineStr">
        <is>
          <t>MARGARITA RODRÍGUEZ, BBC</t>
        </is>
      </c>
      <c r="H177" t="inlineStr">
        <is>
          <t>'ALGUNS CHEGAM SEM UNHAS DE TANTO SE AGARRAR AOS ARBUSTOS': A PERIGOSA TRAVESSIA DE MULHER COM FILHA DE 3 ANOS PARA OS EUA</t>
        </is>
      </c>
      <c r="I177" t="inlineStr">
        <is>
          <t>IMIGRANTES VENEZUELANOS JUNTAM-SE A MILHARES DE PESSOAS QUE TENTAM CHEGAR AOS EUA ATRAVÉS DA FRONTEIRA COM O MÉXICO. A BBC NEWS MUNDO, O SERVIÇO DE NOTÍCIAS EM ESPANHOL DA BBC, CONVERSOU COM UMA VENEZUELANA QUE FEZ ESSA TRAVESSIA COM SUA FILHA DE QUASE TRÊS ANOS.</t>
        </is>
      </c>
      <c r="J177" t="inlineStr"/>
      <c r="K177" t="n">
        <v>0</v>
      </c>
      <c r="L177" t="n">
        <v>1</v>
      </c>
      <c r="M177" t="n">
        <v>0</v>
      </c>
      <c r="N177" t="n">
        <v>0</v>
      </c>
      <c r="O177" t="n">
        <v>2</v>
      </c>
      <c r="P177">
        <f>HYPERLINK("https://g1.globo.com/mundo/noticia/2022/05/17/alguns-chegam-sem-unhas-de-tanto-se-agarrar-aos-arbustos-a-perigosa-travessia-de-mulher-com-filha-de-3-anos-para-os-eua.ghtml", "URL")</f>
        <v/>
      </c>
      <c r="Q177">
        <f>HYPERLINK("https://raw.githubusercontent.com/marcosmapl/dataset_imigrantes/main/materias_filtered/g1/venezuelanos/2022/04_mai/html/g1_18746f88-232d-11ed-b24f-6dbe51e79fca_4342.html", "HTML")</f>
        <v/>
      </c>
      <c r="R177">
        <f>HYPERLINK("https://raw.githubusercontent.com/marcosmapl/dataset_imigrantes/main/materias_filtered/g1/venezuelanos/2022/04_mai/txt/g1_18746f88-232d-11ed-b24f-6dbe51e79fca_4342.txt", "TXT")</f>
        <v/>
      </c>
    </row>
    <row r="178">
      <c r="A178" s="1" t="n">
        <v>176</v>
      </c>
      <c r="B178" t="n">
        <v>2022</v>
      </c>
      <c r="C178" s="2" t="n">
        <v>44695.75660684028</v>
      </c>
      <c r="D178" t="inlineStr">
        <is>
          <t>G1</t>
        </is>
      </c>
      <c r="E178" t="inlineStr">
        <is>
          <t>VENEZUELANOS</t>
        </is>
      </c>
      <c r="F178" t="inlineStr">
        <is>
          <t>PRESIDENTE PRUDENTE E REGIÃO</t>
        </is>
      </c>
      <c r="G178" t="inlineStr">
        <is>
          <t>G1 PRESIDENTE PRUDENTE</t>
        </is>
      </c>
      <c r="H178" t="inlineStr">
        <is>
          <t>COMPANHIA CIRQUITO APRESENTA ESPETÁCULO ‘ROMPENDO FRONTEIRA’ EM PRESIDENTE PRUDENTE</t>
        </is>
      </c>
      <c r="I178" t="inlineStr">
        <is>
          <t>EVENTO É NESTE DOMINGO (15), ÀS 17H, AO LADO DO PARQUINHO INFANTIL, NO PARQUE DO POVO. GRUPO É FORMADO POR DEBORA SOUZA, DO INTERIOR PAULISTA, E PELO PROFESSOR DE CIRCO VENEZUELANO, LUIS SEGNINI.</t>
        </is>
      </c>
      <c r="J178" t="inlineStr"/>
      <c r="K178" t="n">
        <v>0</v>
      </c>
      <c r="L178" t="n">
        <v>4</v>
      </c>
      <c r="M178" t="n">
        <v>0</v>
      </c>
      <c r="N178" t="n">
        <v>0</v>
      </c>
      <c r="O178" t="n">
        <v>3</v>
      </c>
      <c r="P178">
        <f>HYPERLINK("https://g1.globo.com/sp/presidente-prudente-regiao/noticia/2022/05/14/companhia-cirquito-apresenta-espetaculo-rompendo-fronteira-em-presidente-prudente.ghtml", "URL")</f>
        <v/>
      </c>
      <c r="Q178">
        <f>HYPERLINK("https://raw.githubusercontent.com/marcosmapl/dataset_imigrantes/main/materias_filtered/g1/venezuelanos/2022/04_mai/html/g1_98d90e1c-2315-11ed-b24f-6dbe51e79fca_3095.html", "HTML")</f>
        <v/>
      </c>
      <c r="R178">
        <f>HYPERLINK("https://raw.githubusercontent.com/marcosmapl/dataset_imigrantes/main/materias_filtered/g1/venezuelanos/2022/04_mai/txt/g1_98d90e1c-2315-11ed-b24f-6dbe51e79fca_3095.txt", "TXT")</f>
        <v/>
      </c>
    </row>
    <row r="179">
      <c r="A179" s="1" t="n">
        <v>177</v>
      </c>
      <c r="B179" t="n">
        <v>2022</v>
      </c>
      <c r="C179" s="2" t="n">
        <v>44695.57332925926</v>
      </c>
      <c r="D179" t="inlineStr">
        <is>
          <t>G1</t>
        </is>
      </c>
      <c r="E179" t="inlineStr">
        <is>
          <t>VENEZUELANOS</t>
        </is>
      </c>
      <c r="F179" t="inlineStr">
        <is>
          <t>GOIÁS</t>
        </is>
      </c>
      <c r="G179" t="inlineStr">
        <is>
          <t>VANESSA MARTINS E CAMILA FARACO, G1 GOIÁS E TV ANHANGUERA</t>
        </is>
      </c>
      <c r="H179" t="inlineStr">
        <is>
          <t>SUSPEITO DE ROUBAR FRALDAS E LEITE EM FARMÁCIA É MORTO EM TROCA DE TIROS COM A PM; OUÇA</t>
        </is>
      </c>
      <c r="I179" t="inlineStr">
        <is>
          <t>SEGUNDO CORPORAÇÃO, ELE ERA CONHECIDO COMO 'VENEZUELANO' E JÁ HAVIA SIDO PRESO DUAS VEZES NOS ÚLTIMOS 15 DIAS. MORADORES DA REGIÃO E MOTORISTAS QUE PASSAVAM PELO LOCAL OUVIRAM DISPAROS.</t>
        </is>
      </c>
      <c r="J179" t="inlineStr"/>
      <c r="K179" t="n">
        <v>0</v>
      </c>
      <c r="L179" t="n">
        <v>2</v>
      </c>
      <c r="M179" t="n">
        <v>1</v>
      </c>
      <c r="N179" t="n">
        <v>0</v>
      </c>
      <c r="O179" t="n">
        <v>8</v>
      </c>
      <c r="P179">
        <f>HYPERLINK("https://g1.globo.com/go/goias/noticia/2022/05/14/suspeito-de-roubo-e-morto-em-troca-de-tiros-em-goiania-diz-policia.ghtml", "URL")</f>
        <v/>
      </c>
      <c r="Q179">
        <f>HYPERLINK("https://raw.githubusercontent.com/marcosmapl/dataset_imigrantes/main/materias_filtered/g1/venezuelanos/2022/04_mai/html/g1_364276b4-2327-11ed-b24f-6dbe51e79fca_4022.html", "HTML")</f>
        <v/>
      </c>
      <c r="R179">
        <f>HYPERLINK("https://raw.githubusercontent.com/marcosmapl/dataset_imigrantes/main/materias_filtered/g1/venezuelanos/2022/04_mai/txt/g1_364276b4-2327-11ed-b24f-6dbe51e79fca_4022.txt", "TXT")</f>
        <v/>
      </c>
    </row>
    <row r="180">
      <c r="A180" s="1" t="n">
        <v>178</v>
      </c>
      <c r="B180" t="n">
        <v>2022</v>
      </c>
      <c r="C180" s="2" t="n">
        <v>44695.02834976852</v>
      </c>
      <c r="D180" t="inlineStr">
        <is>
          <t>G1</t>
        </is>
      </c>
      <c r="E180" t="inlineStr">
        <is>
          <t>VENEZUELANOS</t>
        </is>
      </c>
      <c r="F180" t="inlineStr">
        <is>
          <t>RORAIMA</t>
        </is>
      </c>
      <c r="G180" t="inlineStr">
        <is>
          <t>G1 RR — BOA VISTA</t>
        </is>
      </c>
      <c r="H180" t="inlineStr">
        <is>
          <t>HOMEM ENCONTRADO DECAPITADO TEM CORPO IDENTIFICADO; MULHER SEGUE DESCONHECIDA</t>
        </is>
      </c>
      <c r="I180" t="inlineStr">
        <is>
          <t>CORPOS FORAM ENCONTRADOS NA QUARTA-FEIRA (11), PRÓXIMO A UM ABRIGO PARA MIGRANTES VENEZUELANOS NO BAIRRO 13 DE SETEMBRO, EM BOA VISTA.</t>
        </is>
      </c>
      <c r="J180" t="inlineStr"/>
      <c r="K180" t="n">
        <v>0</v>
      </c>
      <c r="L180" t="n">
        <v>1</v>
      </c>
      <c r="M180" t="n">
        <v>0</v>
      </c>
      <c r="N180" t="n">
        <v>0</v>
      </c>
      <c r="O180" t="n">
        <v>2</v>
      </c>
      <c r="P180">
        <f>HYPERLINK("https://g1.globo.com/rr/roraima/noticia/2022/05/13/homem-encontrado-decapitado-tem-corpo-identificado-mulher-segue-desconhecida.ghtml", "URL")</f>
        <v/>
      </c>
      <c r="Q180">
        <f>HYPERLINK("https://raw.githubusercontent.com/marcosmapl/dataset_imigrantes/main/materias_filtered/g1/venezuelanos/2022/04_mai/html/g1_c8dd0f5a-2329-11ed-b24f-6dbe51e79fca_4138.html", "HTML")</f>
        <v/>
      </c>
      <c r="R180">
        <f>HYPERLINK("https://raw.githubusercontent.com/marcosmapl/dataset_imigrantes/main/materias_filtered/g1/venezuelanos/2022/04_mai/txt/g1_c8dd0f5a-2329-11ed-b24f-6dbe51e79fca_4138.txt", "TXT")</f>
        <v/>
      </c>
    </row>
    <row r="181">
      <c r="A181" s="1" t="n">
        <v>179</v>
      </c>
      <c r="B181" t="n">
        <v>2022</v>
      </c>
      <c r="C181" s="2" t="n">
        <v>44694.83229185185</v>
      </c>
      <c r="D181" t="inlineStr">
        <is>
          <t>G1</t>
        </is>
      </c>
      <c r="E181" t="inlineStr">
        <is>
          <t>VENEZUELANOS</t>
        </is>
      </c>
      <c r="F181" t="inlineStr">
        <is>
          <t>RIO GRANDE DO SUL</t>
        </is>
      </c>
      <c r="G181" t="inlineStr">
        <is>
          <t>G1 RS</t>
        </is>
      </c>
      <c r="H181" t="inlineStr">
        <is>
          <t>HOMEM É CONDENADO A 17 ANOS DE PRISÃO POR MATAR VENEZUELANA COM ÁCIDO EM CAXIAS DO SUL</t>
        </is>
      </c>
      <c r="I181" t="inlineStr">
        <is>
          <t>CRIME ACONTECEU EM DEZEMBRO 2019. RÉU ERA EX-COMPANHEIRO DA VÍTIMA, QUE HAVIA FUGIDO PARA O SUL DO BRASIL DE RORAIMA DEVIDO À VIOLÊNCIA DOMÉSTICA.</t>
        </is>
      </c>
      <c r="J181" t="inlineStr"/>
      <c r="K181" t="n">
        <v>0</v>
      </c>
      <c r="L181" t="n">
        <v>1</v>
      </c>
      <c r="M181" t="n">
        <v>0</v>
      </c>
      <c r="N181" t="n">
        <v>0</v>
      </c>
      <c r="O181" t="n">
        <v>5</v>
      </c>
      <c r="P181">
        <f>HYPERLINK("https://g1.globo.com/rs/rio-grande-do-sul/noticia/2022/05/13/homem-e-condenado-a-17-anos-de-prisao-por-matar-venezuelana-com-acido-em-caxias-do-sul.ghtml", "URL")</f>
        <v/>
      </c>
      <c r="Q181">
        <f>HYPERLINK("https://raw.githubusercontent.com/marcosmapl/dataset_imigrantes/main/materias_filtered/g1/venezuelanos/2022/04_mai/html/g1_f03277e6-2312-11ed-b24f-6dbe51e79fca_2983.html", "HTML")</f>
        <v/>
      </c>
      <c r="R181">
        <f>HYPERLINK("https://raw.githubusercontent.com/marcosmapl/dataset_imigrantes/main/materias_filtered/g1/venezuelanos/2022/04_mai/txt/g1_f03277e6-2312-11ed-b24f-6dbe51e79fca_2983.txt", "TXT")</f>
        <v/>
      </c>
    </row>
    <row r="182">
      <c r="A182" s="1" t="n">
        <v>180</v>
      </c>
      <c r="B182" t="n">
        <v>2022</v>
      </c>
      <c r="C182" s="2" t="n">
        <v>44694.33679380787</v>
      </c>
      <c r="D182" t="inlineStr">
        <is>
          <t>G1</t>
        </is>
      </c>
      <c r="E182" t="inlineStr">
        <is>
          <t>HAITIANOS</t>
        </is>
      </c>
      <c r="F182" t="inlineStr">
        <is>
          <t>MUNDO</t>
        </is>
      </c>
      <c r="G182" t="inlineStr">
        <is>
          <t>DANIEL GARCÍA MARCO, BBC</t>
        </is>
      </c>
      <c r="H182" t="inlineStr">
        <is>
          <t>O POLÊMICO MURO QUE DIVIDE DOIS PAÍSES EM ILHA NO CARIBE</t>
        </is>
      </c>
      <c r="I182" t="inlineStr">
        <is>
          <t>A BBC NEWS MUNDO, SERVIÇO EM ESPANHOL DA BBC, VIAJOU PARA A FRONTEIRA ENTRE A REPÚBLICA DOMINICANA E O HAITI, DOIS PAÍSES QUE COMPARTILHAM UMA ILHA E QUE EM BREVE SERÃO SEPARADOS POR UM MURO.</t>
        </is>
      </c>
      <c r="J182" t="inlineStr"/>
      <c r="K182" t="n">
        <v>0</v>
      </c>
      <c r="L182" t="n">
        <v>1</v>
      </c>
      <c r="M182" t="n">
        <v>0</v>
      </c>
      <c r="N182" t="n">
        <v>0</v>
      </c>
      <c r="O182" t="n">
        <v>3</v>
      </c>
      <c r="P182">
        <f>HYPERLINK("https://g1.globo.com/mundo/noticia/2022/05/13/o-polemico-muro-que-divide-dois-paises-em-ilha-no-caribe.ghtml", "URL")</f>
        <v/>
      </c>
      <c r="Q182">
        <f>HYPERLINK("https://raw.githubusercontent.com/marcosmapl/dataset_imigrantes/main/materias_filtered/g1/haitianos/2022/04_mai/html/g1_c0d6b226-22ec-11ed-b24f-6dbe51e79fca_1666.html", "HTML")</f>
        <v/>
      </c>
      <c r="R182">
        <f>HYPERLINK("https://raw.githubusercontent.com/marcosmapl/dataset_imigrantes/main/materias_filtered/g1/haitianos/2022/04_mai/txt/g1_c0d6b226-22ec-11ed-b24f-6dbe51e79fca_1666.txt", "TXT")</f>
        <v/>
      </c>
    </row>
    <row r="183">
      <c r="A183" s="1" t="n">
        <v>181</v>
      </c>
      <c r="B183" t="n">
        <v>2022</v>
      </c>
      <c r="C183" s="2" t="n">
        <v>44694.01730855324</v>
      </c>
      <c r="D183" t="inlineStr">
        <is>
          <t>G1</t>
        </is>
      </c>
      <c r="E183" t="inlineStr">
        <is>
          <t>HAITIANOS</t>
        </is>
      </c>
      <c r="F183" t="inlineStr">
        <is>
          <t>MUNDO</t>
        </is>
      </c>
      <c r="G183" t="inlineStr">
        <is>
          <t>FRANCE PRESSE</t>
        </is>
      </c>
      <c r="H183" t="inlineStr">
        <is>
          <t>NAUFRÁGIO EM PORTO RICO DEIXA AO MENOS 11 MORTOS</t>
        </is>
      </c>
      <c r="I183" t="inlineStr">
        <is>
          <t>AS PESSOAS RESGATADAS SÃO PRINCIPALMENTE DO HAITI E DA REPÚBLICA DOMINICANA, SEGUNDO AS AUTORIDADES. SUSPEITA-SE QUE A EMBARCAÇÃO LEVASSE IMIGRANTES ILEGAIS.</t>
        </is>
      </c>
      <c r="J183" t="inlineStr"/>
      <c r="K183" t="n">
        <v>0</v>
      </c>
      <c r="L183" t="n">
        <v>2</v>
      </c>
      <c r="M183" t="n">
        <v>0</v>
      </c>
      <c r="N183" t="n">
        <v>0</v>
      </c>
      <c r="O183" t="n">
        <v>4</v>
      </c>
      <c r="P183">
        <f>HYPERLINK("https://g1.globo.com/mundo/noticia/2022/05/12/naufragio-em-porto-rico-deixa-ao-menos-11-mortos.ghtml", "URL")</f>
        <v/>
      </c>
      <c r="Q183">
        <f>HYPERLINK("https://raw.githubusercontent.com/marcosmapl/dataset_imigrantes/main/materias_filtered/g1/haitianos/2022/04_mai/html/g1_253624c4-231d-11ed-b24f-6dbe51e79fca_3485.html", "HTML")</f>
        <v/>
      </c>
      <c r="R183">
        <f>HYPERLINK("https://raw.githubusercontent.com/marcosmapl/dataset_imigrantes/main/materias_filtered/g1/haitianos/2022/04_mai/txt/g1_253624c4-231d-11ed-b24f-6dbe51e79fca_3485.txt", "TXT")</f>
        <v/>
      </c>
    </row>
    <row r="184">
      <c r="A184" s="1" t="n">
        <v>182</v>
      </c>
      <c r="B184" t="n">
        <v>2022</v>
      </c>
      <c r="C184" s="2" t="n">
        <v>44693.33680555555</v>
      </c>
      <c r="D184" t="inlineStr">
        <is>
          <t>PORTAL AMAZONIA</t>
        </is>
      </c>
      <c r="E184" t="inlineStr">
        <is>
          <t>VENEZUELANOS</t>
        </is>
      </c>
      <c r="F184" t="inlineStr">
        <is>
          <t>AMAZÔNIA INTERNACIONAL</t>
        </is>
      </c>
      <c r="G184" t="inlineStr">
        <is>
          <t>REDAÇÃO - JORNALISMO@PORTALAMAZONIA.COM</t>
        </is>
      </c>
      <c r="H184" t="inlineStr">
        <is>
          <t>A MAIOR CACHOEIRA DO MUNDO FICA NA AMAZÔNIA INTERNACIONAL: SALTO ÁNGEL</t>
        </is>
      </c>
      <c r="I184" t="inlineStr">
        <is>
          <t>SÃO 979 METROS, SENDO 807 METROS DE QUEDA SEM INTERRUPÇÃO, E ESTÁ LOCALIZADA NO PARQUE NACIONAL CANAIMA, NO EXTREMO SUDESTE DA VENEZUELA.</t>
        </is>
      </c>
      <c r="J184" t="inlineStr">
        <is>
          <t>AMAZÔNIA, AMAZÔNIA INTERNACIONAL, CACHOEIRAS, MAIOR CACHOEIRA DO MUNDO, SALTO ANGEL, VENEZUELA</t>
        </is>
      </c>
      <c r="K184" t="n">
        <v>6</v>
      </c>
      <c r="L184" t="n">
        <v>8</v>
      </c>
      <c r="M184" t="n">
        <v>0</v>
      </c>
      <c r="N184" t="n">
        <v>0</v>
      </c>
      <c r="O184" t="n">
        <v>19</v>
      </c>
      <c r="P184">
        <f>HYPERLINK("https://portalamazonia.com/estados/amazonia-internacional/voce-sabia-que-a-maior-cachoeira-do-mundo-fica-na-amazonia-internacional", "URL")</f>
        <v/>
      </c>
      <c r="Q184">
        <f>HYPERLINK("https://raw.githubusercontent.com/marcosmapl/dataset_imigrantes/main/materias_filtered/portal_amazonia/venezuelanos/2022/04_mai/html/35669.86885_1603.html", "HTML")</f>
        <v/>
      </c>
      <c r="R184">
        <f>HYPERLINK("https://raw.githubusercontent.com/marcosmapl/dataset_imigrantes/main/materias_filtered/portal_amazonia/venezuelanos/2022/04_mai/txt/35669.86885_1603.txt", "TXT")</f>
        <v/>
      </c>
    </row>
    <row r="185">
      <c r="A185" s="1" t="n">
        <v>183</v>
      </c>
      <c r="B185" t="n">
        <v>2022</v>
      </c>
      <c r="C185" s="2" t="n">
        <v>44692.59700729167</v>
      </c>
      <c r="D185" t="inlineStr">
        <is>
          <t>G1</t>
        </is>
      </c>
      <c r="E185" t="inlineStr">
        <is>
          <t>VENEZUELANOS</t>
        </is>
      </c>
      <c r="F185" t="inlineStr">
        <is>
          <t>AMAZONAS</t>
        </is>
      </c>
      <c r="G185" t="inlineStr">
        <is>
          <t>G1 AM</t>
        </is>
      </c>
      <c r="H185" t="inlineStr">
        <is>
          <t>PESQUISA AVALIA SAÚDE SEXUAL E REPRODUTIVA DAS VENEZUELANAS EM MANAUS</t>
        </is>
      </c>
      <c r="I185" t="inlineStr">
        <is>
          <t>MAIS DE 2 MIL MULHERES, DOS 15 AOS 49 ANOS, QUE MIGRARAM PARA O BRASIL ENTRE 2018 E 2021 FORAM ENTREVISTADAS.</t>
        </is>
      </c>
      <c r="J185" t="inlineStr"/>
      <c r="K185" t="n">
        <v>0</v>
      </c>
      <c r="L185" t="n">
        <v>3</v>
      </c>
      <c r="M185" t="n">
        <v>0</v>
      </c>
      <c r="N185" t="n">
        <v>0</v>
      </c>
      <c r="O185" t="n">
        <v>2</v>
      </c>
      <c r="P185">
        <f>HYPERLINK("https://g1.globo.com/am/amazonas/noticia/2022/05/11/pesquisa-avalia-saude-sexual-e-reprodutiva-das-venezuelanas-em-manaus.ghtml", "URL")</f>
        <v/>
      </c>
      <c r="Q185">
        <f>HYPERLINK("https://raw.githubusercontent.com/marcosmapl/dataset_imigrantes/main/materias_filtered/g1/venezuelanos/2022/04_mai/html/g1_2146edf2-2328-11ed-b24f-6dbe51e79fca_4065.html", "HTML")</f>
        <v/>
      </c>
      <c r="R185">
        <f>HYPERLINK("https://raw.githubusercontent.com/marcosmapl/dataset_imigrantes/main/materias_filtered/g1/venezuelanos/2022/04_mai/txt/g1_2146edf2-2328-11ed-b24f-6dbe51e79fca_4065.txt", "TXT")</f>
        <v/>
      </c>
    </row>
    <row r="186">
      <c r="A186" s="1" t="n">
        <v>184</v>
      </c>
      <c r="B186" t="n">
        <v>2022</v>
      </c>
      <c r="C186" s="2" t="n">
        <v>44689.87137375</v>
      </c>
      <c r="D186" t="inlineStr">
        <is>
          <t>G1</t>
        </is>
      </c>
      <c r="E186" t="inlineStr">
        <is>
          <t>VENEZUELANOS</t>
        </is>
      </c>
      <c r="F186" t="inlineStr">
        <is>
          <t>MUNDO</t>
        </is>
      </c>
      <c r="G186" t="inlineStr">
        <is>
          <t>BBC</t>
        </is>
      </c>
      <c r="H186" t="inlineStr">
        <is>
          <t>'TUDO POR ELES': MÃES SOLTEIRAS VENEZUELANAS ENFRENTAM SAGA DA MIGRAÇÃO EM BUSCA DE VIDA MELHOR PARA FILHOS</t>
        </is>
      </c>
      <c r="I186" t="inlineStr">
        <is>
          <t>'TUDO POR ELES': MÃES SOLTEIRAS VENEZUELANAS ENFRENTAM SAGA DA MIGRAÇÃO EM BUSCA DE VIDA MELHOR PARA FILHOS</t>
        </is>
      </c>
      <c r="J186" t="inlineStr"/>
      <c r="K186" t="n">
        <v>0</v>
      </c>
      <c r="L186" t="n">
        <v>1</v>
      </c>
      <c r="M186" t="n">
        <v>0</v>
      </c>
      <c r="N186" t="n">
        <v>0</v>
      </c>
      <c r="O186" t="n">
        <v>4</v>
      </c>
      <c r="P186">
        <f>HYPERLINK("https://g1.globo.com/mundo/noticia/2022/05/08/tudo-por-eles-maes-solteiras-venezuelanas-enfrentam-saga-da-migracao-em-busca-de-vida-melhor-para-filhos.ghtml", "URL")</f>
        <v/>
      </c>
      <c r="Q186">
        <f>HYPERLINK("https://raw.githubusercontent.com/marcosmapl/dataset_imigrantes/main/materias_filtered/g1/venezuelanos/2022/04_mai/html/g1_70c03074-2313-11ed-b24f-6dbe51e79fca_3010.html", "HTML")</f>
        <v/>
      </c>
      <c r="R186">
        <f>HYPERLINK("https://raw.githubusercontent.com/marcosmapl/dataset_imigrantes/main/materias_filtered/g1/venezuelanos/2022/04_mai/txt/g1_70c03074-2313-11ed-b24f-6dbe51e79fca_3010.txt", "TXT")</f>
        <v/>
      </c>
    </row>
    <row r="187">
      <c r="A187" s="1" t="n">
        <v>185</v>
      </c>
      <c r="B187" t="n">
        <v>2022</v>
      </c>
      <c r="C187" s="2" t="n">
        <v>44688.80708415509</v>
      </c>
      <c r="D187" t="inlineStr">
        <is>
          <t>G1</t>
        </is>
      </c>
      <c r="E187" t="inlineStr">
        <is>
          <t>VENEZUELANOS</t>
        </is>
      </c>
      <c r="F187" t="inlineStr">
        <is>
          <t>SANTARÉM E REGIÃO</t>
        </is>
      </c>
      <c r="G187" t="inlineStr">
        <is>
          <t>G1 SANTARÉM E REGIÃO — PA</t>
        </is>
      </c>
      <c r="H187" t="inlineStr">
        <is>
          <t>SANTARÉM PARTICIPA DE WORKSHOP DE BOAS PRÁTICAS VOLTADAS  ÀS POPULAÇÕES INDÍGENAS VENEZUELANAS</t>
        </is>
      </c>
      <c r="I187" t="inlineStr">
        <is>
          <t>EVENTO FOI REALIZADO EM MANAUS NOS DIAS 5 E 6 DE MAIO.</t>
        </is>
      </c>
      <c r="J187" t="inlineStr"/>
      <c r="K187" t="n">
        <v>0</v>
      </c>
      <c r="L187" t="n">
        <v>1</v>
      </c>
      <c r="M187" t="n">
        <v>0</v>
      </c>
      <c r="N187" t="n">
        <v>0</v>
      </c>
      <c r="O187" t="n">
        <v>5</v>
      </c>
      <c r="P187">
        <f>HYPERLINK("https://g1.globo.com/pa/santarem-regiao/noticia/2022/05/07/santarem-participa-de-workshop-de-boas-praticas-voltadas-as-populacoes-indigenas-venezuelanas.ghtml", "URL")</f>
        <v/>
      </c>
      <c r="Q187">
        <f>HYPERLINK("https://raw.githubusercontent.com/marcosmapl/dataset_imigrantes/main/materias_filtered/g1/venezuelanos/2022/04_mai/html/g1_74424536-2325-11ed-b24f-6dbe51e79fca_3914.html", "HTML")</f>
        <v/>
      </c>
      <c r="R187">
        <f>HYPERLINK("https://raw.githubusercontent.com/marcosmapl/dataset_imigrantes/main/materias_filtered/g1/venezuelanos/2022/04_mai/txt/g1_74424536-2325-11ed-b24f-6dbe51e79fca_3914.txt", "TXT")</f>
        <v/>
      </c>
    </row>
    <row r="188">
      <c r="A188" s="1" t="n">
        <v>186</v>
      </c>
      <c r="B188" t="n">
        <v>2022</v>
      </c>
      <c r="C188" s="2" t="n">
        <v>44688.45009259259</v>
      </c>
      <c r="D188" t="inlineStr">
        <is>
          <t>A CRITICA</t>
        </is>
      </c>
      <c r="E188" t="inlineStr">
        <is>
          <t>VENEZUELANOS</t>
        </is>
      </c>
      <c r="F188" t="inlineStr">
        <is>
          <t>MANAUS</t>
        </is>
      </c>
      <c r="G188" t="inlineStr">
        <is>
          <t>KAROL ROCHA</t>
        </is>
      </c>
      <c r="H188" t="inlineStr">
        <is>
          <t>MANAUS OBTEVE AVANÇOS NO ACESSO A DIREITOS DE MIGRANTES, AVALIA REPRESENTANTE DA ONU</t>
        </is>
      </c>
      <c r="I188" t="inlineStr">
        <is>
          <t>MEMBRO DA ACNUR NO BRASIL DIZ QUE ATUAÇÃO DE ORGANIZAÇÕES DO SETOR PÚBLICO E DA SOCIEDADE CIVIL VÊM GARANTINDO ACESSO A DIREITOS FUNDAMENTAIS COM DESTAQUE PARA INDÍGENAS VENEZUELANOS DA ETNIA WARAO</t>
        </is>
      </c>
      <c r="J188" t="inlineStr">
        <is>
          <t>ACNU, DIREITOS, MANAUS, REFUGIADOS, VENEZUELANOS</t>
        </is>
      </c>
      <c r="K188" t="n">
        <v>5</v>
      </c>
      <c r="L188" t="n">
        <v>1</v>
      </c>
      <c r="M188" t="n">
        <v>0</v>
      </c>
      <c r="N188" t="n">
        <v>0</v>
      </c>
      <c r="O188" t="n">
        <v>5</v>
      </c>
      <c r="P188">
        <f>HYPERLINK("https://www.acritica.com/manaus/manaus-obteve-avancos-no-acesso-a-direitos-de-migrantes-avalia-representante-da-onu-1.269212", "URL")</f>
        <v/>
      </c>
      <c r="Q188">
        <f>HYPERLINK("https://raw.githubusercontent.com/marcosmapl/dataset_imigrantes/main/materias_filtered/a_critica/venezuelanos/2022/04_mai/html/1.269212_589.html", "HTML")</f>
        <v/>
      </c>
      <c r="R188">
        <f>HYPERLINK("https://raw.githubusercontent.com/marcosmapl/dataset_imigrantes/main/materias_filtered/a_critica/venezuelanos/2022/04_mai/txt/1.269212_589.txt", "TXT")</f>
        <v/>
      </c>
    </row>
    <row r="189">
      <c r="A189" s="1" t="n">
        <v>187</v>
      </c>
      <c r="B189" t="n">
        <v>2022</v>
      </c>
      <c r="C189" s="2" t="n">
        <v>44688.42384259259</v>
      </c>
      <c r="D189" t="inlineStr">
        <is>
          <t>A CRITICA</t>
        </is>
      </c>
      <c r="E189" t="inlineStr">
        <is>
          <t>HAITIANOS</t>
        </is>
      </c>
      <c r="F189" t="inlineStr">
        <is>
          <t>MANAUS</t>
        </is>
      </c>
      <c r="G189" t="inlineStr">
        <is>
          <t>AMARILES GAMA</t>
        </is>
      </c>
      <c r="H189" t="inlineStr">
        <is>
          <t>HAITIANA VÍTIMA DE PERSEGUIÇÃO E ROUBOS EM MANAUS DESABAFA: “ME DEIXEM TRABALHAR EM PAZ”</t>
        </is>
      </c>
      <c r="I189" t="inlineStr">
        <is>
          <t>GRÁVIDA E MÃE DE TRÊS FILHOS, A HAITIANA REFUGIADA GLORIANE AIMABLE ANTOINE, DE 39 ANOS, RELATA COMO TEM SIDO VÍTIMA DE SEGUIDOS CORTES DE ENERGIA, ROUBOS DE FIOS ELÉTRICOS E PERSEGUIÇÃO RACIAL NA ZONA NORTE DE MANAUS</t>
        </is>
      </c>
      <c r="J189" t="inlineStr">
        <is>
          <t>HAITIANA, MANAUS, PRECONCEITO, REFUGIADA</t>
        </is>
      </c>
      <c r="K189" t="n">
        <v>4</v>
      </c>
      <c r="L189" t="n">
        <v>1</v>
      </c>
      <c r="M189" t="n">
        <v>0</v>
      </c>
      <c r="N189" t="n">
        <v>0</v>
      </c>
      <c r="O189" t="n">
        <v>4</v>
      </c>
      <c r="P189">
        <f>HYPERLINK("https://www.acritica.com/manaus/haitiana-vitima-de-perseguic-o-e-roubos-em-manaus-desabafa-me-deixem-trabalhar-em-paz-1.269209", "URL")</f>
        <v/>
      </c>
      <c r="Q189">
        <f>HYPERLINK("https://raw.githubusercontent.com/marcosmapl/dataset_imigrantes/main/materias_filtered/a_critica/haitianos/2022/04_mai/html/1.269209_1064.html", "HTML")</f>
        <v/>
      </c>
      <c r="R189">
        <f>HYPERLINK("https://raw.githubusercontent.com/marcosmapl/dataset_imigrantes/main/materias_filtered/a_critica/haitianos/2022/04_mai/txt/1.269209_1064.txt", "TXT")</f>
        <v/>
      </c>
    </row>
    <row r="190">
      <c r="A190" s="1" t="n">
        <v>188</v>
      </c>
      <c r="B190" t="n">
        <v>2022</v>
      </c>
      <c r="C190" s="2" t="n">
        <v>44687.74746439815</v>
      </c>
      <c r="D190" t="inlineStr">
        <is>
          <t>G1</t>
        </is>
      </c>
      <c r="E190" t="inlineStr">
        <is>
          <t>HAITIANOS</t>
        </is>
      </c>
      <c r="F190" t="inlineStr">
        <is>
          <t>MUNDO</t>
        </is>
      </c>
      <c r="G190" t="inlineStr">
        <is>
          <t>RFI</t>
        </is>
      </c>
      <c r="H190" t="inlineStr">
        <is>
          <t>NEGRA, GAY, IMIGRANTE, FORMADA EM COLUMBIA: VEJA QUEM É KARINE JEAN-PIERRE, A NOVA PORTA-VOZ DA CASA BRANCA</t>
        </is>
      </c>
      <c r="I190" t="inlineStr">
        <is>
          <t>EM 2018, ELA DISSE EM UMA ENTREVISTA: “SOU TUDO O QUE DONALD TRUMP ODEIA". QUATRO ANOS DEPOIS, ELA É A RESPONSÁVEL POR CONDUZIR O DISCURSO PRESIDENCIAL E RESPONDER DIARIAMENTE ÀS PERGUNTAS DA IMPRENSA NA CASA BRANCA.</t>
        </is>
      </c>
      <c r="J190" t="inlineStr"/>
      <c r="K190" t="n">
        <v>0</v>
      </c>
      <c r="L190" t="n">
        <v>2</v>
      </c>
      <c r="M190" t="n">
        <v>1</v>
      </c>
      <c r="N190" t="n">
        <v>0</v>
      </c>
      <c r="O190" t="n">
        <v>1</v>
      </c>
      <c r="P190">
        <f>HYPERLINK("https://g1.globo.com/mundo/noticia/2022/05/06/negra-gay-imigrante-formada-em-columbia-veja-quem-e-karine-jean-pierre-a-nova-porta-voz-da-casa-branca.ghtml", "URL")</f>
        <v/>
      </c>
      <c r="Q190">
        <f>HYPERLINK("https://raw.githubusercontent.com/marcosmapl/dataset_imigrantes/main/materias_filtered/g1/haitianos/2022/04_mai/html/g1_acc2524c-2312-11ed-b24f-6dbe51e79fca_2975.html", "HTML")</f>
        <v/>
      </c>
      <c r="R190">
        <f>HYPERLINK("https://raw.githubusercontent.com/marcosmapl/dataset_imigrantes/main/materias_filtered/g1/haitianos/2022/04_mai/txt/g1_acc2524c-2312-11ed-b24f-6dbe51e79fca_2975.txt", "TXT")</f>
        <v/>
      </c>
    </row>
    <row r="191">
      <c r="A191" s="1" t="n">
        <v>189</v>
      </c>
      <c r="B191" t="n">
        <v>2022</v>
      </c>
      <c r="C191" s="2" t="n">
        <v>44687.53520217592</v>
      </c>
      <c r="D191" t="inlineStr">
        <is>
          <t>G1</t>
        </is>
      </c>
      <c r="E191" t="inlineStr">
        <is>
          <t>HAITIANOS</t>
        </is>
      </c>
      <c r="F191" t="inlineStr">
        <is>
          <t>PARANÁ</t>
        </is>
      </c>
      <c r="G191" t="inlineStr">
        <is>
          <t>RPC CURITIBA</t>
        </is>
      </c>
      <c r="H191" t="inlineStr">
        <is>
          <t>MULHER É PRESA SUSPEITA DE MANDAR MATAR HAITIANO QUE A CONVIDOU PARA DANÇAR EM BAR DE CURITIBA, DIZ POLÍCIA</t>
        </is>
      </c>
      <c r="I191" t="inlineStr">
        <is>
          <t>CRIME OCORREU NO BAIRRO ALTO BOQUEIRÃO, NO FINAL DE FEVEREIRO, E FOI REGISTRADO POR CÂMERAS DE SEGURANÇA; IRMÃO DA SUSPEITA FOI QUEM ATIROU NA VÍTIMA, DE ACORDO COM DELEGADO.</t>
        </is>
      </c>
      <c r="J191" t="inlineStr"/>
      <c r="K191" t="n">
        <v>0</v>
      </c>
      <c r="L191" t="n">
        <v>2</v>
      </c>
      <c r="M191" t="n">
        <v>2</v>
      </c>
      <c r="N191" t="n">
        <v>0</v>
      </c>
      <c r="O191" t="n">
        <v>4</v>
      </c>
      <c r="P191">
        <f>HYPERLINK("https://g1.globo.com/pr/parana/noticia/2022/05/06/mulher-e-presa-suspeita-de-mandar-matar-haitiano-que-a-convidou-para-dancar-em-bar-de-curitiba-diz-policia.ghtml", "URL")</f>
        <v/>
      </c>
      <c r="Q191">
        <f>HYPERLINK("https://raw.githubusercontent.com/marcosmapl/dataset_imigrantes/main/materias_filtered/g1/haitianos/2022/04_mai/html/g1_40ec0222-22f7-11ed-b24f-6dbe51e79fca_2067.html", "HTML")</f>
        <v/>
      </c>
      <c r="R191">
        <f>HYPERLINK("https://raw.githubusercontent.com/marcosmapl/dataset_imigrantes/main/materias_filtered/g1/haitianos/2022/04_mai/txt/g1_40ec0222-22f7-11ed-b24f-6dbe51e79fca_2067.txt", "TXT")</f>
        <v/>
      </c>
    </row>
    <row r="192">
      <c r="A192" s="1" t="n">
        <v>190</v>
      </c>
      <c r="B192" t="n">
        <v>2022</v>
      </c>
      <c r="C192" s="2" t="n">
        <v>44684.31372685185</v>
      </c>
      <c r="D192" t="inlineStr">
        <is>
          <t>A CRITICA</t>
        </is>
      </c>
      <c r="E192" t="inlineStr">
        <is>
          <t>HAITIANOS</t>
        </is>
      </c>
      <c r="F192" t="inlineStr">
        <is>
          <t>GERAL</t>
        </is>
      </c>
      <c r="G192" t="inlineStr">
        <is>
          <t>AGÊNCIA BRASIL</t>
        </is>
      </c>
      <c r="H192" t="inlineStr">
        <is>
          <t>FAMÍLIAS FOGEM DE CASA DURANTE ONDA DE VIOLÊNCIA NO HAITI</t>
        </is>
      </c>
      <c r="I192" t="inlineStr">
        <is>
          <t>GANGUES LEVAM PÂNICO ÀS RUAS DE PORTO PRÍNCIPE</t>
        </is>
      </c>
      <c r="J192" t="inlineStr">
        <is>
          <t>HAITI, PORTO PRÍNCIPE, VIOLÊNCIA NO HAITI</t>
        </is>
      </c>
      <c r="K192" t="n">
        <v>3</v>
      </c>
      <c r="L192" t="n">
        <v>1</v>
      </c>
      <c r="M192" t="n">
        <v>0</v>
      </c>
      <c r="N192" t="n">
        <v>0</v>
      </c>
      <c r="O192" t="n">
        <v>3</v>
      </c>
      <c r="P192">
        <f>HYPERLINK("https://www.acritica.com/geral/familias-fogem-de-casa-durante-onda-de-violencia-no-haiti-1.268772", "URL")</f>
        <v/>
      </c>
      <c r="Q192">
        <f>HYPERLINK("https://raw.githubusercontent.com/marcosmapl/dataset_imigrantes/main/materias_filtered/a_critica/haitianos/2022/04_mai/html/1.268772_1375.html", "HTML")</f>
        <v/>
      </c>
      <c r="R192">
        <f>HYPERLINK("https://raw.githubusercontent.com/marcosmapl/dataset_imigrantes/main/materias_filtered/a_critica/haitianos/2022/04_mai/txt/1.268772_1375.txt", "TXT")</f>
        <v/>
      </c>
    </row>
    <row r="193">
      <c r="A193" s="1" t="n">
        <v>191</v>
      </c>
      <c r="B193" t="n">
        <v>2022</v>
      </c>
      <c r="C193" s="2" t="n">
        <v>44684.30684027778</v>
      </c>
      <c r="D193" t="inlineStr">
        <is>
          <t>A CRITICA</t>
        </is>
      </c>
      <c r="E193" t="inlineStr">
        <is>
          <t>VENEZUELANOS</t>
        </is>
      </c>
      <c r="F193" t="inlineStr">
        <is>
          <t>GERAL</t>
        </is>
      </c>
      <c r="G193" t="inlineStr">
        <is>
          <t>ACRITICA.COM</t>
        </is>
      </c>
      <c r="H193" t="inlineStr">
        <is>
          <t>INDÍGENAS VENEZUELANOS WARAO RECEBEM CAPACITAÇÃO SOBRE EDUCAÇÃO FINANCEIRA</t>
        </is>
      </c>
      <c r="I193" t="inlineStr">
        <is>
          <t>SERÃO ABORDADOS TEMAS COMO OS SISTEMAS FINANCEIRO E BANCÁRIO BRASILEIROS, ABERTURA DE CONTAS, TIPOS DE OPERAÇÃO DE CRÉDITO, PIX, DENTRE OUTROS</t>
        </is>
      </c>
      <c r="J193" t="inlineStr">
        <is>
          <t>INDÍGENAS WARAO</t>
        </is>
      </c>
      <c r="K193" t="n">
        <v>1</v>
      </c>
      <c r="L193" t="n">
        <v>1</v>
      </c>
      <c r="M193" t="n">
        <v>0</v>
      </c>
      <c r="N193" t="n">
        <v>0</v>
      </c>
      <c r="O193" t="n">
        <v>1</v>
      </c>
      <c r="P193">
        <f>HYPERLINK("https://www.acritica.com/geral/indigenas-venezuelanos-warao-recebem-capacitac-o-sobre-educac-o-financeira-1.268768", "URL")</f>
        <v/>
      </c>
      <c r="Q193">
        <f>HYPERLINK("https://raw.githubusercontent.com/marcosmapl/dataset_imigrantes/main/materias_filtered/a_critica/venezuelanos/2022/04_mai/html/1.268768_11.html", "HTML")</f>
        <v/>
      </c>
      <c r="R193">
        <f>HYPERLINK("https://raw.githubusercontent.com/marcosmapl/dataset_imigrantes/main/materias_filtered/a_critica/venezuelanos/2022/04_mai/txt/1.268768_11.txt", "TXT")</f>
        <v/>
      </c>
    </row>
    <row r="194">
      <c r="A194" s="1" t="n">
        <v>192</v>
      </c>
      <c r="B194" t="n">
        <v>2022</v>
      </c>
      <c r="C194" s="2" t="n">
        <v>44684.0052597338</v>
      </c>
      <c r="D194" t="inlineStr">
        <is>
          <t>G1</t>
        </is>
      </c>
      <c r="E194" t="inlineStr">
        <is>
          <t>HAITIANOS</t>
        </is>
      </c>
      <c r="F194" t="inlineStr">
        <is>
          <t>MUNDO</t>
        </is>
      </c>
      <c r="G194" t="inlineStr">
        <is>
          <t>REUTERS</t>
        </is>
      </c>
      <c r="H194" t="inlineStr">
        <is>
          <t>FAMÍLIAS HAITIANAS FOGEM DE CASA DURANTE ONDA DE VIOLÊNCIA EM PORTO PRÍNCIPE</t>
        </is>
      </c>
      <c r="I194" t="inlineStr">
        <is>
          <t>A VIOLÊNCIA DAS QUADRILHAS NO HAITI PIOROU DESDE O ASSASSINATO DO PRESIDENTE JOVENEL MOISE EM JULHO DE 2021.</t>
        </is>
      </c>
      <c r="J194" t="inlineStr"/>
      <c r="K194" t="n">
        <v>0</v>
      </c>
      <c r="L194" t="n">
        <v>3</v>
      </c>
      <c r="M194" t="n">
        <v>0</v>
      </c>
      <c r="N194" t="n">
        <v>0</v>
      </c>
      <c r="O194" t="n">
        <v>1</v>
      </c>
      <c r="P194">
        <f>HYPERLINK("https://g1.globo.com/mundo/noticia/2022/05/02/familias-haitianas-fogem-de-casa-durante-onda-de-violencia-em-porto-principe.ghtml", "URL")</f>
        <v/>
      </c>
      <c r="Q194">
        <f>HYPERLINK("https://raw.githubusercontent.com/marcosmapl/dataset_imigrantes/main/materias_filtered/g1/haitianos/2022/04_mai/html/g1_90996f60-22f9-11ed-b24f-6dbe51e79fca_2170.html", "HTML")</f>
        <v/>
      </c>
      <c r="R194">
        <f>HYPERLINK("https://raw.githubusercontent.com/marcosmapl/dataset_imigrantes/main/materias_filtered/g1/haitianos/2022/04_mai/txt/g1_90996f60-22f9-11ed-b24f-6dbe51e79fca_2170.txt", "TXT")</f>
        <v/>
      </c>
    </row>
    <row r="195">
      <c r="A195" s="1" t="n">
        <v>193</v>
      </c>
      <c r="B195" t="n">
        <v>2022</v>
      </c>
      <c r="C195" s="2" t="n">
        <v>44682.4221958912</v>
      </c>
      <c r="D195" t="inlineStr">
        <is>
          <t>G1</t>
        </is>
      </c>
      <c r="E195" t="inlineStr">
        <is>
          <t>VENEZUELANOS</t>
        </is>
      </c>
      <c r="F195" t="inlineStr">
        <is>
          <t>RORAIMA</t>
        </is>
      </c>
      <c r="G195" t="inlineStr">
        <is>
          <t>YARA RAMALHO, G1 RR — BOA VISTA</t>
        </is>
      </c>
      <c r="H195" t="inlineStr">
        <is>
          <t>EM 12 ANOS, QUASE 100 PESSOAS FORAM RESGATADAS DE TRABALHOS ANÁLOGOS À ESCRAVIDÃO EM RORAIMA</t>
        </is>
      </c>
      <c r="I195" t="inlineStr">
        <is>
          <t>MUNICÍPIO DE CANTÁ, NO NORTE DO ESTADO, OCUPA O TOPO DO RANKING ESTADUAL DE AUTOS DE INFRAÇÃO DURANTE INSPEÇÕES. CUBANOS, VENEZUELANOS E INDÍGENAS ESTÃO ENTRE AS PESSOAS RESGATADAS.</t>
        </is>
      </c>
      <c r="J195" t="inlineStr"/>
      <c r="K195" t="n">
        <v>0</v>
      </c>
      <c r="L195" t="n">
        <v>1</v>
      </c>
      <c r="M195" t="n">
        <v>0</v>
      </c>
      <c r="N195" t="n">
        <v>0</v>
      </c>
      <c r="O195" t="n">
        <v>8</v>
      </c>
      <c r="P195">
        <f>HYPERLINK("https://g1.globo.com/rr/roraima/noticia/2022/05/01/em-12-anos-quase-100-pessoas-foram-resgatadas-de-trabalhos-analogos-a-escravidao-em-roraima.ghtml", "URL")</f>
        <v/>
      </c>
      <c r="Q195">
        <f>HYPERLINK("https://raw.githubusercontent.com/marcosmapl/dataset_imigrantes/main/materias_filtered/g1/venezuelanos/2022/04_mai/html/g1_a830b170-2316-11ed-b24f-6dbe51e79fca_3162.html", "HTML")</f>
        <v/>
      </c>
      <c r="R195">
        <f>HYPERLINK("https://raw.githubusercontent.com/marcosmapl/dataset_imigrantes/main/materias_filtered/g1/venezuelanos/2022/04_mai/txt/g1_a830b170-2316-11ed-b24f-6dbe51e79fca_3162.txt", "TXT")</f>
        <v/>
      </c>
    </row>
    <row r="196">
      <c r="A196" s="1" t="n">
        <v>194</v>
      </c>
      <c r="B196" t="n">
        <v>2022</v>
      </c>
      <c r="C196" s="2" t="n">
        <v>44681.861875</v>
      </c>
      <c r="D196" t="inlineStr">
        <is>
          <t>A CRITICA</t>
        </is>
      </c>
      <c r="E196" t="inlineStr">
        <is>
          <t>VENEZUELANOS</t>
        </is>
      </c>
      <c r="F196" t="inlineStr">
        <is>
          <t>ESPORTES</t>
        </is>
      </c>
      <c r="G196" t="inlineStr">
        <is>
          <t>CAMILA LEONEL</t>
        </is>
      </c>
      <c r="H196" t="inlineStr">
        <is>
          <t>ISMAEL SILVA CONQUISTA PRATA NOS JOGOS SUL-AMERICANOS DA JUVENTUDE, NA ARGENTINA</t>
        </is>
      </c>
      <c r="I196" t="inlineStr">
        <is>
          <t>ATLETA AMAZONENSE DE WRESTLING SUBIU AO PÓDIO LOGO NA PRIMEIRA COMPETIÇÃO INTERNACIONAL QUE DISPUTOU</t>
        </is>
      </c>
      <c r="J196" t="inlineStr">
        <is>
          <t>ISMAEL SILVA, JOGOS OLÍMPICOS, JOGOS SUL-AMERICANOS DA JUVENTUDE, ROSÁRIO 2022</t>
        </is>
      </c>
      <c r="K196" t="n">
        <v>4</v>
      </c>
      <c r="L196" t="n">
        <v>1</v>
      </c>
      <c r="M196" t="n">
        <v>0</v>
      </c>
      <c r="N196" t="n">
        <v>0</v>
      </c>
      <c r="O196" t="n">
        <v>4</v>
      </c>
      <c r="P196">
        <f>HYPERLINK("https://www.acritica.com/esportes/ismael-silva-conquista-prata-nos-jogos-sul-americanos-da-juventude-na-argentina-1.268615", "URL")</f>
        <v/>
      </c>
      <c r="Q196">
        <f>HYPERLINK("https://raw.githubusercontent.com/marcosmapl/dataset_imigrantes/main/materias_filtered/a_critica/venezuelanos/2022/03_abr/html/1.268615_1111.html", "HTML")</f>
        <v/>
      </c>
      <c r="R196">
        <f>HYPERLINK("https://raw.githubusercontent.com/marcosmapl/dataset_imigrantes/main/materias_filtered/a_critica/venezuelanos/2022/03_abr/txt/1.268615_1111.txt", "TXT")</f>
        <v/>
      </c>
    </row>
    <row r="197">
      <c r="A197" s="1" t="n">
        <v>195</v>
      </c>
      <c r="B197" t="n">
        <v>2022</v>
      </c>
      <c r="C197" s="2" t="n">
        <v>44681.73530092592</v>
      </c>
      <c r="D197" t="inlineStr">
        <is>
          <t>A CRITICA</t>
        </is>
      </c>
      <c r="E197" t="inlineStr">
        <is>
          <t>VENEZUELANOS</t>
        </is>
      </c>
      <c r="F197" t="inlineStr">
        <is>
          <t>GERAL</t>
        </is>
      </c>
      <c r="G197" t="inlineStr">
        <is>
          <t>AGÊNCIA BRASIL</t>
        </is>
      </c>
      <c r="H197" t="inlineStr">
        <is>
          <t>BRASIL É O QUINTO PAÍS MAIS BUSCADO POR IMIGRANTES VENEZUELANOS</t>
        </is>
      </c>
      <c r="I197" t="inlineStr">
        <is>
          <t>DE JANEIRO DE 2017 A MARÇO DE 2022, O BRASIL RECEBEU 325.763 NATIVOS DA VENEZUELA QUE PERMANECERAM EM SOLO BRASILEIRO</t>
        </is>
      </c>
      <c r="J197" t="inlineStr">
        <is>
          <t>AMPARO, BRASIL, COPA DO MUNDO, IMIGRANTES, OPERAÇÃO ACOLHIDA, VENEZUELANOS</t>
        </is>
      </c>
      <c r="K197" t="n">
        <v>6</v>
      </c>
      <c r="L197" t="n">
        <v>1</v>
      </c>
      <c r="M197" t="n">
        <v>0</v>
      </c>
      <c r="N197" t="n">
        <v>0</v>
      </c>
      <c r="O197" t="n">
        <v>6</v>
      </c>
      <c r="P197">
        <f>HYPERLINK("https://www.acritica.com/geral/brasil-e-o-quinto-pais-mais-buscado-por-imigrantes-venezuelanos-1.268598", "URL")</f>
        <v/>
      </c>
      <c r="Q197">
        <f>HYPERLINK("https://raw.githubusercontent.com/marcosmapl/dataset_imigrantes/main/materias_filtered/a_critica/venezuelanos/2022/03_abr/html/1.268598_1272.html", "HTML")</f>
        <v/>
      </c>
      <c r="R197">
        <f>HYPERLINK("https://raw.githubusercontent.com/marcosmapl/dataset_imigrantes/main/materias_filtered/a_critica/venezuelanos/2022/03_abr/txt/1.268598_1272.txt", "TXT")</f>
        <v/>
      </c>
    </row>
    <row r="198">
      <c r="A198" s="1" t="n">
        <v>196</v>
      </c>
      <c r="B198" t="n">
        <v>2022</v>
      </c>
      <c r="C198" s="2" t="n">
        <v>44681.66260416667</v>
      </c>
      <c r="D198" t="inlineStr">
        <is>
          <t>A CRITICA</t>
        </is>
      </c>
      <c r="E198" t="inlineStr">
        <is>
          <t>VENEZUELANOS</t>
        </is>
      </c>
      <c r="F198" t="inlineStr">
        <is>
          <t>GERAL</t>
        </is>
      </c>
      <c r="G198" t="inlineStr">
        <is>
          <t>AGÊNCIA BRASIL</t>
        </is>
      </c>
      <c r="H198" t="inlineStr">
        <is>
          <t>TROPA DA MARINHA RECEBE CERTIFICAÇÃO MÁXIMA PARA MISSÕES DE PAZ DA ONU</t>
        </is>
      </c>
      <c r="I198" t="inlineStr">
        <is>
          <t>GRUPAMENTO BRASILEIRO É O ÚNICO DISPONÍVEL NO MOMENTO PARA ATUAÇÃO NO MUNDO</t>
        </is>
      </c>
      <c r="J198" t="inlineStr">
        <is>
          <t>CERTIFICAÇÃO, GRUPAMENTO OPERATIVO DE FUZILEIROS NAVAIS DE EMPREGO RÁPIDO EM FORÇA DE PAZ, MARINHA DO BRASIL, MISSÕES DE PAZ, ONU, TROPA</t>
        </is>
      </c>
      <c r="K198" t="n">
        <v>6</v>
      </c>
      <c r="L198" t="n">
        <v>1</v>
      </c>
      <c r="M198" t="n">
        <v>0</v>
      </c>
      <c r="N198" t="n">
        <v>0</v>
      </c>
      <c r="O198" t="n">
        <v>10</v>
      </c>
      <c r="P198">
        <f>HYPERLINK("https://www.acritica.com/geral/tropa-da-marinha-recebe-certificac-o-maxima-para-miss-es-de-paz-da-onu-1.268593", "URL")</f>
        <v/>
      </c>
      <c r="Q198">
        <f>HYPERLINK("https://raw.githubusercontent.com/marcosmapl/dataset_imigrantes/main/materias_filtered/a_critica/venezuelanos/2022/03_abr/html/1.268593_527.html", "HTML")</f>
        <v/>
      </c>
      <c r="R198">
        <f>HYPERLINK("https://raw.githubusercontent.com/marcosmapl/dataset_imigrantes/main/materias_filtered/a_critica/venezuelanos/2022/03_abr/txt/1.268593_527.txt", "TXT")</f>
        <v/>
      </c>
    </row>
    <row r="199">
      <c r="A199" s="1" t="n">
        <v>197</v>
      </c>
      <c r="B199" t="n">
        <v>2022</v>
      </c>
      <c r="C199" s="2" t="n">
        <v>44680.99221407407</v>
      </c>
      <c r="D199" t="inlineStr">
        <is>
          <t>G1</t>
        </is>
      </c>
      <c r="E199" t="inlineStr">
        <is>
          <t>VENEZUELANOS</t>
        </is>
      </c>
      <c r="F199" t="inlineStr">
        <is>
          <t>RIBEIRÃO E FRANCA</t>
        </is>
      </c>
      <c r="G199" t="inlineStr">
        <is>
          <t>EPTV 2</t>
        </is>
      </c>
      <c r="H199" t="inlineStr">
        <is>
          <t>GRUPO DE VENEZUELANOS CHEGA A RIBEIRÃO PRETO, SP, FICA EM PRAÇA E É ACOLHIDO EM ABRIGO DA PREFEITURA</t>
        </is>
      </c>
      <c r="I199" t="inlineStr">
        <is>
          <t>SÃO CINCO FAMÍLIAS COM ADULTOS, CRIANÇAS E IDOSOS DA ETNIA WARAO. SEGUNDO SECRETÁRIO DE JUSTIÇA, OUTROS REFUGIADOS VIVEM NA CIDADE, MAS NÃO HÁ NÚMERO EXATO POR PARTE DA PREFEITURA.</t>
        </is>
      </c>
      <c r="J199" t="inlineStr"/>
      <c r="K199" t="n">
        <v>0</v>
      </c>
      <c r="L199" t="n">
        <v>4</v>
      </c>
      <c r="M199" t="n">
        <v>1</v>
      </c>
      <c r="N199" t="n">
        <v>0</v>
      </c>
      <c r="O199" t="n">
        <v>3</v>
      </c>
      <c r="P199">
        <f>HYPERLINK("https://g1.globo.com/sp/ribeirao-preto-franca/noticia/2022/04/29/grupo-de-venezuelanos-chega-a-ribeirao-preto-sp-fica-em-praca-e-e-acolhido-em-abrigo-da-prefeitura.ghtml", "URL")</f>
        <v/>
      </c>
      <c r="Q199">
        <f>HYPERLINK("https://raw.githubusercontent.com/marcosmapl/dataset_imigrantes/main/materias_filtered/g1/venezuelanos/2022/03_abr/html/g1_02cc689c-230b-11ed-b24f-6dbe51e79fca_2538.html", "HTML")</f>
        <v/>
      </c>
      <c r="R199">
        <f>HYPERLINK("https://raw.githubusercontent.com/marcosmapl/dataset_imigrantes/main/materias_filtered/g1/venezuelanos/2022/03_abr/txt/g1_02cc689c-230b-11ed-b24f-6dbe51e79fca_2538.txt", "TXT")</f>
        <v/>
      </c>
    </row>
    <row r="200">
      <c r="A200" s="1" t="n">
        <v>198</v>
      </c>
      <c r="B200" t="n">
        <v>2022</v>
      </c>
      <c r="C200" s="2" t="n">
        <v>44679.91926688657</v>
      </c>
      <c r="D200" t="inlineStr">
        <is>
          <t>G1</t>
        </is>
      </c>
      <c r="E200" t="inlineStr">
        <is>
          <t>VENEZUELANOS</t>
        </is>
      </c>
      <c r="F200" t="inlineStr">
        <is>
          <t>RORAIMA</t>
        </is>
      </c>
      <c r="G200" t="inlineStr">
        <is>
          <t>G1 RR — BOA VISTA</t>
        </is>
      </c>
      <c r="H200" t="inlineStr">
        <is>
          <t>POLÍCIA IDENTIFICA SUSPEITO DE ESFAQUEAR HOMEM QUE MORREU EM FRENTE A LABORATÓRIO EM BOA VISTA</t>
        </is>
      </c>
      <c r="I200" t="inlineStr">
        <is>
          <t>VÍTIMA FOI IDENTIFICADA PRELIMINARMENTE COMO O VENEZUELANO YLFEDRO JOSÉ, APELIDADO DE "BARBICHA". BUSCAS PELO SUSPEITO SÃO REALIZADAS PELA DELEGACIA GERAL DE HOMICÍDIOS (DGH), QUE INVESTIGA O CASO.</t>
        </is>
      </c>
      <c r="J200" t="inlineStr"/>
      <c r="K200" t="n">
        <v>0</v>
      </c>
      <c r="L200" t="n">
        <v>2</v>
      </c>
      <c r="M200" t="n">
        <v>0</v>
      </c>
      <c r="N200" t="n">
        <v>0</v>
      </c>
      <c r="O200" t="n">
        <v>2</v>
      </c>
      <c r="P200">
        <f>HYPERLINK("https://g1.globo.com/rr/roraima/noticia/2022/04/28/policia-identifica-suspeito-de-esfaquear-homem-que-morreu-em-frente-a-laboratorio-em-boa-vista.ghtml", "URL")</f>
        <v/>
      </c>
      <c r="Q200">
        <f>HYPERLINK("https://raw.githubusercontent.com/marcosmapl/dataset_imigrantes/main/materias_filtered/g1/venezuelanos/2022/03_abr/html/g1_b5cda542-230f-11ed-b24f-6dbe51e79fca_2814.html", "HTML")</f>
        <v/>
      </c>
      <c r="R200">
        <f>HYPERLINK("https://raw.githubusercontent.com/marcosmapl/dataset_imigrantes/main/materias_filtered/g1/venezuelanos/2022/03_abr/txt/g1_b5cda542-230f-11ed-b24f-6dbe51e79fca_2814.txt", "TXT")</f>
        <v/>
      </c>
    </row>
    <row r="201">
      <c r="A201" s="1" t="n">
        <v>199</v>
      </c>
      <c r="B201" t="n">
        <v>2022</v>
      </c>
      <c r="C201" s="2" t="n">
        <v>44675.78901358796</v>
      </c>
      <c r="D201" t="inlineStr">
        <is>
          <t>G1</t>
        </is>
      </c>
      <c r="E201" t="inlineStr">
        <is>
          <t>VENEZUELANOS</t>
        </is>
      </c>
      <c r="F201" t="inlineStr">
        <is>
          <t>MUNDO</t>
        </is>
      </c>
      <c r="G201" t="inlineStr">
        <is>
          <t>BBC</t>
        </is>
      </c>
      <c r="H201" t="inlineStr">
        <is>
          <t>A HISTÓRIA DO BEBÊ VENEZUELANO MORTO POR UM DISPARO DA GUARDA COSTEIRA EM TRAVESSIA PARA TRINIDAD E TOBAGO</t>
        </is>
      </c>
      <c r="I201" t="inlineStr">
        <is>
          <t>YERMI SANTOYO PAGOU A UM COIOTE PARA LEVAR SUA FAMÍLIA PARA FORA DA VENEZUELA EM UM BARCO. PORÉM, A VIAGEM TERMINOU EM TRAGÉDIA.</t>
        </is>
      </c>
      <c r="J201" t="inlineStr"/>
      <c r="K201" t="n">
        <v>0</v>
      </c>
      <c r="L201" t="n">
        <v>1</v>
      </c>
      <c r="M201" t="n">
        <v>0</v>
      </c>
      <c r="N201" t="n">
        <v>0</v>
      </c>
      <c r="O201" t="n">
        <v>3</v>
      </c>
      <c r="P201">
        <f>HYPERLINK("https://g1.globo.com/mundo/noticia/2022/04/24/a-historia-do-bebe-venezuelano-morto-por-um-disparo-da-guarda-costeira-em-travessia-para-trinidad-e-tobago.ghtml", "URL")</f>
        <v/>
      </c>
      <c r="Q201">
        <f>HYPERLINK("https://raw.githubusercontent.com/marcosmapl/dataset_imigrantes/main/materias_filtered/g1/venezuelanos/2022/03_abr/html/g1_ff9e3302-2310-11ed-b24f-6dbe51e79fca_2890.html", "HTML")</f>
        <v/>
      </c>
      <c r="R201">
        <f>HYPERLINK("https://raw.githubusercontent.com/marcosmapl/dataset_imigrantes/main/materias_filtered/g1/venezuelanos/2022/03_abr/txt/g1_ff9e3302-2310-11ed-b24f-6dbe51e79fca_2890.txt", "TXT")</f>
        <v/>
      </c>
    </row>
    <row r="202">
      <c r="A202" s="1" t="n">
        <v>200</v>
      </c>
      <c r="B202" t="n">
        <v>2022</v>
      </c>
      <c r="C202" s="2" t="n">
        <v>44673.68428293982</v>
      </c>
      <c r="D202" t="inlineStr">
        <is>
          <t>G1</t>
        </is>
      </c>
      <c r="E202" t="inlineStr">
        <is>
          <t>HAITIANOS</t>
        </is>
      </c>
      <c r="F202" t="inlineStr">
        <is>
          <t>SÃO CARLOS E ARARAQUARA</t>
        </is>
      </c>
      <c r="G202" t="inlineStr">
        <is>
          <t>EPTV1</t>
        </is>
      </c>
      <c r="H202" t="inlineStr">
        <is>
          <t>APÓS INCÊNDIO EM BARRACÕES DE RIO CLARO, DEZENAS FICAM SEM EMPREGO E HAITIANOS PRECISAM DE AJUDA</t>
        </is>
      </c>
      <c r="I202" t="inlineStr">
        <is>
          <t>DEZ DAS 12 ESTRUTURAS DO LOCAL FORAM COMPLETAMENTE DESTRUÍDAS PELO FOGO, NA NOITE DE QUARTA-FEIRA (20), E RECICLADORES NÃO TÊM COMO TRABALHAR. ALGUNS TAMBÉM MORAVAM NOS BARRACÕES.</t>
        </is>
      </c>
      <c r="J202" t="inlineStr"/>
      <c r="K202" t="n">
        <v>0</v>
      </c>
      <c r="L202" t="n">
        <v>3</v>
      </c>
      <c r="M202" t="n">
        <v>1</v>
      </c>
      <c r="N202" t="n">
        <v>0</v>
      </c>
      <c r="O202" t="n">
        <v>6</v>
      </c>
      <c r="P202">
        <f>HYPERLINK("https://g1.globo.com/sp/sao-carlos-regiao/noticia/2022/04/22/apos-incendio-em-barracoes-de-rio-claro-dezenas-ficam-sem-emprego-e-haitianos-precisam-de-ajuda.ghtml", "URL")</f>
        <v/>
      </c>
      <c r="Q202">
        <f>HYPERLINK("https://raw.githubusercontent.com/marcosmapl/dataset_imigrantes/main/materias_filtered/g1/haitianos/2022/03_abr/html/g1_cd35b3d6-22f2-11ed-b24f-6dbe51e79fca_1814.html", "HTML")</f>
        <v/>
      </c>
      <c r="R202">
        <f>HYPERLINK("https://raw.githubusercontent.com/marcosmapl/dataset_imigrantes/main/materias_filtered/g1/haitianos/2022/03_abr/txt/g1_cd35b3d6-22f2-11ed-b24f-6dbe51e79fca_1814.txt", "TXT")</f>
        <v/>
      </c>
    </row>
    <row r="203">
      <c r="A203" s="1" t="n">
        <v>201</v>
      </c>
      <c r="B203" t="n">
        <v>2022</v>
      </c>
      <c r="C203" s="2" t="n">
        <v>44673.64575231481</v>
      </c>
      <c r="D203" t="inlineStr">
        <is>
          <t>A CRITICA</t>
        </is>
      </c>
      <c r="E203" t="inlineStr">
        <is>
          <t>VENEZUELANOS</t>
        </is>
      </c>
      <c r="F203" t="inlineStr">
        <is>
          <t>ENTRETENIMENTO</t>
        </is>
      </c>
      <c r="G203" t="inlineStr">
        <is>
          <t>GABRIELLY GENTIL</t>
        </is>
      </c>
      <c r="H203" t="inlineStr">
        <is>
          <t>RESTAURANTES SÃO A NOVA APOSTA DOS ESPAÇOS CULTURAIS EM MANAUS</t>
        </is>
      </c>
      <c r="I203" t="inlineStr">
        <is>
          <t>CONHEÇA ALGUNS DOS LOCAIS QUE APOSTAM EM AMBIENTES GASTRONÔMICOS NA CAPITAL AMAZONENSE</t>
        </is>
      </c>
      <c r="J203" t="inlineStr">
        <is>
          <t>AMBIENTES GASTRONÔMICOS, BIATÜWI, CABARET LONA ABERTA, CULTURA, ENTRETENIMENTO, ESPAÇOS CULTURAIS, JARDIM DE ROSELLE</t>
        </is>
      </c>
      <c r="K203" t="n">
        <v>7</v>
      </c>
      <c r="L203" t="n">
        <v>1</v>
      </c>
      <c r="M203" t="n">
        <v>0</v>
      </c>
      <c r="N203" t="n">
        <v>0</v>
      </c>
      <c r="O203" t="n">
        <v>7</v>
      </c>
      <c r="P203">
        <f>HYPERLINK("https://www.acritica.com/entretenimento/restaurantes-s-o-a-nova-aposta-dos-espacos-culturais-em-manaus-1.250034", "URL")</f>
        <v/>
      </c>
      <c r="Q203">
        <f>HYPERLINK("https://raw.githubusercontent.com/marcosmapl/dataset_imigrantes/main/materias_filtered/a_critica/venezuelanos/2022/03_abr/html/1.250034_1233.html", "HTML")</f>
        <v/>
      </c>
      <c r="R203">
        <f>HYPERLINK("https://raw.githubusercontent.com/marcosmapl/dataset_imigrantes/main/materias_filtered/a_critica/venezuelanos/2022/03_abr/txt/1.250034_1233.txt", "TXT")</f>
        <v/>
      </c>
    </row>
    <row r="204">
      <c r="A204" s="1" t="n">
        <v>202</v>
      </c>
      <c r="B204" t="n">
        <v>2022</v>
      </c>
      <c r="C204" s="2" t="n">
        <v>44673.59497991898</v>
      </c>
      <c r="D204" t="inlineStr">
        <is>
          <t>G1</t>
        </is>
      </c>
      <c r="E204" t="inlineStr">
        <is>
          <t>VENEZUELANOS</t>
        </is>
      </c>
      <c r="F204" t="inlineStr">
        <is>
          <t>RORAIMA</t>
        </is>
      </c>
      <c r="G204" t="inlineStr">
        <is>
          <t>G1 RR — BOA VISTA</t>
        </is>
      </c>
      <c r="H204" t="inlineStr">
        <is>
          <t>VENEZUELANO É BALEADO COM SETE TIROS APÓS DESENTENDIMENTO COM OUTRO MIGRANTE EM PRAÇA, EM BOA VISTA</t>
        </is>
      </c>
      <c r="I204" t="inlineStr">
        <is>
          <t>VÍTIMA, DE 24 ANOS, FOI ENCAMINHADA AO HGR, ONDE FOI CONTATADO QUE ELE FOI ATINGIDO NAS PERNAS, OMBRO, PESCOÇO E NÁDEGAS. SUSPEITO DOS DISPAROS FUGIU E NÃO FOI IDENTIFICADO.</t>
        </is>
      </c>
      <c r="J204" t="inlineStr"/>
      <c r="K204" t="n">
        <v>0</v>
      </c>
      <c r="L204" t="n">
        <v>1</v>
      </c>
      <c r="M204" t="n">
        <v>0</v>
      </c>
      <c r="N204" t="n">
        <v>0</v>
      </c>
      <c r="O204" t="n">
        <v>1</v>
      </c>
      <c r="P204">
        <f>HYPERLINK("https://g1.globo.com/rr/roraima/noticia/2022/04/22/venezuelano-e-baleado-com-sete-tiros-apos-desentendimento-com-outro-migrante-em-praca-em-boa-vista.ghtml", "URL")</f>
        <v/>
      </c>
      <c r="Q204">
        <f>HYPERLINK("https://raw.githubusercontent.com/marcosmapl/dataset_imigrantes/main/materias_filtered/g1/venezuelanos/2022/03_abr/html/g1_4a86bd44-232a-11ed-b24f-6dbe51e79fca_4169.html", "HTML")</f>
        <v/>
      </c>
      <c r="R204">
        <f>HYPERLINK("https://raw.githubusercontent.com/marcosmapl/dataset_imigrantes/main/materias_filtered/g1/venezuelanos/2022/03_abr/txt/g1_4a86bd44-232a-11ed-b24f-6dbe51e79fca_4169.txt", "TXT")</f>
        <v/>
      </c>
    </row>
    <row r="205">
      <c r="A205" s="1" t="n">
        <v>203</v>
      </c>
      <c r="B205" t="n">
        <v>2022</v>
      </c>
      <c r="C205" s="2" t="n">
        <v>44670.54166666666</v>
      </c>
      <c r="D205" t="inlineStr">
        <is>
          <t>PORTAL AMAZONIA</t>
        </is>
      </c>
      <c r="E205" t="inlineStr">
        <is>
          <t>VENEZUELANOS</t>
        </is>
      </c>
      <c r="F205" t="inlineStr">
        <is>
          <t>AMAZÔNIA,AMAZÔNIA INTERNACIONAL</t>
        </is>
      </c>
      <c r="G205" t="inlineStr">
        <is>
          <t>REDAÇÃO - JORNALISMO@PORTALAMAZONIA.COM</t>
        </is>
      </c>
      <c r="H205" t="inlineStr">
        <is>
          <t>MAIORIA DA POPULAÇÃO INDÍGENA VENEZUELANA SE REFUGIA EM RORAIMA, AMAZONAS E PARÁ, INFORMA ACNUR</t>
        </is>
      </c>
      <c r="I205" t="inlineStr">
        <is>
          <t>A AGÊNCIA DA ONU PARA REFUGIADOS (ACNUR) NO BRASIL ESTIMA QUE EXISTAM MAIS DE 7 MIL INDÍGENAS VENEZUELANOS NO TERRITÓRIO BRASILEIRO, SENDO QUE 819 JÁ FORAM RECONHECIDOS COMO REFUGIADOS PELO GOVERNO FEDERAL.</t>
        </is>
      </c>
      <c r="J205" t="inlineStr">
        <is>
          <t>ACNUR, ACNUR ONU, AMAZÔNIA, AMAZÔNIA INTERNACIONAL, REFUGIADOS, REFUGIADOS E MIGRANTES EM MANAUS, REFUGIADOS VENEZUELANOS, VENEZUELANOS, VENEZUELANOS NO BRASIL</t>
        </is>
      </c>
      <c r="K205" t="n">
        <v>9</v>
      </c>
      <c r="L205" t="n">
        <v>4</v>
      </c>
      <c r="M205" t="n">
        <v>1</v>
      </c>
      <c r="N205" t="n">
        <v>0</v>
      </c>
      <c r="O205" t="n">
        <v>25</v>
      </c>
      <c r="P205">
        <f>HYPERLINK("https://portalamazonia.com/amazonia/maioria-da-populacao-indigena-venezuelana-se-refugia-em-roraima-amazonas-e-para-informa-acnur", "URL")</f>
        <v/>
      </c>
      <c r="Q205">
        <f>HYPERLINK("https://raw.githubusercontent.com/marcosmapl/dataset_imigrantes/main/materias_filtered/portal_amazonia/venezuelanos/2022/03_abr/html/35504.86380_1405.html", "HTML")</f>
        <v/>
      </c>
      <c r="R205">
        <f>HYPERLINK("https://raw.githubusercontent.com/marcosmapl/dataset_imigrantes/main/materias_filtered/portal_amazonia/venezuelanos/2022/03_abr/txt/35504.86380_1405.txt", "TXT")</f>
        <v/>
      </c>
    </row>
    <row r="206">
      <c r="A206" s="1" t="n">
        <v>204</v>
      </c>
      <c r="B206" t="n">
        <v>2022</v>
      </c>
      <c r="C206" s="2" t="n">
        <v>44670.33680555555</v>
      </c>
      <c r="D206" t="inlineStr">
        <is>
          <t>PORTAL AMAZONIA</t>
        </is>
      </c>
      <c r="E206" t="inlineStr">
        <is>
          <t>VENEZUELANOS</t>
        </is>
      </c>
      <c r="F206" t="inlineStr">
        <is>
          <t>AMAZÔNIA,ARTE</t>
        </is>
      </c>
      <c r="G206" t="inlineStr">
        <is>
          <t>DIEGO OLIVEIRA - JORNALISMO@PORTALAMAZONIA.COM</t>
        </is>
      </c>
      <c r="H206" t="inlineStr">
        <is>
          <t>NOVE PRODUÇÕES PARA CONHECER A LUTA DOS POVOS ORIGINÁRIOS DA AMAZÔNIA</t>
        </is>
      </c>
      <c r="I206" t="inlineStr">
        <is>
          <t>PRINCIPAIS OBSTÁCULOS QUE OS INDÍGENAS DA AMAZÔNIA ENFRENTAM PARA MANTER SUA CULTURA SÃO EXPOSTOS EM PRODUÇÕES QUE BUSCAM DAR VISIBILIDADE AOS POVOS ORIGINÁRIOS.</t>
        </is>
      </c>
      <c r="J206" t="inlineStr">
        <is>
          <t>AMAZÔNIA, ARTE, CULTURA, DOCUMENTÁRIOS, DOCUMENTÁRIO SOBRE OS POVOS INDIGENAS, INDÍGENAS, POVOS TRADICIONAIS DA AMAZONIA</t>
        </is>
      </c>
      <c r="K206" t="n">
        <v>7</v>
      </c>
      <c r="L206" t="n">
        <v>4</v>
      </c>
      <c r="M206" t="n">
        <v>9</v>
      </c>
      <c r="N206" t="n">
        <v>0</v>
      </c>
      <c r="O206" t="n">
        <v>22</v>
      </c>
      <c r="P206">
        <f>HYPERLINK("https://portalamazonia.com/amazonia/nove-producoes-para-conhecer-a-luta-dos-povos-originarios-da-amazonia", "URL")</f>
        <v/>
      </c>
      <c r="Q206">
        <f>HYPERLINK("https://raw.githubusercontent.com/marcosmapl/dataset_imigrantes/main/materias_filtered/portal_amazonia/venezuelanos/2022/03_abr/html/35461.86371_1474.html", "HTML")</f>
        <v/>
      </c>
      <c r="R206">
        <f>HYPERLINK("https://raw.githubusercontent.com/marcosmapl/dataset_imigrantes/main/materias_filtered/portal_amazonia/venezuelanos/2022/03_abr/txt/35461.86371_1474.txt", "TXT")</f>
        <v/>
      </c>
    </row>
    <row r="207">
      <c r="A207" s="1" t="n">
        <v>205</v>
      </c>
      <c r="B207" t="n">
        <v>2022</v>
      </c>
      <c r="C207" s="2" t="n">
        <v>44669.83007635417</v>
      </c>
      <c r="D207" t="inlineStr">
        <is>
          <t>G1</t>
        </is>
      </c>
      <c r="E207" t="inlineStr">
        <is>
          <t>VENEZUELANOS</t>
        </is>
      </c>
      <c r="F207" t="inlineStr">
        <is>
          <t>ECONOMIA</t>
        </is>
      </c>
      <c r="G207" t="inlineStr">
        <is>
          <t>BBC</t>
        </is>
      </c>
      <c r="H207" t="inlineStr">
        <is>
          <t>INFLAÇÃO ACELERADA APROXIMA ARGENTINA DA VENEZUELA</t>
        </is>
      </c>
      <c r="I207" t="inlineStr">
        <is>
          <t>ÍNDICE MENSAL ATINGIU MAIOR VALOR EM DUAS DÉCADAS NO ÚLTIMO MÊS DE MARÇO.</t>
        </is>
      </c>
      <c r="J207" t="inlineStr"/>
      <c r="K207" t="n">
        <v>0</v>
      </c>
      <c r="L207" t="n">
        <v>2</v>
      </c>
      <c r="M207" t="n">
        <v>0</v>
      </c>
      <c r="N207" t="n">
        <v>0</v>
      </c>
      <c r="O207" t="n">
        <v>6</v>
      </c>
      <c r="P207">
        <f>HYPERLINK("https://g1.globo.com/economia/noticia/2022/04/18/inflacao-acelerada-aproxima-argentina-da-venezuela.ghtml", "URL")</f>
        <v/>
      </c>
      <c r="Q207">
        <f>HYPERLINK("https://raw.githubusercontent.com/marcosmapl/dataset_imigrantes/main/materias_filtered/g1/venezuelanos/2022/03_abr/html/g1_d6120c6c-2323-11ed-b24f-6dbe51e79fca_3831.html", "HTML")</f>
        <v/>
      </c>
      <c r="R207">
        <f>HYPERLINK("https://raw.githubusercontent.com/marcosmapl/dataset_imigrantes/main/materias_filtered/g1/venezuelanos/2022/03_abr/txt/g1_d6120c6c-2323-11ed-b24f-6dbe51e79fca_3831.txt", "TXT")</f>
        <v/>
      </c>
    </row>
    <row r="208">
      <c r="A208" s="1" t="n">
        <v>206</v>
      </c>
      <c r="B208" t="n">
        <v>2022</v>
      </c>
      <c r="C208" s="2" t="n">
        <v>44668.33333333334</v>
      </c>
      <c r="D208" t="inlineStr">
        <is>
          <t>PORTAL AMAZONIA</t>
        </is>
      </c>
      <c r="E208" t="inlineStr">
        <is>
          <t>VENEZUELANOS</t>
        </is>
      </c>
      <c r="F208" t="inlineStr">
        <is>
          <t>ARTE</t>
        </is>
      </c>
      <c r="G208" t="inlineStr">
        <is>
          <t>DIEGO OLIVEIRA - JORNALISMO@PORTALAMAZONIA.COM</t>
        </is>
      </c>
      <c r="H208" t="inlineStr">
        <is>
          <t>&amp;QUOT;ISSO É CALYPSO!&amp;QUOT;: ASSISTA HOMENAGEM DE ESCOLA DE DANÇA PARA JOELMA</t>
        </is>
      </c>
      <c r="I208" t="inlineStr">
        <is>
          <t>AO TODO, FORAM TRÊS SEMANAS DE PRÉ-PRODUÇÃO E QUATRO ENSAIOS PARA PREPARAR OS 60 BAILARINOS QUE PARTICIPARAM DA PERFORMANCE EM HOMENAGEM A CANTORA PARAENSE.</t>
        </is>
      </c>
      <c r="J208" t="inlineStr">
        <is>
          <t>AMAZONAS, ARTE, CALYPSO, CULTURA, DANÇA, DANÇA JOELMA, HOMENAGEM, HOMENAGEM A JOELMA, ISSO É CALYPSO, MUSICA, PARÁ</t>
        </is>
      </c>
      <c r="K208" t="n">
        <v>11</v>
      </c>
      <c r="L208" t="n">
        <v>4</v>
      </c>
      <c r="M208" t="n">
        <v>0</v>
      </c>
      <c r="N208" t="n">
        <v>0</v>
      </c>
      <c r="O208" t="n">
        <v>19</v>
      </c>
      <c r="P208">
        <f>HYPERLINK("https://portalamazonia.com/cultura/arte/isso-e-calypso-escola-de-danca-homenageia-joelma-em-video-assista", "URL")</f>
        <v/>
      </c>
      <c r="Q208">
        <f>HYPERLINK("https://raw.githubusercontent.com/marcosmapl/dataset_imigrantes/main/materias_filtered/portal_amazonia/venezuelanos/2022/03_abr/html/35478.86339_1544.html", "HTML")</f>
        <v/>
      </c>
      <c r="R208">
        <f>HYPERLINK("https://raw.githubusercontent.com/marcosmapl/dataset_imigrantes/main/materias_filtered/portal_amazonia/venezuelanos/2022/03_abr/txt/35478.86339_1544.txt", "TXT")</f>
        <v/>
      </c>
    </row>
    <row r="209">
      <c r="A209" s="1" t="n">
        <v>207</v>
      </c>
      <c r="B209" t="n">
        <v>2022</v>
      </c>
      <c r="C209" s="2" t="n">
        <v>44667.64839565972</v>
      </c>
      <c r="D209" t="inlineStr">
        <is>
          <t>G1</t>
        </is>
      </c>
      <c r="E209" t="inlineStr">
        <is>
          <t>VENEZUELANOS</t>
        </is>
      </c>
      <c r="F209" t="inlineStr">
        <is>
          <t>SANTARÉM E REGIÃO</t>
        </is>
      </c>
      <c r="G209" t="inlineStr">
        <is>
          <t>G1 SANTARÉM E REGIÃO — PA</t>
        </is>
      </c>
      <c r="H209" t="inlineStr">
        <is>
          <t>DECRETO DE EMERGÊNCIA SOCIAL BUSCA RECURSOS PARA MANTER ATENDIMENTOS A REFUGIADOS VENEZUELANOS EM SANTARÉM</t>
        </is>
      </c>
      <c r="I209" t="inlineStr">
        <is>
          <t>PROTOCOLO FOI ENVIADO AO SETOR DE IMIGRAÇÃO DO MINISTÉRIO DA CIDADANIA PARA QUE OS RECURSOS POSSAM SER RECEBIDOS E DESTINADOS À EXECUÇÃO DAS ATIVIDADES.</t>
        </is>
      </c>
      <c r="J209" t="inlineStr"/>
      <c r="K209" t="n">
        <v>0</v>
      </c>
      <c r="L209" t="n">
        <v>1</v>
      </c>
      <c r="M209" t="n">
        <v>0</v>
      </c>
      <c r="N209" t="n">
        <v>0</v>
      </c>
      <c r="O209" t="n">
        <v>4</v>
      </c>
      <c r="P209">
        <f>HYPERLINK("https://g1.globo.com/pa/santarem-regiao/noticia/2022/04/16/decreto-de-emergencia-social-busca-recursos-para-manter-atendimentos-a-refugiados-venezuelanos-em-santarem.ghtml", "URL")</f>
        <v/>
      </c>
      <c r="Q209">
        <f>HYPERLINK("https://raw.githubusercontent.com/marcosmapl/dataset_imigrantes/main/materias_filtered/g1/venezuelanos/2022/03_abr/html/g1_17d89f3c-2309-11ed-b24f-6dbe51e79fca_2425.html", "HTML")</f>
        <v/>
      </c>
      <c r="R209">
        <f>HYPERLINK("https://raw.githubusercontent.com/marcosmapl/dataset_imigrantes/main/materias_filtered/g1/venezuelanos/2022/03_abr/txt/g1_17d89f3c-2309-11ed-b24f-6dbe51e79fca_2425.txt", "TXT")</f>
        <v/>
      </c>
    </row>
    <row r="210">
      <c r="A210" s="1" t="n">
        <v>208</v>
      </c>
      <c r="B210" t="n">
        <v>2022</v>
      </c>
      <c r="C210" s="2" t="n">
        <v>44666.66670032407</v>
      </c>
      <c r="D210" t="inlineStr">
        <is>
          <t>G1</t>
        </is>
      </c>
      <c r="E210" t="inlineStr">
        <is>
          <t>VENEZUELANOS</t>
        </is>
      </c>
      <c r="F210" t="inlineStr">
        <is>
          <t>RORAIMA</t>
        </is>
      </c>
      <c r="G210" t="inlineStr">
        <is>
          <t>G1 RR — BOA VISTA</t>
        </is>
      </c>
      <c r="H210" t="inlineStr">
        <is>
          <t>TRIBUNAL DE CONTAS DETERMINA QUE IBGE INCLUA INDÍGENAS E MIGRANTES VENEZUELANOS NA PENAD DE RR</t>
        </is>
      </c>
      <c r="I210" t="inlineStr">
        <is>
          <t>PESQUISA NACIONAL POR AMOSTRA DOMICILIAR CONTÍNUA (PNAD) DEFINE A RENDA DOMICILIAR PER CAPITA DE CADA ESTADO E APONTA OS VALORES QUE O ESTADO RECEBE DO FUNDO DE PARTICIPAÇÃO ESTADUAL (FPE). DECISÃO OCORREU APÓS PEDIDO DO GOVERNO DE RORAIMA.</t>
        </is>
      </c>
      <c r="J210" t="inlineStr"/>
      <c r="K210" t="n">
        <v>0</v>
      </c>
      <c r="L210" t="n">
        <v>1</v>
      </c>
      <c r="M210" t="n">
        <v>0</v>
      </c>
      <c r="N210" t="n">
        <v>0</v>
      </c>
      <c r="O210" t="n">
        <v>4</v>
      </c>
      <c r="P210">
        <f>HYPERLINK("https://g1.globo.com/rr/roraima/noticia/2022/04/15/tribunal-de-contas-determina-que-ibge-inclua-indigenas-e-migrantes-venezuelanos-na-penad-de-rr.ghtml", "URL")</f>
        <v/>
      </c>
      <c r="Q210">
        <f>HYPERLINK("https://raw.githubusercontent.com/marcosmapl/dataset_imigrantes/main/materias_filtered/g1/venezuelanos/2022/03_abr/html/g1_931455b8-2324-11ed-b24f-6dbe51e79fca_3878.html", "HTML")</f>
        <v/>
      </c>
      <c r="R210">
        <f>HYPERLINK("https://raw.githubusercontent.com/marcosmapl/dataset_imigrantes/main/materias_filtered/g1/venezuelanos/2022/03_abr/txt/g1_931455b8-2324-11ed-b24f-6dbe51e79fca_3878.txt", "TXT")</f>
        <v/>
      </c>
    </row>
    <row r="211">
      <c r="A211" s="1" t="n">
        <v>209</v>
      </c>
      <c r="B211" t="n">
        <v>2022</v>
      </c>
      <c r="C211" s="2" t="n">
        <v>44666.599375</v>
      </c>
      <c r="D211" t="inlineStr">
        <is>
          <t>A CRITICA</t>
        </is>
      </c>
      <c r="E211" t="inlineStr">
        <is>
          <t>VENEZUELANOS</t>
        </is>
      </c>
      <c r="F211" t="inlineStr">
        <is>
          <t>ESPORTES</t>
        </is>
      </c>
      <c r="G211" t="inlineStr">
        <is>
          <t>JOÃO FELIPE</t>
        </is>
      </c>
      <c r="H211" t="inlineStr">
        <is>
          <t>AMAZONAS FC TEM REFORÇO INTERNACIONAL PARA O ATAQUE NA SÉRIE D</t>
        </is>
      </c>
      <c r="I211" t="inlineStr">
        <is>
          <t>O ATACANTE VENEZUELANO FREYN FIGUEROA, DE 23 ANOS, FOI ANUNCIADO PELO CLUBE NA NOITE DESTA QUINTA-FEIRA (14)</t>
        </is>
      </c>
      <c r="J211" t="inlineStr">
        <is>
          <t>AMAZONAS FC, FREYN FIGUEROA, FUTEBOL AMAZONENSE, SÉRIE D</t>
        </is>
      </c>
      <c r="K211" t="n">
        <v>4</v>
      </c>
      <c r="L211" t="n">
        <v>1</v>
      </c>
      <c r="M211" t="n">
        <v>0</v>
      </c>
      <c r="N211" t="n">
        <v>0</v>
      </c>
      <c r="O211" t="n">
        <v>4</v>
      </c>
      <c r="P211">
        <f>HYPERLINK("https://www.acritica.com/esportes/amazonas-fc-tem-reforco-internacional-para-o-ataque-na-serie-d-1.249445", "URL")</f>
        <v/>
      </c>
      <c r="Q211">
        <f>HYPERLINK("https://raw.githubusercontent.com/marcosmapl/dataset_imigrantes/main/materias_filtered/a_critica/venezuelanos/2022/03_abr/html/1.249445_628.html", "HTML")</f>
        <v/>
      </c>
      <c r="R211">
        <f>HYPERLINK("https://raw.githubusercontent.com/marcosmapl/dataset_imigrantes/main/materias_filtered/a_critica/venezuelanos/2022/03_abr/txt/1.249445_628.txt", "TXT")</f>
        <v/>
      </c>
    </row>
    <row r="212">
      <c r="A212" s="1" t="n">
        <v>210</v>
      </c>
      <c r="B212" t="n">
        <v>2022</v>
      </c>
      <c r="C212" s="2" t="n">
        <v>44664.64336753472</v>
      </c>
      <c r="D212" t="inlineStr">
        <is>
          <t>G1</t>
        </is>
      </c>
      <c r="E212" t="inlineStr">
        <is>
          <t>VENEZUELANOS</t>
        </is>
      </c>
      <c r="F212" t="inlineStr">
        <is>
          <t>RORAIMA</t>
        </is>
      </c>
      <c r="G212" t="inlineStr">
        <is>
          <t>G1 RR — BOA VISTA</t>
        </is>
      </c>
      <c r="H212" t="inlineStr">
        <is>
          <t>HOMEM É PRESO POR MORTE DE VENEZUELANO BALEADO ENQUANTO EXTRAIA MADEIRA NO INTERIOR DE RR</t>
        </is>
      </c>
      <c r="I212" t="inlineStr">
        <is>
          <t>O CRIME OCORREU NO DIA 7 DE FEVEREIRO, EM UMA PROPRIEDADE NA VICINAL 21, VILA PAU BRASIL, NO MUNICÍPIO DO CANTÁ. A VÍTIMA, ANDRU JESUS KEI PIAMO, MORREU NO LOCAL.</t>
        </is>
      </c>
      <c r="J212" t="inlineStr"/>
      <c r="K212" t="n">
        <v>0</v>
      </c>
      <c r="L212" t="n">
        <v>1</v>
      </c>
      <c r="M212" t="n">
        <v>0</v>
      </c>
      <c r="N212" t="n">
        <v>0</v>
      </c>
      <c r="O212" t="n">
        <v>1</v>
      </c>
      <c r="P212">
        <f>HYPERLINK("https://g1.globo.com/rr/roraima/noticia/2022/04/13/homem-e-preso-por-morte-de-venezuelano-baleado-enquanto-extraia-madeira-no-interior-de-rr.ghtml", "URL")</f>
        <v/>
      </c>
      <c r="Q212">
        <f>HYPERLINK("https://raw.githubusercontent.com/marcosmapl/dataset_imigrantes/main/materias_filtered/g1/venezuelanos/2022/03_abr/html/g1_37d3550a-2324-11ed-b24f-6dbe51e79fca_3856.html", "HTML")</f>
        <v/>
      </c>
      <c r="R212">
        <f>HYPERLINK("https://raw.githubusercontent.com/marcosmapl/dataset_imigrantes/main/materias_filtered/g1/venezuelanos/2022/03_abr/txt/g1_37d3550a-2324-11ed-b24f-6dbe51e79fca_3856.txt", "TXT")</f>
        <v/>
      </c>
    </row>
    <row r="213">
      <c r="A213" s="1" t="n">
        <v>211</v>
      </c>
      <c r="B213" t="n">
        <v>2022</v>
      </c>
      <c r="C213" s="2" t="n">
        <v>44663.60931188658</v>
      </c>
      <c r="D213" t="inlineStr">
        <is>
          <t>G1</t>
        </is>
      </c>
      <c r="E213" t="inlineStr">
        <is>
          <t>VENEZUELANOS</t>
        </is>
      </c>
      <c r="F213" t="inlineStr">
        <is>
          <t>RORAIMA</t>
        </is>
      </c>
      <c r="G213" t="inlineStr">
        <is>
          <t>G1 RR — BOA VISTA</t>
        </is>
      </c>
      <c r="H213" t="inlineStr">
        <is>
          <t>FORAGIDO POR SUSPEITA DE MATAR O PAI EM RORAIMA É PRESO PELA INTERPOL NA VENEZUELA</t>
        </is>
      </c>
      <c r="I213" t="inlineStr">
        <is>
          <t>O VENEZUELANO, DE 19 ANOS, É PRINCIPAL SUSPEITO DO ASSASSINATO DO PRÓPRIO PAI, CEZAR BENN. ELE FOI PRESO NO ESTADO DE ARAGUA, NA VENEZUELA, APÓS UMA ABORDAGEM NO SETOR LAS PARCELAS DE EL ROBLE, NA CIDADE DE SAN FÉLIX.</t>
        </is>
      </c>
      <c r="J213" t="inlineStr"/>
      <c r="K213" t="n">
        <v>0</v>
      </c>
      <c r="L213" t="n">
        <v>1</v>
      </c>
      <c r="M213" t="n">
        <v>0</v>
      </c>
      <c r="N213" t="n">
        <v>0</v>
      </c>
      <c r="O213" t="n">
        <v>3</v>
      </c>
      <c r="P213">
        <f>HYPERLINK("https://g1.globo.com/rr/roraima/noticia/2022/04/12/foragido-por-suspeita-de-matar-o-pai-em-roraima-e-preso-pela-interpol-na-venezuela.ghtml", "URL")</f>
        <v/>
      </c>
      <c r="Q213">
        <f>HYPERLINK("https://raw.githubusercontent.com/marcosmapl/dataset_imigrantes/main/materias_filtered/g1/venezuelanos/2022/03_abr/html/g1_b4703136-2316-11ed-b24f-6dbe51e79fca_3164.html", "HTML")</f>
        <v/>
      </c>
      <c r="R213">
        <f>HYPERLINK("https://raw.githubusercontent.com/marcosmapl/dataset_imigrantes/main/materias_filtered/g1/venezuelanos/2022/03_abr/txt/g1_b4703136-2316-11ed-b24f-6dbe51e79fca_3164.txt", "TXT")</f>
        <v/>
      </c>
    </row>
    <row r="214">
      <c r="A214" s="1" t="n">
        <v>212</v>
      </c>
      <c r="B214" t="n">
        <v>2022</v>
      </c>
      <c r="C214" s="2" t="n">
        <v>44663.56956350694</v>
      </c>
      <c r="D214" t="inlineStr">
        <is>
          <t>G1</t>
        </is>
      </c>
      <c r="E214" t="inlineStr">
        <is>
          <t>VENEZUELANOS</t>
        </is>
      </c>
      <c r="F214" t="inlineStr">
        <is>
          <t>RORAIMA</t>
        </is>
      </c>
      <c r="G214" t="inlineStr">
        <is>
          <t>YARA RAMALHO, G1 RR — BOA VISTA</t>
        </is>
      </c>
      <c r="H214" t="inlineStr">
        <is>
          <t>FUNAI DIZ QUE DESCONHECE ESTUDO COM RELATOS DE ABUSO DE MENINAS YANOMAMI E ATRIBUI AUMENTO DE GARIMPO À MIGRAÇÃO VENEZUELANA</t>
        </is>
      </c>
      <c r="I214" t="inlineStr">
        <is>
          <t>RELATÓRIO FOI DIVULGADO PELA HUTUKARA ASSOCIAÇÃO YANOMAMI (HAY) NESTA SEGUNDA-FEIRA (11). ENTIDADE AINDA NÃO SE PRONUNCIOU SOBRE A MANIFESTAÇÃO DA FUNDAÇÃO NACIONAL DO ÍNDIO.</t>
        </is>
      </c>
      <c r="J214" t="inlineStr"/>
      <c r="K214" t="n">
        <v>0</v>
      </c>
      <c r="L214" t="n">
        <v>2</v>
      </c>
      <c r="M214" t="n">
        <v>1</v>
      </c>
      <c r="N214" t="n">
        <v>0</v>
      </c>
      <c r="O214" t="n">
        <v>20</v>
      </c>
      <c r="P214">
        <f>HYPERLINK("https://g1.globo.com/rr/roraima/noticia/2022/04/12/funai-nao-reconhece-estudo-com-relatos-de-abuso-de-meninas-yanomami-e-atribuiu-aumento-de-garimpo-a-migracao-venezuelana.ghtml", "URL")</f>
        <v/>
      </c>
      <c r="Q214">
        <f>HYPERLINK("https://raw.githubusercontent.com/marcosmapl/dataset_imigrantes/main/materias_filtered/g1/venezuelanos/2022/03_abr/html/g1_ec37034a-2318-11ed-b24f-6dbe51e79fca_3288.html", "HTML")</f>
        <v/>
      </c>
      <c r="R214">
        <f>HYPERLINK("https://raw.githubusercontent.com/marcosmapl/dataset_imigrantes/main/materias_filtered/g1/venezuelanos/2022/03_abr/txt/g1_ec37034a-2318-11ed-b24f-6dbe51e79fca_3288.txt", "TXT")</f>
        <v/>
      </c>
    </row>
    <row r="215">
      <c r="A215" s="1" t="n">
        <v>213</v>
      </c>
      <c r="B215" t="n">
        <v>2022</v>
      </c>
      <c r="C215" s="2" t="n">
        <v>44662.625</v>
      </c>
      <c r="D215" t="inlineStr">
        <is>
          <t>PORTAL AMAZONIA</t>
        </is>
      </c>
      <c r="E215" t="inlineStr">
        <is>
          <t>VENEZUELANOS</t>
        </is>
      </c>
      <c r="F215" t="inlineStr">
        <is>
          <t>AMAZÔNIA INTERNACIONAL</t>
        </is>
      </c>
      <c r="G215" t="inlineStr">
        <is>
          <t>ISABELLE LIMA - ISABELLE.LIMA@AMAZONSAT.COM.BR</t>
        </is>
      </c>
      <c r="H215" t="inlineStr">
        <is>
          <t>YANOMAMIUS: CONHEÇA NOVO GÊNERO DE ARANHAS QUE HOMENAGEIA POVO INDÍGENA</t>
        </is>
      </c>
      <c r="I215" t="inlineStr">
        <is>
          <t>FORAM DESCRITAS TRÊS NOVAS ESPÉCIES DE ARANHAS QUE SÃO ENCONTRADAS NA AMAZÔNIA INTERNACIONAL.</t>
        </is>
      </c>
      <c r="J215" t="inlineStr">
        <is>
          <t>AMAZÔNIA, AMAZÔNIA INTERNACIONAL, ARANHA, DESCRIÇÃO DE ESPÉCIES, ESTUDO CIENTÍFICO, INPA, INSTITUTO BUTANTAN, POVOS YANOMAMI, YANOMAMI, YANOMAMIUS</t>
        </is>
      </c>
      <c r="K215" t="n">
        <v>10</v>
      </c>
      <c r="L215" t="n">
        <v>8</v>
      </c>
      <c r="M215" t="n">
        <v>0</v>
      </c>
      <c r="N215" t="n">
        <v>0</v>
      </c>
      <c r="O215" t="n">
        <v>26</v>
      </c>
      <c r="P215">
        <f>HYPERLINK("https://portalamazonia.com/estados/amazonia-internacional/yanomamius-conheca-novo-genero-de-aranhas-que-homenageia-povo-indigena", "URL")</f>
        <v/>
      </c>
      <c r="Q215">
        <f>HYPERLINK("https://raw.githubusercontent.com/marcosmapl/dataset_imigrantes/main/materias_filtered/portal_amazonia/venezuelanos/2022/03_abr/html/35433.86192_1600.html", "HTML")</f>
        <v/>
      </c>
      <c r="R215">
        <f>HYPERLINK("https://raw.githubusercontent.com/marcosmapl/dataset_imigrantes/main/materias_filtered/portal_amazonia/venezuelanos/2022/03_abr/txt/35433.86192_1600.txt", "TXT")</f>
        <v/>
      </c>
    </row>
    <row r="216">
      <c r="A216" s="1" t="n">
        <v>214</v>
      </c>
      <c r="B216" t="n">
        <v>2022</v>
      </c>
      <c r="C216" s="2" t="n">
        <v>44659.43937409722</v>
      </c>
      <c r="D216" t="inlineStr">
        <is>
          <t>G1</t>
        </is>
      </c>
      <c r="E216" t="inlineStr">
        <is>
          <t>HAITIANOS</t>
        </is>
      </c>
      <c r="F216" t="inlineStr">
        <is>
          <t>RIO GRANDE DO NORTE</t>
        </is>
      </c>
      <c r="G216" t="inlineStr">
        <is>
          <t>G1 RN</t>
        </is>
      </c>
      <c r="H216" t="inlineStr">
        <is>
          <t>HAITIANAS QUE TENTAVAM EMBARCAR PARA EUROPA COM PASSAPORTES FURTADOS SÃO PRESAS PELA PF EM NATAL</t>
        </is>
      </c>
      <c r="I216" t="inlineStr">
        <is>
          <t>CASO ACONTECEU NA MADRUGADA DE QUINTA-FEIRA (7), SEGUNDO A CORPORAÇÃO. MULHERES TENTAVAM SEGUIR VIAGEM PARA A FRANÇA.</t>
        </is>
      </c>
      <c r="J216" t="inlineStr"/>
      <c r="K216" t="n">
        <v>0</v>
      </c>
      <c r="L216" t="n">
        <v>1</v>
      </c>
      <c r="M216" t="n">
        <v>0</v>
      </c>
      <c r="N216" t="n">
        <v>0</v>
      </c>
      <c r="O216" t="n">
        <v>1</v>
      </c>
      <c r="P216">
        <f>HYPERLINK("https://g1.globo.com/rn/rio-grande-do-norte/noticia/2022/04/08/haitianas-que-tentavam-embarcar-para-europa-com-passaportes-furtados-sao-presas-pela-pf-em-natal.ghtml", "URL")</f>
        <v/>
      </c>
      <c r="Q216">
        <f>HYPERLINK("https://raw.githubusercontent.com/marcosmapl/dataset_imigrantes/main/materias_filtered/g1/haitianos/2022/03_abr/html/g1_3fb6b928-2325-11ed-b24f-6dbe51e79fca_3903.html", "HTML")</f>
        <v/>
      </c>
      <c r="R216">
        <f>HYPERLINK("https://raw.githubusercontent.com/marcosmapl/dataset_imigrantes/main/materias_filtered/g1/haitianos/2022/03_abr/txt/g1_3fb6b928-2325-11ed-b24f-6dbe51e79fca_3903.txt", "TXT")</f>
        <v/>
      </c>
    </row>
    <row r="217">
      <c r="A217" s="1" t="n">
        <v>215</v>
      </c>
      <c r="B217" t="n">
        <v>2022</v>
      </c>
      <c r="C217" s="2" t="n">
        <v>44650.58270983796</v>
      </c>
      <c r="D217" t="inlineStr">
        <is>
          <t>G1</t>
        </is>
      </c>
      <c r="E217" t="inlineStr">
        <is>
          <t>VENEZUELANOS</t>
        </is>
      </c>
      <c r="F217" t="inlineStr">
        <is>
          <t>PERNAMBUCO</t>
        </is>
      </c>
      <c r="G217" t="inlineStr">
        <is>
          <t>G1 PE</t>
        </is>
      </c>
      <c r="H217" t="inlineStr">
        <is>
          <t>COLOMBIANO É PRESO NO AEROPORTO DO RECIFE COM UM QUILO DE COCAÍNA NA BAGAGEM DE MÃO; DROGA SERIA ENTREGUE NA FRANÇA</t>
        </is>
      </c>
      <c r="I217" t="inlineStr">
        <is>
          <t>SEGUNDO A POLÍCIA FEDERAL, ELE SAIU DE BOGOTÁ COM O ENTORPECENTE ENTREGUE POR UM VENEZUELANO E ENTROU NO BRASIL PELO AMAZONAS. DO RECIFE, IRIA PARA LISBOA, DE ONDE SEGUIRIA PARA PARIS.</t>
        </is>
      </c>
      <c r="J217" t="inlineStr"/>
      <c r="K217" t="n">
        <v>0</v>
      </c>
      <c r="L217" t="n">
        <v>2</v>
      </c>
      <c r="M217" t="n">
        <v>1</v>
      </c>
      <c r="N217" t="n">
        <v>0</v>
      </c>
      <c r="O217" t="n">
        <v>17</v>
      </c>
      <c r="P217">
        <f>HYPERLINK("https://g1.globo.com/pe/pernambuco/noticia/2022/03/30/colombiano-e-preso-no-aeroporto-do-recife-com-um-quilo-de-cocaina-na-bagagem-de-mao-diz-pf.ghtml", "URL")</f>
        <v/>
      </c>
      <c r="Q217">
        <f>HYPERLINK("https://raw.githubusercontent.com/marcosmapl/dataset_imigrantes/main/materias_filtered/g1/venezuelanos/2022/02_mar/html/g1_49513ada-230c-11ed-b24f-6dbe51e79fca_2615.html", "HTML")</f>
        <v/>
      </c>
      <c r="R217">
        <f>HYPERLINK("https://raw.githubusercontent.com/marcosmapl/dataset_imigrantes/main/materias_filtered/g1/venezuelanos/2022/02_mar/txt/g1_49513ada-230c-11ed-b24f-6dbe51e79fca_2615.txt", "TXT")</f>
        <v/>
      </c>
    </row>
    <row r="218">
      <c r="A218" s="1" t="n">
        <v>216</v>
      </c>
      <c r="B218" t="n">
        <v>2022</v>
      </c>
      <c r="C218" s="2" t="n">
        <v>44650.37185185185</v>
      </c>
      <c r="D218" t="inlineStr">
        <is>
          <t>A CRITICA</t>
        </is>
      </c>
      <c r="E218" t="inlineStr">
        <is>
          <t>VENEZUELANOS</t>
        </is>
      </c>
      <c r="F218" t="inlineStr">
        <is>
          <t>OPINIAO</t>
        </is>
      </c>
      <c r="G218" t="inlineStr"/>
      <c r="H218" t="inlineStr">
        <is>
          <t>MUDANÇA PARA O MESMO</t>
        </is>
      </c>
      <c r="I218" t="inlineStr"/>
      <c r="J218" t="inlineStr">
        <is>
          <t>A CRÍTICA, EDITORIAL, JORNAL, PETROBRAS</t>
        </is>
      </c>
      <c r="K218" t="n">
        <v>4</v>
      </c>
      <c r="L218" t="n">
        <v>1</v>
      </c>
      <c r="M218" t="n">
        <v>0</v>
      </c>
      <c r="N218" t="n">
        <v>0</v>
      </c>
      <c r="O218" t="n">
        <v>4</v>
      </c>
      <c r="P218">
        <f>HYPERLINK("https://www.acritica.com/opiniao/mudanca-para-o-mesmo-1.247894", "URL")</f>
        <v/>
      </c>
      <c r="Q218">
        <f>HYPERLINK("https://raw.githubusercontent.com/marcosmapl/dataset_imigrantes/main/materias_filtered/a_critica/venezuelanos/2022/02_mar/html/1.247894_766.html", "HTML")</f>
        <v/>
      </c>
      <c r="R218">
        <f>HYPERLINK("https://raw.githubusercontent.com/marcosmapl/dataset_imigrantes/main/materias_filtered/a_critica/venezuelanos/2022/02_mar/txt/1.247894_766.txt", "TXT")</f>
        <v/>
      </c>
    </row>
    <row r="219">
      <c r="A219" s="1" t="n">
        <v>217</v>
      </c>
      <c r="B219" t="n">
        <v>2022</v>
      </c>
      <c r="C219" s="2" t="n">
        <v>44648.92488128472</v>
      </c>
      <c r="D219" t="inlineStr">
        <is>
          <t>G1</t>
        </is>
      </c>
      <c r="E219" t="inlineStr">
        <is>
          <t>VENEZUELANOS</t>
        </is>
      </c>
      <c r="F219" t="inlineStr">
        <is>
          <t>CENTRO-OESTE</t>
        </is>
      </c>
      <c r="G219" t="inlineStr">
        <is>
          <t>ANNA LÚCIA SILVA, G1 CENTRO-OESTE DE MINAS — DIVINÓPOLIS</t>
        </is>
      </c>
      <c r="H219" t="inlineStr">
        <is>
          <t>TÉCNICOS SÃO CAPACITADOS PARA ATENDER FAMÍLIAS VENEZUELANAS INDÍGENAS EM DIVINÓPOLIS; SAIBA COMO ELES VIVEM NA CIDADE</t>
        </is>
      </c>
      <c r="I219" t="inlineStr">
        <is>
          <t>ALGUMAS FAMÍLIAS DA ETNIA WARAO CHEGARAM AO MUNICÍPIO NO INÍCIO DESTE ANO, MAS PARTE DELES JÁ FOI PARA BELO HORIZONTE, FORMIGA E OUTRAS CIDADES DA REGIÃO EM BUSCA DE TRABALHO E LEGALIZAÇÃO JUNTO À POLÍCIA FEDERAL; VEJA O QUE DISSE A PREFEITURA E ENTENDA A SITUAÇÃO DA VENEZUELA.</t>
        </is>
      </c>
      <c r="J219" t="inlineStr"/>
      <c r="K219" t="n">
        <v>0</v>
      </c>
      <c r="L219" t="n">
        <v>2</v>
      </c>
      <c r="M219" t="n">
        <v>0</v>
      </c>
      <c r="N219" t="n">
        <v>0</v>
      </c>
      <c r="O219" t="n">
        <v>12</v>
      </c>
      <c r="P219">
        <f>HYPERLINK("https://g1.globo.com/mg/centro-oeste/noticia/2022/03/28/tecnicos-sao-capacitados-para-atender-familias-venezuelanas-indigenas-em-divinopolis-saiba-como-eles-vivem-na-cidade.ghtml", "URL")</f>
        <v/>
      </c>
      <c r="Q219">
        <f>HYPERLINK("https://raw.githubusercontent.com/marcosmapl/dataset_imigrantes/main/materias_filtered/g1/venezuelanos/2022/02_mar/html/g1_e0f4fd3a-230d-11ed-b24f-6dbe51e79fca_2711.html", "HTML")</f>
        <v/>
      </c>
      <c r="R219">
        <f>HYPERLINK("https://raw.githubusercontent.com/marcosmapl/dataset_imigrantes/main/materias_filtered/g1/venezuelanos/2022/02_mar/txt/g1_e0f4fd3a-230d-11ed-b24f-6dbe51e79fca_2711.txt", "TXT")</f>
        <v/>
      </c>
    </row>
    <row r="220">
      <c r="A220" s="1" t="n">
        <v>218</v>
      </c>
      <c r="B220" t="n">
        <v>2022</v>
      </c>
      <c r="C220" s="2" t="n">
        <v>44648.89950175926</v>
      </c>
      <c r="D220" t="inlineStr">
        <is>
          <t>G1</t>
        </is>
      </c>
      <c r="E220" t="inlineStr">
        <is>
          <t>VENEZUELANOS</t>
        </is>
      </c>
      <c r="F220" t="inlineStr">
        <is>
          <t>CEARÁ</t>
        </is>
      </c>
      <c r="G220" t="inlineStr">
        <is>
          <t>G1 CE</t>
        </is>
      </c>
      <c r="H220" t="inlineStr">
        <is>
          <t>CRIANÇA DE 5 ANOS E TURISTA VENEZUELANO SÃO SALVOS DE AFOGAMENTO NAS PRAIAS DO CEARÁ; VEJA BALANÇO DO FIM DE SEMANA</t>
        </is>
      </c>
      <c r="I220" t="inlineStr">
        <is>
          <t>DE ACORDO COM O CORPO DE BOMBEIROS FORAM REALIZADAS 623 PREVENÇÕES, ENTRE A SEXTA-FEIRA (25) E DOMINGO (27) E 905 AÇÕES PREVENTIVAS NAS CIDADES DE ARACATI, JIJOCA DE JERICOACOARA E CAUCAIA.</t>
        </is>
      </c>
      <c r="J220" t="inlineStr"/>
      <c r="K220" t="n">
        <v>0</v>
      </c>
      <c r="L220" t="n">
        <v>1</v>
      </c>
      <c r="M220" t="n">
        <v>0</v>
      </c>
      <c r="N220" t="n">
        <v>0</v>
      </c>
      <c r="O220" t="n">
        <v>3</v>
      </c>
      <c r="P220">
        <f>HYPERLINK("https://g1.globo.com/ce/ceara/noticia/2022/03/28/crianca-de-5-anos-e-turista-venezuelano-sao-salvos-de-afogamento-nas-praias-do-ceara-veja-balanco-do-fim-de-semana.ghtml", "URL")</f>
        <v/>
      </c>
      <c r="Q220">
        <f>HYPERLINK("https://raw.githubusercontent.com/marcosmapl/dataset_imigrantes/main/materias_filtered/g1/venezuelanos/2022/02_mar/html/g1_77774920-2318-11ed-b24f-6dbe51e79fca_3262.html", "HTML")</f>
        <v/>
      </c>
      <c r="R220">
        <f>HYPERLINK("https://raw.githubusercontent.com/marcosmapl/dataset_imigrantes/main/materias_filtered/g1/venezuelanos/2022/02_mar/txt/g1_77774920-2318-11ed-b24f-6dbe51e79fca_3262.txt", "TXT")</f>
        <v/>
      </c>
    </row>
    <row r="221">
      <c r="A221" s="1" t="n">
        <v>219</v>
      </c>
      <c r="B221" t="n">
        <v>2022</v>
      </c>
      <c r="C221" s="2" t="n">
        <v>44646.62904053241</v>
      </c>
      <c r="D221" t="inlineStr">
        <is>
          <t>G1</t>
        </is>
      </c>
      <c r="E221" t="inlineStr">
        <is>
          <t>VENEZUELANOS</t>
        </is>
      </c>
      <c r="F221" t="inlineStr">
        <is>
          <t>TRIÂNGULO E ALTO PARANAÍBA</t>
        </is>
      </c>
      <c r="G221" t="inlineStr">
        <is>
          <t>G1 TRIÂNGULO E ALTO PARANAÍBA E TV INTEGRAÇÃO — UBERABA</t>
        </is>
      </c>
      <c r="H221" t="inlineStr">
        <is>
          <t>INDÍGENAS VENEZUELANOS REFUGIADOS EM UBERABA PODEM FICAR SEM MORADIAS</t>
        </is>
      </c>
      <c r="I221" t="inlineStr">
        <is>
          <t>PADRE FABIANO ROBERTO, RESPONSÁVEL PELO PROJETO ÁGAPE QUE ACOLHE O GRUPO NA CIDADE, INFORMOU QUE CASAS SERÃO PEDIDAS DE VOLTA POR FALTA DE RECURSOS PARA MANTÊ-LAS. PREFEITURA SE MANIFESTOU SOBRE O CASO.</t>
        </is>
      </c>
      <c r="J221" t="inlineStr"/>
      <c r="K221" t="n">
        <v>0</v>
      </c>
      <c r="L221" t="n">
        <v>2</v>
      </c>
      <c r="M221" t="n">
        <v>1</v>
      </c>
      <c r="N221" t="n">
        <v>0</v>
      </c>
      <c r="O221" t="n">
        <v>4</v>
      </c>
      <c r="P221">
        <f>HYPERLINK("https://g1.globo.com/mg/triangulo-mineiro/noticia/2022/03/26/indigenas-venezuelanos-refugiados-em-uberaba-podem-ficar-sem-moradias.ghtml", "URL")</f>
        <v/>
      </c>
      <c r="Q221">
        <f>HYPERLINK("https://raw.githubusercontent.com/marcosmapl/dataset_imigrantes/main/materias_filtered/g1/venezuelanos/2022/02_mar/html/g1_6772fcca-230b-11ed-b24f-6dbe51e79fca_2562.html", "HTML")</f>
        <v/>
      </c>
      <c r="R221">
        <f>HYPERLINK("https://raw.githubusercontent.com/marcosmapl/dataset_imigrantes/main/materias_filtered/g1/venezuelanos/2022/02_mar/txt/g1_6772fcca-230b-11ed-b24f-6dbe51e79fca_2562.txt", "TXT")</f>
        <v/>
      </c>
    </row>
    <row r="222">
      <c r="A222" s="1" t="n">
        <v>220</v>
      </c>
      <c r="B222" t="n">
        <v>2022</v>
      </c>
      <c r="C222" s="2" t="n">
        <v>44644.64805537037</v>
      </c>
      <c r="D222" t="inlineStr">
        <is>
          <t>G1</t>
        </is>
      </c>
      <c r="E222" t="inlineStr">
        <is>
          <t>VENEZUELANOS</t>
        </is>
      </c>
      <c r="F222" t="inlineStr">
        <is>
          <t>RORAIMA</t>
        </is>
      </c>
      <c r="G222" t="inlineStr">
        <is>
          <t>G1 RR — BOA VISTA</t>
        </is>
      </c>
      <c r="H222" t="inlineStr">
        <is>
          <t>VENEZUELANO É DECAPITADO E CORPO É ACHADO ENROLADO EM LENÇOL NA ZONA OESTE DE BOA VISTA</t>
        </is>
      </c>
      <c r="I222" t="inlineStr">
        <is>
          <t>VÍTIMA SE CHAMAVA YONIRSON JAIME MARCANO FIGUEROA E TINHA 26 ANOS. CORPO FOI ENCONTRADO NO BAIRRO SILVIO LEITE.</t>
        </is>
      </c>
      <c r="J222" t="inlineStr"/>
      <c r="K222" t="n">
        <v>0</v>
      </c>
      <c r="L222" t="n">
        <v>1</v>
      </c>
      <c r="M222" t="n">
        <v>0</v>
      </c>
      <c r="N222" t="n">
        <v>0</v>
      </c>
      <c r="O222" t="n">
        <v>1</v>
      </c>
      <c r="P222">
        <f>HYPERLINK("https://g1.globo.com/rr/roraima/noticia/2022/03/24/venezuelano-e-decapitado-e-corpo-e-achado-enrolado-em-lencol-na-zona-oeste-de-boa-vista.ghtml", "URL")</f>
        <v/>
      </c>
      <c r="Q222">
        <f>HYPERLINK("https://raw.githubusercontent.com/marcosmapl/dataset_imigrantes/main/materias_filtered/g1/venezuelanos/2022/02_mar/html/g1_3d703572-230c-11ed-b24f-6dbe51e79fca_2612.html", "HTML")</f>
        <v/>
      </c>
      <c r="R222">
        <f>HYPERLINK("https://raw.githubusercontent.com/marcosmapl/dataset_imigrantes/main/materias_filtered/g1/venezuelanos/2022/02_mar/txt/g1_3d703572-230c-11ed-b24f-6dbe51e79fca_2612.txt", "TXT")</f>
        <v/>
      </c>
    </row>
    <row r="223">
      <c r="A223" s="1" t="n">
        <v>221</v>
      </c>
      <c r="B223" t="n">
        <v>2022</v>
      </c>
      <c r="C223" s="2" t="n">
        <v>44643.54169398148</v>
      </c>
      <c r="D223" t="inlineStr">
        <is>
          <t>G1</t>
        </is>
      </c>
      <c r="E223" t="inlineStr">
        <is>
          <t>VENEZUELANOS</t>
        </is>
      </c>
      <c r="F223" t="inlineStr">
        <is>
          <t>RORAIMA</t>
        </is>
      </c>
      <c r="G223" t="inlineStr">
        <is>
          <t>G1 RR — BOA VISTA</t>
        </is>
      </c>
      <c r="H223" t="inlineStr">
        <is>
          <t>MAIS DE 600 CRIANÇAS VENEZUELANAS SÃO VACINADAS CONTRA COVID EM ABRIGOS EM BOA VISTA</t>
        </is>
      </c>
      <c r="I223" t="inlineStr">
        <is>
          <t>AÇÃO PARA IMUNIZAR MENINOS E MENINAS FOI REALIZADA NOS 10 ABRIGOS PARA MIGRANTES E REFUGIADOS NA CAPITAL.</t>
        </is>
      </c>
      <c r="J223" t="inlineStr"/>
      <c r="K223" t="n">
        <v>0</v>
      </c>
      <c r="L223" t="n">
        <v>1</v>
      </c>
      <c r="M223" t="n">
        <v>0</v>
      </c>
      <c r="N223" t="n">
        <v>0</v>
      </c>
      <c r="O223" t="n">
        <v>1</v>
      </c>
      <c r="P223">
        <f>HYPERLINK("https://g1.globo.com/rr/roraima/noticia/2022/03/23/mais-de-600-criancas-venezuelanas-sao-vacinadas-contra-covid-em-abrigos-em-boa-vista.ghtml", "URL")</f>
        <v/>
      </c>
      <c r="Q223">
        <f>HYPERLINK("https://raw.githubusercontent.com/marcosmapl/dataset_imigrantes/main/materias_filtered/g1/venezuelanos/2022/02_mar/html/g1_cf8a2e46-2310-11ed-b24f-6dbe51e79fca_2877.html", "HTML")</f>
        <v/>
      </c>
      <c r="R223">
        <f>HYPERLINK("https://raw.githubusercontent.com/marcosmapl/dataset_imigrantes/main/materias_filtered/g1/venezuelanos/2022/02_mar/txt/g1_cf8a2e46-2310-11ed-b24f-6dbe51e79fca_2877.txt", "TXT")</f>
        <v/>
      </c>
    </row>
    <row r="224">
      <c r="A224" s="1" t="n">
        <v>222</v>
      </c>
      <c r="B224" t="n">
        <v>2022</v>
      </c>
      <c r="C224" s="2" t="n">
        <v>44643.41731159722</v>
      </c>
      <c r="D224" t="inlineStr">
        <is>
          <t>G1</t>
        </is>
      </c>
      <c r="E224" t="inlineStr">
        <is>
          <t>VENEZUELANOS</t>
        </is>
      </c>
      <c r="F224" t="inlineStr">
        <is>
          <t>RORAIMA</t>
        </is>
      </c>
      <c r="G224" t="inlineStr">
        <is>
          <t>G1 RR — BOA VISTA</t>
        </is>
      </c>
      <c r="H224" t="inlineStr">
        <is>
          <t>CINEASTA QUE SE VESTIU DE PADRE PARA FILMAR DOCUMENTÁRIO NA VENEZUELA FAZ MOBILIZAÇÃO PARA QUE PAPA VISITE RORAIMA</t>
        </is>
      </c>
      <c r="I224" t="inlineStr">
        <is>
          <t>DADO GALVÃO ENVIOU CARTAS A AUTORIDADES BRASILEIRAS PEDINDO APOIO NA MOBILIZAÇÃO QUE OCORRE POR CONTA DO MEDO QUE A CRISE VENEZUELANA CAIA NO ESQUECIMENTO. RORAIMA É PORTA DE ENTRADA PARA MIGRANTES QUE FOGEM A CRISE NA VENEZUELA.</t>
        </is>
      </c>
      <c r="J224" t="inlineStr"/>
      <c r="K224" t="n">
        <v>0</v>
      </c>
      <c r="L224" t="n">
        <v>1</v>
      </c>
      <c r="M224" t="n">
        <v>0</v>
      </c>
      <c r="N224" t="n">
        <v>0</v>
      </c>
      <c r="O224" t="n">
        <v>4</v>
      </c>
      <c r="P224">
        <f>HYPERLINK("https://g1.globo.com/rr/roraima/noticia/2022/03/23/cineasta-que-se-vestiu-de-padre-para-filmar-documentario-na-venezuela-faz-mobilizacao-para-que-papa-visite-roraima.ghtml", "URL")</f>
        <v/>
      </c>
      <c r="Q224">
        <f>HYPERLINK("https://raw.githubusercontent.com/marcosmapl/dataset_imigrantes/main/materias_filtered/g1/venezuelanos/2022/02_mar/html/g1_2ac22d90-232a-11ed-b24f-6dbe51e79fca_4161.html", "HTML")</f>
        <v/>
      </c>
      <c r="R224">
        <f>HYPERLINK("https://raw.githubusercontent.com/marcosmapl/dataset_imigrantes/main/materias_filtered/g1/venezuelanos/2022/02_mar/txt/g1_2ac22d90-232a-11ed-b24f-6dbe51e79fca_4161.txt", "TXT")</f>
        <v/>
      </c>
    </row>
    <row r="225">
      <c r="A225" s="1" t="n">
        <v>223</v>
      </c>
      <c r="B225" t="n">
        <v>2022</v>
      </c>
      <c r="C225" s="2" t="n">
        <v>44642.66980277777</v>
      </c>
      <c r="D225" t="inlineStr">
        <is>
          <t>G1</t>
        </is>
      </c>
      <c r="E225" t="inlineStr">
        <is>
          <t>VENEZUELANOS</t>
        </is>
      </c>
      <c r="F225" t="inlineStr">
        <is>
          <t>SANTA CATARINA</t>
        </is>
      </c>
      <c r="G225" t="inlineStr">
        <is>
          <t>ANAÍSA CATUCCI E LUANA AMORIM, G1 SC E NSC</t>
        </is>
      </c>
      <c r="H225" t="inlineStr">
        <is>
          <t>APÓS BUSCAS, BOMBEIROS ENCONTRAM CORPO DE VENEZUELANO EM RIO NO OESTE DE SC</t>
        </is>
      </c>
      <c r="I225" t="inlineStr">
        <is>
          <t>VÍTIMA DE 27 ANOS FOI LOCALIZADA NO RIO URUGUAI, EM CHAPECÓ.</t>
        </is>
      </c>
      <c r="J225" t="inlineStr"/>
      <c r="K225" t="n">
        <v>0</v>
      </c>
      <c r="L225" t="n">
        <v>4</v>
      </c>
      <c r="M225" t="n">
        <v>1</v>
      </c>
      <c r="N225" t="n">
        <v>0</v>
      </c>
      <c r="O225" t="n">
        <v>8</v>
      </c>
      <c r="P225">
        <f>HYPERLINK("https://g1.globo.com/sc/santa-catarina/noticia/2022/03/22/apos-buscas-bombeiros-encontram-corpo-de-venezuelano-em-rio-no-oeste-de-sc.ghtml", "URL")</f>
        <v/>
      </c>
      <c r="Q225">
        <f>HYPERLINK("https://raw.githubusercontent.com/marcosmapl/dataset_imigrantes/main/materias_filtered/g1/venezuelanos/2022/02_mar/html/g1_10d1c82a-230a-11ed-b24f-6dbe51e79fca_2483.html", "HTML")</f>
        <v/>
      </c>
      <c r="R225">
        <f>HYPERLINK("https://raw.githubusercontent.com/marcosmapl/dataset_imigrantes/main/materias_filtered/g1/venezuelanos/2022/02_mar/txt/g1_10d1c82a-230a-11ed-b24f-6dbe51e79fca_2483.txt", "TXT")</f>
        <v/>
      </c>
    </row>
    <row r="226">
      <c r="A226" s="1" t="n">
        <v>224</v>
      </c>
      <c r="B226" t="n">
        <v>2022</v>
      </c>
      <c r="C226" s="2" t="n">
        <v>44641.91788640046</v>
      </c>
      <c r="D226" t="inlineStr">
        <is>
          <t>G1</t>
        </is>
      </c>
      <c r="E226" t="inlineStr">
        <is>
          <t>VENEZUELANOS</t>
        </is>
      </c>
      <c r="F226" t="inlineStr">
        <is>
          <t>RORAIMA</t>
        </is>
      </c>
      <c r="G226" t="inlineStr">
        <is>
          <t>G1 RR — BOA VISTA</t>
        </is>
      </c>
      <c r="H226" t="inlineStr">
        <is>
          <t>VISÃO MUNDIAL ABRE 90 VAGAS GRATUITAS PARA TURMAS DE LÍNGUA PORTUGUESA PARA MIGRANTES EM RR</t>
        </is>
      </c>
      <c r="I226" t="inlineStr">
        <is>
          <t>PÚBLICO-ALVO SÃO MIGRANTES E REFUGIADOS VENEZUELANOS. INSCRIÇÕES VÃO ATÉ NO DIA 1º DE ABRIL.</t>
        </is>
      </c>
      <c r="J226" t="inlineStr"/>
      <c r="K226" t="n">
        <v>0</v>
      </c>
      <c r="L226" t="n">
        <v>1</v>
      </c>
      <c r="M226" t="n">
        <v>0</v>
      </c>
      <c r="N226" t="n">
        <v>0</v>
      </c>
      <c r="O226" t="n">
        <v>1</v>
      </c>
      <c r="P226">
        <f>HYPERLINK("https://g1.globo.com/rr/roraima/noticia/2022/03/21/visao-mundial-abre-90-vagas-gratuitas-para-turmas-de-lingua-portuguesa-para-migrantes-em-rr.ghtml", "URL")</f>
        <v/>
      </c>
      <c r="Q226">
        <f>HYPERLINK("https://raw.githubusercontent.com/marcosmapl/dataset_imigrantes/main/materias_filtered/g1/venezuelanos/2022/02_mar/html/g1_3f9f198a-232a-11ed-b24f-6dbe51e79fca_4166.html", "HTML")</f>
        <v/>
      </c>
      <c r="R226">
        <f>HYPERLINK("https://raw.githubusercontent.com/marcosmapl/dataset_imigrantes/main/materias_filtered/g1/venezuelanos/2022/02_mar/txt/g1_3f9f198a-232a-11ed-b24f-6dbe51e79fca_4166.txt", "TXT")</f>
        <v/>
      </c>
    </row>
    <row r="227">
      <c r="A227" s="1" t="n">
        <v>225</v>
      </c>
      <c r="B227" t="n">
        <v>2022</v>
      </c>
      <c r="C227" s="2" t="n">
        <v>44641.61830908565</v>
      </c>
      <c r="D227" t="inlineStr">
        <is>
          <t>G1</t>
        </is>
      </c>
      <c r="E227" t="inlineStr">
        <is>
          <t>VENEZUELANOS</t>
        </is>
      </c>
      <c r="F227" t="inlineStr">
        <is>
          <t>RORAIMA</t>
        </is>
      </c>
      <c r="G227" t="inlineStr">
        <is>
          <t>G1 RR — BOA VISTA</t>
        </is>
      </c>
      <c r="H227" t="inlineStr">
        <is>
          <t>VENEZUELANO MORRE AO SER ESFAQUEADO EM BAR E SUSPEITO É PRESO APÓS AJUDAR SAMU SOCORRER VÍTIMA</t>
        </is>
      </c>
      <c r="I227" t="inlineStr">
        <is>
          <t>IDELMAR JOSÉ GOLÇALEZ AMUNDARAY TINHA 23 ANOS. SUSPEITO DE COMETER O CRIME, DE 34 ANOS, AINDA AJUDOU VÍTIMA A SER COLOCADA EM AMBULÂNCIA, SEGUNDO A PM. CRIME FOI EM CAROEBE.</t>
        </is>
      </c>
      <c r="J227" t="inlineStr"/>
      <c r="K227" t="n">
        <v>0</v>
      </c>
      <c r="L227" t="n">
        <v>1</v>
      </c>
      <c r="M227" t="n">
        <v>0</v>
      </c>
      <c r="N227" t="n">
        <v>0</v>
      </c>
      <c r="O227" t="n">
        <v>2</v>
      </c>
      <c r="P227">
        <f>HYPERLINK("https://g1.globo.com/rr/roraima/noticia/2022/03/21/venezuelano-morre-ao-ser-esfaqueado-em-bar-e-suspeito-e-preso-apos-ajudar-samu-socorrer-vitima.ghtml", "URL")</f>
        <v/>
      </c>
      <c r="Q227">
        <f>HYPERLINK("https://raw.githubusercontent.com/marcosmapl/dataset_imigrantes/main/materias_filtered/g1/venezuelanos/2022/02_mar/html/g1_1facf8ce-230a-11ed-b24f-6dbe51e79fca_2486.html", "HTML")</f>
        <v/>
      </c>
      <c r="R227">
        <f>HYPERLINK("https://raw.githubusercontent.com/marcosmapl/dataset_imigrantes/main/materias_filtered/g1/venezuelanos/2022/02_mar/txt/g1_1facf8ce-230a-11ed-b24f-6dbe51e79fca_2486.txt", "TXT")</f>
        <v/>
      </c>
    </row>
    <row r="228">
      <c r="A228" s="1" t="n">
        <v>226</v>
      </c>
      <c r="B228" t="n">
        <v>2022</v>
      </c>
      <c r="C228" s="2" t="n">
        <v>44637.89786821759</v>
      </c>
      <c r="D228" t="inlineStr">
        <is>
          <t>G1</t>
        </is>
      </c>
      <c r="E228" t="inlineStr">
        <is>
          <t>VENEZUELANOS</t>
        </is>
      </c>
      <c r="F228" t="inlineStr">
        <is>
          <t>RORAIMA</t>
        </is>
      </c>
      <c r="G228" t="inlineStr">
        <is>
          <t>CAÍQUE RODRIGUES, G1 RR E REDE AMAZÔNICA — BOA VISTA</t>
        </is>
      </c>
      <c r="H228" t="inlineStr">
        <is>
          <t>VENEZUELANOS INDÍGENAS ACUSAM OPERAÇÃO ACOLHIDA E ACNUR DE AMEAÇAR CORTAR COMIDA CASO NÃO TROQUEM DE ABRIGO: 'HUMILHANTE'</t>
        </is>
      </c>
      <c r="I228" t="inlineStr">
        <is>
          <t>INDÍGENAS RELATAM QUE ENTRE AS INTIMIDAÇÕES, CORDAS E REDES USADAS PARA DORMIR FORAM CORTADAS PELOS MILITARES. O ACNUR ALEGOU QUE O PROCESSO DE REMANEJAMENTO FOI FEITO DE FORMA CONSULTIVA.</t>
        </is>
      </c>
      <c r="J228" t="inlineStr"/>
      <c r="K228" t="n">
        <v>0</v>
      </c>
      <c r="L228" t="n">
        <v>2</v>
      </c>
      <c r="M228" t="n">
        <v>0</v>
      </c>
      <c r="N228" t="n">
        <v>0</v>
      </c>
      <c r="O228" t="n">
        <v>5</v>
      </c>
      <c r="P228">
        <f>HYPERLINK("https://g1.globo.com/rr/roraima/noticia/2022/03/17/venezuelanos-indigenas-acusam-operacao-acolhida-e-acnur-de-ameacar-cortar-comida-caso-nao-troquem-de-abrigo-humilhante.ghtml", "URL")</f>
        <v/>
      </c>
      <c r="Q228">
        <f>HYPERLINK("https://raw.githubusercontent.com/marcosmapl/dataset_imigrantes/main/materias_filtered/g1/venezuelanos/2022/02_mar/html/g1_0bbc46a0-2312-11ed-b24f-6dbe51e79fca_2946.html", "HTML")</f>
        <v/>
      </c>
      <c r="R228">
        <f>HYPERLINK("https://raw.githubusercontent.com/marcosmapl/dataset_imigrantes/main/materias_filtered/g1/venezuelanos/2022/02_mar/txt/g1_0bbc46a0-2312-11ed-b24f-6dbe51e79fca_2946.txt", "TXT")</f>
        <v/>
      </c>
    </row>
    <row r="229">
      <c r="A229" s="1" t="n">
        <v>227</v>
      </c>
      <c r="B229" t="n">
        <v>2022</v>
      </c>
      <c r="C229" s="2" t="n">
        <v>44637.77258603009</v>
      </c>
      <c r="D229" t="inlineStr">
        <is>
          <t>G1</t>
        </is>
      </c>
      <c r="E229" t="inlineStr">
        <is>
          <t>VENEZUELANOS</t>
        </is>
      </c>
      <c r="F229" t="inlineStr">
        <is>
          <t>PARAÍBA</t>
        </is>
      </c>
      <c r="G229" t="inlineStr">
        <is>
          <t>G1 PB</t>
        </is>
      </c>
      <c r="H229" t="inlineStr">
        <is>
          <t>VENEZUELANO MORTO EM JOÃO PESSOA ERA ESTUDANTE UNIVERSITÁRIO ANTES DE SE MUDAR PARA O BRASIL</t>
        </is>
      </c>
      <c r="I229" t="inlineStr">
        <is>
          <t>JEAN CARLOS CABELLO TRABALHAVA COMO MOTOBOY E TEVE A MOTO ROUBADA APÓS LEVAR UM TIRO. POLÍCIA INVESTIGA LATROCÍNIO.</t>
        </is>
      </c>
      <c r="J229" t="inlineStr"/>
      <c r="K229" t="n">
        <v>0</v>
      </c>
      <c r="L229" t="n">
        <v>3</v>
      </c>
      <c r="M229" t="n">
        <v>1</v>
      </c>
      <c r="N229" t="n">
        <v>0</v>
      </c>
      <c r="O229" t="n">
        <v>4</v>
      </c>
      <c r="P229">
        <f>HYPERLINK("https://g1.globo.com/pb/paraiba/noticia/2022/03/17/venezuelano-morto-em-joao-pessoa-era-estudante-universitario-antes-de-se-mudar-para-o-brasil.ghtml", "URL")</f>
        <v/>
      </c>
      <c r="Q229">
        <f>HYPERLINK("https://raw.githubusercontent.com/marcosmapl/dataset_imigrantes/main/materias_filtered/g1/venezuelanos/2022/02_mar/html/g1_9cd76592-2313-11ed-b24f-6dbe51e79fca_3017.html", "HTML")</f>
        <v/>
      </c>
      <c r="R229">
        <f>HYPERLINK("https://raw.githubusercontent.com/marcosmapl/dataset_imigrantes/main/materias_filtered/g1/venezuelanos/2022/02_mar/txt/g1_9cd76592-2313-11ed-b24f-6dbe51e79fca_3017.txt", "TXT")</f>
        <v/>
      </c>
    </row>
    <row r="230">
      <c r="A230" s="1" t="n">
        <v>228</v>
      </c>
      <c r="B230" t="n">
        <v>2022</v>
      </c>
      <c r="C230" s="2" t="n">
        <v>44637.6939565625</v>
      </c>
      <c r="D230" t="inlineStr">
        <is>
          <t>G1</t>
        </is>
      </c>
      <c r="E230" t="inlineStr">
        <is>
          <t>VENEZUELANOS</t>
        </is>
      </c>
      <c r="F230" t="inlineStr">
        <is>
          <t>PARAÍBA</t>
        </is>
      </c>
      <c r="G230" t="inlineStr">
        <is>
          <t>G1 PB</t>
        </is>
      </c>
      <c r="H230" t="inlineStr">
        <is>
          <t>JOVEM VENEZUELANO É MORTO APÓS SER ATINGIDO POR UM TIRO, NA RUA ONDE MORAVA, EM JOÃO PESSOA</t>
        </is>
      </c>
      <c r="I230" t="inlineStr">
        <is>
          <t>ELE ESTAVA NA RUA DA CASA ONDE MORAVA, QUANDO FOI ABORDADO POR DOIS SUSPEITOS A PÉ.</t>
        </is>
      </c>
      <c r="J230" t="inlineStr"/>
      <c r="K230" t="n">
        <v>0</v>
      </c>
      <c r="L230" t="n">
        <v>1</v>
      </c>
      <c r="M230" t="n">
        <v>0</v>
      </c>
      <c r="N230" t="n">
        <v>0</v>
      </c>
      <c r="O230" t="n">
        <v>1</v>
      </c>
      <c r="P230">
        <f>HYPERLINK("https://g1.globo.com/pb/paraiba/noticia/2022/03/17/jovem-venezuelano-e-morto-apos-ser-atingido-por-um-tiro-na-rua-onde-morava-em-joao-pessoa.ghtml", "URL")</f>
        <v/>
      </c>
      <c r="Q230">
        <f>HYPERLINK("https://raw.githubusercontent.com/marcosmapl/dataset_imigrantes/main/materias_filtered/g1/venezuelanos/2022/02_mar/html/g1_eeb330ce-231a-11ed-b24f-6dbe51e79fca_3361.html", "HTML")</f>
        <v/>
      </c>
      <c r="R230">
        <f>HYPERLINK("https://raw.githubusercontent.com/marcosmapl/dataset_imigrantes/main/materias_filtered/g1/venezuelanos/2022/02_mar/txt/g1_eeb330ce-231a-11ed-b24f-6dbe51e79fca_3361.txt", "TXT")</f>
        <v/>
      </c>
    </row>
    <row r="231">
      <c r="A231" s="1" t="n">
        <v>229</v>
      </c>
      <c r="B231" t="n">
        <v>2022</v>
      </c>
      <c r="C231" s="2" t="n">
        <v>44635.89786094907</v>
      </c>
      <c r="D231" t="inlineStr">
        <is>
          <t>G1</t>
        </is>
      </c>
      <c r="E231" t="inlineStr">
        <is>
          <t>VENEZUELANOS</t>
        </is>
      </c>
      <c r="F231" t="inlineStr">
        <is>
          <t>MATO GROSSO</t>
        </is>
      </c>
      <c r="G231" t="inlineStr">
        <is>
          <t>EUNICE RAMOS, TV CENTRO AMÉRICA</t>
        </is>
      </c>
      <c r="H231" t="inlineStr">
        <is>
          <t>VENEZUELANAS APRENDEM PANIFICAÇÃO E CONFEITARIA PARA TRABALHAR EM PADARIA COMUNITÁRIA EM CUIABÁ</t>
        </is>
      </c>
      <c r="I231" t="inlineStr">
        <is>
          <t>AS IMIGRANTES FIZERAM CURSO DE CONFEITARIA, PANIFICAÇÕES, NOÇÕES DE ETIQUETA E REGRAS DE HIGIENE COMO QUALIFICAÇÃO PARA CONSEGUIR ESPAÇO NO MERCADO DE TRABALHO.</t>
        </is>
      </c>
      <c r="J231" t="inlineStr"/>
      <c r="K231" t="n">
        <v>0</v>
      </c>
      <c r="L231" t="n">
        <v>2</v>
      </c>
      <c r="M231" t="n">
        <v>1</v>
      </c>
      <c r="N231" t="n">
        <v>0</v>
      </c>
      <c r="O231" t="n">
        <v>3</v>
      </c>
      <c r="P231">
        <f>HYPERLINK("https://g1.globo.com/mt/mato-grosso/noticia/2022/03/15/venezuelanas-aprendem-panificacao-e-confeitaria-para-trabalhar-em-padaria-comunitaria-em-cuiaba.ghtml", "URL")</f>
        <v/>
      </c>
      <c r="Q231">
        <f>HYPERLINK("https://raw.githubusercontent.com/marcosmapl/dataset_imigrantes/main/materias_filtered/g1/venezuelanos/2022/02_mar/html/g1_69078210-2327-11ed-b24f-6dbe51e79fca_4033.html", "HTML")</f>
        <v/>
      </c>
      <c r="R231">
        <f>HYPERLINK("https://raw.githubusercontent.com/marcosmapl/dataset_imigrantes/main/materias_filtered/g1/venezuelanos/2022/02_mar/txt/g1_69078210-2327-11ed-b24f-6dbe51e79fca_4033.txt", "TXT")</f>
        <v/>
      </c>
    </row>
    <row r="232">
      <c r="A232" s="1" t="n">
        <v>230</v>
      </c>
      <c r="B232" t="n">
        <v>2022</v>
      </c>
      <c r="C232" s="2" t="n">
        <v>44635.37565728009</v>
      </c>
      <c r="D232" t="inlineStr">
        <is>
          <t>G1</t>
        </is>
      </c>
      <c r="E232" t="inlineStr">
        <is>
          <t>VENEZUELANOS</t>
        </is>
      </c>
      <c r="F232" t="inlineStr">
        <is>
          <t>POP &amp; ARTE</t>
        </is>
      </c>
      <c r="G232" t="inlineStr">
        <is>
          <t>G1</t>
        </is>
      </c>
      <c r="H232" t="inlineStr">
        <is>
          <t>‘EL PASO DE ANITTA’: DANÇA DE ‘ENVOLVER’ VIRALIZA EM PAÍSES HISPÂNICOS E ANITTA CHEGA AO TOP 30 GLOBAL</t>
        </is>
      </c>
      <c r="I232" t="inlineStr">
        <is>
          <t>REGGAETON LANÇADO EM NOVEMBRO DE 2021 CRESCEU COM FÃS DA AMÉRICA LATINA FAZENDO A DANÇA ATÉ O CHÃO, CAUSOU POLÊMICA COM APRESENTADOR VENEZUELANO E VIROU 1º HIT SOLO DELA NO TOP 30 DO MUNDO. .</t>
        </is>
      </c>
      <c r="J232" t="inlineStr"/>
      <c r="K232" t="n">
        <v>0</v>
      </c>
      <c r="L232" t="n">
        <v>1</v>
      </c>
      <c r="M232" t="n">
        <v>0</v>
      </c>
      <c r="N232" t="n">
        <v>0</v>
      </c>
      <c r="O232" t="n">
        <v>2</v>
      </c>
      <c r="P232">
        <f>HYPERLINK("https://g1.globo.com/pop-arte/musica/noticia/2022/03/15/el-paso-de-anitta-danca-de-envolver-viraliza-em-paises-hispanicos-e-anitta-chega-ao-top-30-global.ghtml", "URL")</f>
        <v/>
      </c>
      <c r="Q232">
        <f>HYPERLINK("https://raw.githubusercontent.com/marcosmapl/dataset_imigrantes/main/materias_filtered/g1/venezuelanos/2022/02_mar/html/g1_3931ccd4-230f-11ed-b24f-6dbe51e79fca_2783.html", "HTML")</f>
        <v/>
      </c>
      <c r="R232">
        <f>HYPERLINK("https://raw.githubusercontent.com/marcosmapl/dataset_imigrantes/main/materias_filtered/g1/venezuelanos/2022/02_mar/txt/g1_3931ccd4-230f-11ed-b24f-6dbe51e79fca_2783.txt", "TXT")</f>
        <v/>
      </c>
    </row>
    <row r="233">
      <c r="A233" s="1" t="n">
        <v>231</v>
      </c>
      <c r="B233" t="n">
        <v>2022</v>
      </c>
      <c r="C233" s="2" t="n">
        <v>44634.44920530092</v>
      </c>
      <c r="D233" t="inlineStr">
        <is>
          <t>G1</t>
        </is>
      </c>
      <c r="E233" t="inlineStr">
        <is>
          <t>HAITIANOS</t>
        </is>
      </c>
      <c r="F233" t="inlineStr">
        <is>
          <t>MUNDO</t>
        </is>
      </c>
      <c r="G233" t="inlineStr">
        <is>
          <t>BBC</t>
        </is>
      </c>
      <c r="H233" t="inlineStr">
        <is>
          <t>ALÉM DA GUERRA NA UCRÂNIA: 7 CONFLITOS SANGRENTOS QUE OCORREM HOJE NO MUNDO</t>
        </is>
      </c>
      <c r="I233" t="inlineStr">
        <is>
          <t>CONFLITOS NO IÊMEN, ETIÓPIA E MIANMAR PROVOCARAM ENORME SOFRIMENTO HUMANO, MAS NEM SEMPRE TIVERAM A MESMA RESPOSTA INTERNACIONAL.</t>
        </is>
      </c>
      <c r="J233" t="inlineStr"/>
      <c r="K233" t="n">
        <v>0</v>
      </c>
      <c r="L233" t="n">
        <v>1</v>
      </c>
      <c r="M233" t="n">
        <v>0</v>
      </c>
      <c r="N233" t="n">
        <v>0</v>
      </c>
      <c r="O233" t="n">
        <v>6</v>
      </c>
      <c r="P233">
        <f>HYPERLINK("https://g1.globo.com/mundo/noticia/2022/03/14/alem-da-guerra-na-ucrania-7-conflitos-sangrentos-que-ocorrem-hoje-no-mundo.ghtml", "URL")</f>
        <v/>
      </c>
      <c r="Q233">
        <f>HYPERLINK("https://raw.githubusercontent.com/marcosmapl/dataset_imigrantes/main/materias_filtered/g1/haitianos/2022/02_mar/html/g1_81050b4c-231a-11ed-b24f-6dbe51e79fca_3339.html", "HTML")</f>
        <v/>
      </c>
      <c r="R233">
        <f>HYPERLINK("https://raw.githubusercontent.com/marcosmapl/dataset_imigrantes/main/materias_filtered/g1/haitianos/2022/02_mar/txt/g1_81050b4c-231a-11ed-b24f-6dbe51e79fca_3339.txt", "TXT")</f>
        <v/>
      </c>
    </row>
    <row r="234">
      <c r="A234" s="1" t="n">
        <v>232</v>
      </c>
      <c r="B234" t="n">
        <v>2022</v>
      </c>
      <c r="C234" s="2" t="n">
        <v>44633.41718706019</v>
      </c>
      <c r="D234" t="inlineStr">
        <is>
          <t>G1</t>
        </is>
      </c>
      <c r="E234" t="inlineStr">
        <is>
          <t>VENEZUELANOS</t>
        </is>
      </c>
      <c r="F234" t="inlineStr">
        <is>
          <t>RORAIMA</t>
        </is>
      </c>
      <c r="G234" t="inlineStr">
        <is>
          <t>G1 RR — BOA VISTA</t>
        </is>
      </c>
      <c r="H234" t="inlineStr">
        <is>
          <t>MAIS DE 230 VENEZUELANOS CONCLUEM CURSO DE LÍNGUA PORTUGUESA EM RORAIMA</t>
        </is>
      </c>
      <c r="I234" t="inlineStr">
        <is>
          <t>CURSO FOI OFERTADO GRATUITAMENTE PELA ONG VISÃO MUNDIAL. SABENDO FALAR PORTUGUÊS, MIGRANTES TÊM MAIS OPORTUNIDADES NO MERCADO DE TRABALHO.</t>
        </is>
      </c>
      <c r="J234" t="inlineStr"/>
      <c r="K234" t="n">
        <v>0</v>
      </c>
      <c r="L234" t="n">
        <v>1</v>
      </c>
      <c r="M234" t="n">
        <v>0</v>
      </c>
      <c r="N234" t="n">
        <v>0</v>
      </c>
      <c r="O234" t="n">
        <v>1</v>
      </c>
      <c r="P234">
        <f>HYPERLINK("https://g1.globo.com/rr/roraima/noticia/2022/03/13/mais-de-230-venezuelanos-concluem-curso-de-lingua-portuguesa-em-roraima.ghtml", "URL")</f>
        <v/>
      </c>
      <c r="Q234">
        <f>HYPERLINK("https://raw.githubusercontent.com/marcosmapl/dataset_imigrantes/main/materias_filtered/g1/venezuelanos/2022/02_mar/html/g1_01640d6c-230a-11ed-b24f-6dbe51e79fca_2480.html", "HTML")</f>
        <v/>
      </c>
      <c r="R234">
        <f>HYPERLINK("https://raw.githubusercontent.com/marcosmapl/dataset_imigrantes/main/materias_filtered/g1/venezuelanos/2022/02_mar/txt/g1_01640d6c-230a-11ed-b24f-6dbe51e79fca_2480.txt", "TXT")</f>
        <v/>
      </c>
    </row>
    <row r="235">
      <c r="A235" s="1" t="n">
        <v>233</v>
      </c>
      <c r="B235" t="n">
        <v>2022</v>
      </c>
      <c r="C235" s="2" t="n">
        <v>44630.55134800926</v>
      </c>
      <c r="D235" t="inlineStr">
        <is>
          <t>G1</t>
        </is>
      </c>
      <c r="E235" t="inlineStr">
        <is>
          <t>VENEZUELANOS</t>
        </is>
      </c>
      <c r="F235" t="inlineStr">
        <is>
          <t>SANTA CATARINA</t>
        </is>
      </c>
      <c r="G235" t="inlineStr">
        <is>
          <t>CLARÌSSA BATÌSTELA, G1 SC</t>
        </is>
      </c>
      <c r="H235" t="inlineStr">
        <is>
          <t>VENEZUELANO FERIDO GRAVEMENTE DURANTE TEMPORAL EM SC SEGUE HOSPITALIZADO</t>
        </is>
      </c>
      <c r="I235" t="inlineStr">
        <is>
          <t>HOMEM FOI ATINGIDO POR ESTRUTURA DE EMPRESA, QUE DESABOU. ELE TRABALHAVA NA INSTALAÇÃO DE UMA SECADORA DE GRÃOS QUANDO INICIOU A TEMPESTADE EM PINHALZINHO.</t>
        </is>
      </c>
      <c r="J235" t="inlineStr"/>
      <c r="K235" t="n">
        <v>0</v>
      </c>
      <c r="L235" t="n">
        <v>3</v>
      </c>
      <c r="M235" t="n">
        <v>2</v>
      </c>
      <c r="N235" t="n">
        <v>0</v>
      </c>
      <c r="O235" t="n">
        <v>6</v>
      </c>
      <c r="P235">
        <f>HYPERLINK("https://g1.globo.com/sc/santa-catarina/noticia/2022/03/10/venezuelano-ferido-gravemente-durante-temporal-em-sc-segue-hospitalizado.ghtml", "URL")</f>
        <v/>
      </c>
      <c r="Q235">
        <f>HYPERLINK("https://raw.githubusercontent.com/marcosmapl/dataset_imigrantes/main/materias_filtered/g1/venezuelanos/2022/02_mar/html/g1_9c0db0e2-2306-11ed-b24f-6dbe51e79fca_2269.html", "HTML")</f>
        <v/>
      </c>
      <c r="R235">
        <f>HYPERLINK("https://raw.githubusercontent.com/marcosmapl/dataset_imigrantes/main/materias_filtered/g1/venezuelanos/2022/02_mar/txt/g1_9c0db0e2-2306-11ed-b24f-6dbe51e79fca_2269.txt", "TXT")</f>
        <v/>
      </c>
    </row>
    <row r="236">
      <c r="A236" s="1" t="n">
        <v>234</v>
      </c>
      <c r="B236" t="n">
        <v>2022</v>
      </c>
      <c r="C236" s="2" t="n">
        <v>44629.07765327546</v>
      </c>
      <c r="D236" t="inlineStr">
        <is>
          <t>G1</t>
        </is>
      </c>
      <c r="E236" t="inlineStr">
        <is>
          <t>VENEZUELANOS</t>
        </is>
      </c>
      <c r="F236" t="inlineStr">
        <is>
          <t>MUNDO</t>
        </is>
      </c>
      <c r="G236" t="inlineStr">
        <is>
          <t>G1</t>
        </is>
      </c>
      <c r="H236" t="inlineStr">
        <is>
          <t>VENEZUELA LIBERTA DOIS PRESOS QUE TRABALHAVAM COM PETRÓLEO AMERICANO NO PAÍS</t>
        </is>
      </c>
      <c r="I236" t="inlineStr">
        <is>
          <t>DECISÃO ACONTECE DIAS APÓS REUNIÃO DO LÍDER VENEZUELANO, NICOLÁS MADURO, E REPRESENTANTES DOS EUA. O EMBARGO A CARACAS PODE SER RETIRADO EM BREVE, DIZEM FONTES.</t>
        </is>
      </c>
      <c r="J236" t="inlineStr"/>
      <c r="K236" t="n">
        <v>0</v>
      </c>
      <c r="L236" t="n">
        <v>2</v>
      </c>
      <c r="M236" t="n">
        <v>1</v>
      </c>
      <c r="N236" t="n">
        <v>0</v>
      </c>
      <c r="O236" t="n">
        <v>3</v>
      </c>
      <c r="P236">
        <f>HYPERLINK("https://g1.globo.com/mundo/noticia/2022/03/08/venezuela-libertou-da-prisao-um-ex-executivo-do-petroleo-americano.ghtml", "URL")</f>
        <v/>
      </c>
      <c r="Q236">
        <f>HYPERLINK("https://raw.githubusercontent.com/marcosmapl/dataset_imigrantes/main/materias_filtered/g1/venezuelanos/2022/02_mar/html/g1_687ba6d0-2324-11ed-b24f-6dbe51e79fca_3869.html", "HTML")</f>
        <v/>
      </c>
      <c r="R236">
        <f>HYPERLINK("https://raw.githubusercontent.com/marcosmapl/dataset_imigrantes/main/materias_filtered/g1/venezuelanos/2022/02_mar/txt/g1_687ba6d0-2324-11ed-b24f-6dbe51e79fca_3869.txt", "TXT")</f>
        <v/>
      </c>
    </row>
    <row r="237">
      <c r="A237" s="1" t="n">
        <v>235</v>
      </c>
      <c r="B237" t="n">
        <v>2022</v>
      </c>
      <c r="C237" s="2" t="n">
        <v>44628.82299768519</v>
      </c>
      <c r="D237" t="inlineStr">
        <is>
          <t>A CRITICA</t>
        </is>
      </c>
      <c r="E237" t="inlineStr">
        <is>
          <t>VENEZUELANOS</t>
        </is>
      </c>
      <c r="F237" t="inlineStr"/>
      <c r="G237" t="inlineStr">
        <is>
          <t>PORTAL A CRÍTICA</t>
        </is>
      </c>
      <c r="H237" t="inlineStr">
        <is>
          <t>COM APOIO DO ACNUR, MULHERES REFUGIADAS CONSTROEM COM ESPERANÇA NOVAS VIDAS NO BRASIL</t>
        </is>
      </c>
      <c r="I237" t="inlineStr">
        <is>
          <t>NO DIA INTERNACIONAL DA MULHER, AGÊNCIA DA ONU PARA REFUGIADOS CELEBRA CONQUISTAS DAS MULHERES EM TODO O MUNDO, INDEPENDENTEMENTE DE NACIONALIDADE, ETNIA OU STATUS JURÍDICO</t>
        </is>
      </c>
      <c r="J237" t="inlineStr"/>
      <c r="K237" t="n">
        <v>0</v>
      </c>
      <c r="L237" t="n">
        <v>1</v>
      </c>
      <c r="M237" t="n">
        <v>0</v>
      </c>
      <c r="N237" t="n">
        <v>0</v>
      </c>
      <c r="O237" t="n">
        <v>0</v>
      </c>
      <c r="P237">
        <f>HYPERLINK("https://www.acritica.com/com-apoio-do-acnur-mulheres-refugiadas-constroem-com-esperanca-novas-vidas-no-brasil-1.155425", "URL")</f>
        <v/>
      </c>
      <c r="Q237">
        <f>HYPERLINK("https://raw.githubusercontent.com/marcosmapl/dataset_imigrantes/main/materias_filtered/a_critica/venezuelanos/2022/02_mar/html/1.155425_394.html", "HTML")</f>
        <v/>
      </c>
      <c r="R237">
        <f>HYPERLINK("https://raw.githubusercontent.com/marcosmapl/dataset_imigrantes/main/materias_filtered/a_critica/venezuelanos/2022/02_mar/txt/1.155425_394.txt", "TXT")</f>
        <v/>
      </c>
    </row>
    <row r="238">
      <c r="A238" s="1" t="n">
        <v>236</v>
      </c>
      <c r="B238" t="n">
        <v>2022</v>
      </c>
      <c r="C238" s="2" t="n">
        <v>44628.67975633102</v>
      </c>
      <c r="D238" t="inlineStr">
        <is>
          <t>G1</t>
        </is>
      </c>
      <c r="E238" t="inlineStr">
        <is>
          <t>HAITIANOS</t>
        </is>
      </c>
      <c r="F238" t="inlineStr">
        <is>
          <t>PARANÁ</t>
        </is>
      </c>
      <c r="G238" t="inlineStr">
        <is>
          <t>NATALIA FILIPPIN E MARCELA CARVALHO, G1 PR — CURITIBA</t>
        </is>
      </c>
      <c r="H238" t="inlineStr">
        <is>
          <t>VÍDEO: MOTORISTA DE ÔNIBUS É DEMITIDO APÓS FAZER COMENTÁRIOS SEXISTAS SOBRE MULHERES UCRANIANAS E GESTOS OBSCENOS</t>
        </is>
      </c>
      <c r="I238" t="inlineStr">
        <is>
          <t>CASO OCORREU EM PINHAIS, NA REGIÃO DE CURITIBA. COMEC CONDENOU COMPORTAMENTO DO OPERADOR, O QUAL CLASSIFICA COMO INACEITÁVEL; A EXPRESSO AZUL REPUDIOU O EPISÓDIO E DISSE QUE ABOMINA MANIFESTAÇÕES DE PRECONCEITO. IDENTIDADE DO FUNCIONÁRIO NÃO FOI DIVULGADA.</t>
        </is>
      </c>
      <c r="J238" t="inlineStr"/>
      <c r="K238" t="n">
        <v>0</v>
      </c>
      <c r="L238" t="n">
        <v>2</v>
      </c>
      <c r="M238" t="n">
        <v>2</v>
      </c>
      <c r="N238" t="n">
        <v>0</v>
      </c>
      <c r="O238" t="n">
        <v>13</v>
      </c>
      <c r="P238">
        <f>HYPERLINK("https://g1.globo.com/pr/parana/noticia/2022/03/08/video-motorista-de-onibus-e-demitido-apos-fazer-comentarios-sexistas-sobre-mulheres-ucranianas-e-gestos-obscenos.ghtml", "URL")</f>
        <v/>
      </c>
      <c r="Q238">
        <f>HYPERLINK("https://raw.githubusercontent.com/marcosmapl/dataset_imigrantes/main/materias_filtered/g1/haitianos/2022/02_mar/html/g1_7182b7fa-2306-11ed-b24f-6dbe51e79fca_2259.html", "HTML")</f>
        <v/>
      </c>
      <c r="R238">
        <f>HYPERLINK("https://raw.githubusercontent.com/marcosmapl/dataset_imigrantes/main/materias_filtered/g1/haitianos/2022/02_mar/txt/g1_7182b7fa-2306-11ed-b24f-6dbe51e79fca_2259.txt", "TXT")</f>
        <v/>
      </c>
    </row>
    <row r="239">
      <c r="A239" s="1" t="n">
        <v>237</v>
      </c>
      <c r="B239" t="n">
        <v>2022</v>
      </c>
      <c r="C239" s="2" t="n">
        <v>44628.59068287037</v>
      </c>
      <c r="D239" t="inlineStr">
        <is>
          <t>A CRITICA</t>
        </is>
      </c>
      <c r="E239" t="inlineStr">
        <is>
          <t>VENEZUELANOS</t>
        </is>
      </c>
      <c r="F239" t="inlineStr"/>
      <c r="G239" t="inlineStr">
        <is>
          <t>AGÊNCIA BRASIL</t>
        </is>
      </c>
      <c r="H239" t="inlineStr">
        <is>
          <t>GOVERNO VENEZUELANO DIZ QUE VAI RETOMAR DIÁLOGO COM OPOSIÇÃO</t>
        </is>
      </c>
      <c r="I239" t="inlineStr">
        <is>
          <t>OBJETIVO É FACILITAR RECUPERAÇÃO ECONÔMICA</t>
        </is>
      </c>
      <c r="J239" t="inlineStr"/>
      <c r="K239" t="n">
        <v>0</v>
      </c>
      <c r="L239" t="n">
        <v>1</v>
      </c>
      <c r="M239" t="n">
        <v>0</v>
      </c>
      <c r="N239" t="n">
        <v>0</v>
      </c>
      <c r="O239" t="n">
        <v>0</v>
      </c>
      <c r="P239">
        <f>HYPERLINK("https://www.acritica.com/governo-venezuelano-diz-que-vai-retomar-dialogo-com-oposic-o-1.155208", "URL")</f>
        <v/>
      </c>
      <c r="Q239">
        <f>HYPERLINK("https://raw.githubusercontent.com/marcosmapl/dataset_imigrantes/main/materias_filtered/a_critica/venezuelanos/2022/02_mar/html/1.155208_112.html", "HTML")</f>
        <v/>
      </c>
      <c r="R239">
        <f>HYPERLINK("https://raw.githubusercontent.com/marcosmapl/dataset_imigrantes/main/materias_filtered/a_critica/venezuelanos/2022/02_mar/txt/1.155208_112.txt", "TXT")</f>
        <v/>
      </c>
    </row>
    <row r="240">
      <c r="A240" s="1" t="n">
        <v>238</v>
      </c>
      <c r="B240" t="n">
        <v>2022</v>
      </c>
      <c r="C240" s="2" t="n">
        <v>44628.45886938657</v>
      </c>
      <c r="D240" t="inlineStr">
        <is>
          <t>G1</t>
        </is>
      </c>
      <c r="E240" t="inlineStr">
        <is>
          <t>VENEZUELANOS</t>
        </is>
      </c>
      <c r="F240" t="inlineStr">
        <is>
          <t>RORAIMA</t>
        </is>
      </c>
      <c r="G240" t="inlineStr">
        <is>
          <t>YARA RAMALHO, G1 RR — BOA VISTA</t>
        </is>
      </c>
      <c r="H240" t="inlineStr">
        <is>
          <t>VENEZUELANA PASSA DE VOLUNTÁRIA A COORDENADORA E LIDERA PROJETO PARA MIGRANTES EM RORAIMA: 'SER MULHER É TER VALENTIA'</t>
        </is>
      </c>
      <c r="I240" t="inlineStr">
        <is>
          <t>NESTA TERÇA-FEIRA (8), DIA INTERNACIONAL DA MULHER, O G1 CONTA A HISTÓRIA DA MIGRANTE MARÍA PATRICIA MOLINA CONTRERAS, DE 32 ANOS, QUE VENCEU PRECONCEITOS SOCIAIS E PROFISSIONAIS EM RORAIMA.</t>
        </is>
      </c>
      <c r="J240" t="inlineStr"/>
      <c r="K240" t="n">
        <v>0</v>
      </c>
      <c r="L240" t="n">
        <v>1</v>
      </c>
      <c r="M240" t="n">
        <v>0</v>
      </c>
      <c r="N240" t="n">
        <v>0</v>
      </c>
      <c r="O240" t="n">
        <v>4</v>
      </c>
      <c r="P240">
        <f>HYPERLINK("https://g1.globo.com/rr/roraima/noticia/2022/03/08/venezuelana-passa-de-voluntaria-a-coordenadora-e-lidera-projeto-para-migrantes-em-roraima-ser-mulher-e-ter-valentia.ghtml", "URL")</f>
        <v/>
      </c>
      <c r="Q240">
        <f>HYPERLINK("https://raw.githubusercontent.com/marcosmapl/dataset_imigrantes/main/materias_filtered/g1/venezuelanos/2022/02_mar/html/g1_0c7ee4dc-2329-11ed-b24f-6dbe51e79fca_4097.html", "HTML")</f>
        <v/>
      </c>
      <c r="R240">
        <f>HYPERLINK("https://raw.githubusercontent.com/marcosmapl/dataset_imigrantes/main/materias_filtered/g1/venezuelanos/2022/02_mar/txt/g1_0c7ee4dc-2329-11ed-b24f-6dbe51e79fca_4097.txt", "TXT")</f>
        <v/>
      </c>
    </row>
    <row r="241">
      <c r="A241" s="1" t="n">
        <v>239</v>
      </c>
      <c r="B241" t="n">
        <v>2022</v>
      </c>
      <c r="C241" s="2" t="n">
        <v>44628.3757937037</v>
      </c>
      <c r="D241" t="inlineStr">
        <is>
          <t>G1</t>
        </is>
      </c>
      <c r="E241" t="inlineStr">
        <is>
          <t>AMBOS</t>
        </is>
      </c>
      <c r="F241" t="inlineStr">
        <is>
          <t>BAHIA</t>
        </is>
      </c>
      <c r="G241" t="inlineStr">
        <is>
          <t>ERIC LUIS CARVALHO, G1 BA</t>
        </is>
      </c>
      <c r="H241" t="inlineStr">
        <is>
          <t>LONGE DE CASA, MULHERES IMIGRANTES ESCOLHEM SALVADOR PARA RECOMEÇAR: 'SEGUIMOS LUTANDO'</t>
        </is>
      </c>
      <c r="I241" t="inlineStr">
        <is>
          <t>NO DIA DA MULHER, IMIGRANTES DO HAITI E DA VENEZUELA FALAM SOBRE A BAHIA E SAUDADE DE CASA.</t>
        </is>
      </c>
      <c r="J241" t="inlineStr"/>
      <c r="K241" t="n">
        <v>0</v>
      </c>
      <c r="L241" t="n">
        <v>2</v>
      </c>
      <c r="M241" t="n">
        <v>0</v>
      </c>
      <c r="N241" t="n">
        <v>0</v>
      </c>
      <c r="O241" t="n">
        <v>6</v>
      </c>
      <c r="P241">
        <f>HYPERLINK("https://g1.globo.com/ba/bahia/noticia/2022/03/08/longe-de-casa-mulheres-imigrantes-escolhem-salvador-para-recomecar-seguimos-lutando.ghtml", "URL")</f>
        <v/>
      </c>
      <c r="Q241">
        <f>HYPERLINK("https://raw.githubusercontent.com/marcosmapl/dataset_imigrantes/main/materias_filtered/g1/ambos/2022/02_mar/html/g1_ba07e624-231c-11ed-b24f-6dbe51e79fca_3461.html", "HTML")</f>
        <v/>
      </c>
      <c r="R241">
        <f>HYPERLINK("https://raw.githubusercontent.com/marcosmapl/dataset_imigrantes/main/materias_filtered/g1/ambos/2022/02_mar/txt/g1_ba07e624-231c-11ed-b24f-6dbe51e79fca_3461.txt", "TXT")</f>
        <v/>
      </c>
    </row>
    <row r="242">
      <c r="A242" s="1" t="n">
        <v>240</v>
      </c>
      <c r="B242" t="n">
        <v>2022</v>
      </c>
      <c r="C242" s="2" t="n">
        <v>44628.33541666667</v>
      </c>
      <c r="D242" t="inlineStr">
        <is>
          <t>PORTAL AMAZONIA</t>
        </is>
      </c>
      <c r="E242" t="inlineStr">
        <is>
          <t>VENEZUELANOS</t>
        </is>
      </c>
      <c r="F242" t="inlineStr">
        <is>
          <t>RONDÔNIA</t>
        </is>
      </c>
      <c r="G242" t="inlineStr">
        <is>
          <t>PORTAL AMAZÔNIA, COM INFORMAÇÕES DO G1 RO</t>
        </is>
      </c>
      <c r="H242" t="inlineStr">
        <is>
          <t>PUBLICITÁRIA DE PORTO VELHO CRIA PRIMEIRO BANCO DE IMAGEM DE MULHERES NEGRAS</t>
        </is>
      </c>
      <c r="I242" t="inlineStr">
        <is>
          <t>EM 2017, QUANDO PROCURAVA FOTOS DE PESSOAS PARA INSERIR EM CAMPANHAS, JOANA PERCEBEU QUE QUASE NUNCA ENCONTRAVA IMAGENS DE MULHERES NEGRAS, PRINCIPALMENTE QUE APARENTASSEM SER GENUINAMENTE BRASILEIRAS.</t>
        </is>
      </c>
      <c r="J242" t="inlineStr">
        <is>
          <t>BANCO DE IMAGENS, DIA DAS MULHERES, JOANA MENDES, MULHERES NEGRAS, PORTO VELHO, RONDÔNIA, YOUNG GIFTED AND BLACK</t>
        </is>
      </c>
      <c r="K242" t="n">
        <v>7</v>
      </c>
      <c r="L242" t="n">
        <v>5</v>
      </c>
      <c r="M242" t="n">
        <v>0</v>
      </c>
      <c r="N242" t="n">
        <v>0</v>
      </c>
      <c r="O242" t="n">
        <v>22</v>
      </c>
      <c r="P242">
        <f>HYPERLINK("https://portalamazonia.com/estados/rondonia/publicitaria-de-porto-velho-cria-primeiro-banco-de-imagem-de-mulheres-negras", "URL")</f>
        <v/>
      </c>
      <c r="Q242">
        <f>HYPERLINK("https://raw.githubusercontent.com/marcosmapl/dataset_imigrantes/main/materias_filtered/portal_amazonia/venezuelanos/2022/02_mar/html/35202.85519_1550.html", "HTML")</f>
        <v/>
      </c>
      <c r="R242">
        <f>HYPERLINK("https://raw.githubusercontent.com/marcosmapl/dataset_imigrantes/main/materias_filtered/portal_amazonia/venezuelanos/2022/02_mar/txt/35202.85519_1550.txt", "TXT")</f>
        <v/>
      </c>
    </row>
    <row r="243">
      <c r="A243" s="1" t="n">
        <v>241</v>
      </c>
      <c r="B243" t="n">
        <v>2022</v>
      </c>
      <c r="C243" s="2" t="n">
        <v>44625.7772975</v>
      </c>
      <c r="D243" t="inlineStr">
        <is>
          <t>G1</t>
        </is>
      </c>
      <c r="E243" t="inlineStr">
        <is>
          <t>VENEZUELANOS</t>
        </is>
      </c>
      <c r="F243" t="inlineStr">
        <is>
          <t>CAMPINAS E REGIÃO</t>
        </is>
      </c>
      <c r="G243" t="inlineStr">
        <is>
          <t>EPTV 1</t>
        </is>
      </c>
      <c r="H243" t="inlineStr">
        <is>
          <t>CAMPINAS ATENDE 165 REFUGIADOS NOS DOIS PRIMEIROS MESES DE 2022; 43% SÃO VENEZUELANOS</t>
        </is>
      </c>
      <c r="I243" t="inlineStr">
        <is>
          <t>PROJETO DE AGÊNCIA DA ONU AJUDA MULHERES A ENCONTRAR EMPREGOS NA METRÓPOLE. 'QUANDO EU CHEGUEI AQUI, TUDO MUDOU. TUDO MUDOU E EU ESTOU FELIZ', DIZ UMA DAS BENEFICIADAS.</t>
        </is>
      </c>
      <c r="J243" t="inlineStr"/>
      <c r="K243" t="n">
        <v>0</v>
      </c>
      <c r="L243" t="n">
        <v>1</v>
      </c>
      <c r="M243" t="n">
        <v>1</v>
      </c>
      <c r="N243" t="n">
        <v>0</v>
      </c>
      <c r="O243" t="n">
        <v>3</v>
      </c>
      <c r="P243">
        <f>HYPERLINK("https://g1.globo.com/sp/campinas-regiao/noticia/2022/03/05/campinas-atende-165-refugiados-nos-dois-primeiros-meses-de-2022-43percent-sao-venezuelanos.ghtml", "URL")</f>
        <v/>
      </c>
      <c r="Q243">
        <f>HYPERLINK("https://raw.githubusercontent.com/marcosmapl/dataset_imigrantes/main/materias_filtered/g1/venezuelanos/2022/02_mar/html/g1_b03f32b6-2306-11ed-b24f-6dbe51e79fca_2273.html", "HTML")</f>
        <v/>
      </c>
      <c r="R243">
        <f>HYPERLINK("https://raw.githubusercontent.com/marcosmapl/dataset_imigrantes/main/materias_filtered/g1/venezuelanos/2022/02_mar/txt/g1_b03f32b6-2306-11ed-b24f-6dbe51e79fca_2273.txt", "TXT")</f>
        <v/>
      </c>
    </row>
    <row r="244">
      <c r="A244" s="1" t="n">
        <v>242</v>
      </c>
      <c r="B244" t="n">
        <v>2022</v>
      </c>
      <c r="C244" s="2" t="n">
        <v>44624.33680555555</v>
      </c>
      <c r="D244" t="inlineStr">
        <is>
          <t>PORTAL AMAZONIA</t>
        </is>
      </c>
      <c r="E244" t="inlineStr">
        <is>
          <t>VENEZUELANOS</t>
        </is>
      </c>
      <c r="F244" t="inlineStr">
        <is>
          <t>BORA DE TRIP</t>
        </is>
      </c>
      <c r="G244" t="inlineStr">
        <is>
          <t>GILDO JÚNIOR - BORADETRIPP@GMAIL.COM</t>
        </is>
      </c>
      <c r="H244" t="inlineStr">
        <is>
          <t>MONTE RORAIMA, O MUNDO PERDIDO!</t>
        </is>
      </c>
      <c r="I244" t="inlineStr">
        <is>
          <t>TERRA DE LENDAS E HISTÓRIAS, MORADA PERMANENTE DO MACUNAÍMA, SEU PROTETOR.</t>
        </is>
      </c>
      <c r="J244" t="inlineStr">
        <is>
          <t>BORA DE TRIP</t>
        </is>
      </c>
      <c r="K244" t="n">
        <v>1</v>
      </c>
      <c r="L244" t="n">
        <v>64</v>
      </c>
      <c r="M244" t="n">
        <v>1</v>
      </c>
      <c r="N244" t="n">
        <v>0</v>
      </c>
      <c r="O244" t="n">
        <v>22</v>
      </c>
      <c r="P244">
        <f>HYPERLINK("https://portalamazonia.com/bora-de-trip/monte-roraima-o-mundo-perdido", "URL")</f>
        <v/>
      </c>
      <c r="Q244">
        <f>HYPERLINK("https://raw.githubusercontent.com/marcosmapl/dataset_imigrantes/main/materias_filtered/portal_amazonia/venezuelanos/2022/02_mar/html/35175.85447_1599.html", "HTML")</f>
        <v/>
      </c>
      <c r="R244">
        <f>HYPERLINK("https://raw.githubusercontent.com/marcosmapl/dataset_imigrantes/main/materias_filtered/portal_amazonia/venezuelanos/2022/02_mar/txt/35175.85447_1599.txt", "TXT")</f>
        <v/>
      </c>
    </row>
    <row r="245">
      <c r="A245" s="1" t="n">
        <v>243</v>
      </c>
      <c r="B245" t="n">
        <v>2022</v>
      </c>
      <c r="C245" s="2" t="n">
        <v>44623.54166666666</v>
      </c>
      <c r="D245" t="inlineStr">
        <is>
          <t>PORTAL AMAZONIA</t>
        </is>
      </c>
      <c r="E245" t="inlineStr">
        <is>
          <t>VENEZUELANOS</t>
        </is>
      </c>
      <c r="F245" t="inlineStr">
        <is>
          <t>AMAZÔNIA INTERNACIONAL</t>
        </is>
      </c>
      <c r="G245" t="inlineStr">
        <is>
          <t>REDAÇÃO - JORNALISMO@PORTALAMAZONIA.COM</t>
        </is>
      </c>
      <c r="H245" t="inlineStr">
        <is>
          <t>SAIBA QUANTOS AMAZONAS EXISTEM NA AMAZÔNIA INTERNACIONAL</t>
        </is>
      </c>
      <c r="I245" t="inlineStr">
        <is>
          <t>UM É O MAIOR ESTADO BRASILEIRO, MAS OUTROS PAÍSES TAMBÉM POSSUEM UM AMAZONAS PARA CHAMAR DE SEU.</t>
        </is>
      </c>
      <c r="J245" t="inlineStr">
        <is>
          <t>AMAZONAS, AMAZÔNIA, AMAZÔNIA INTERNACIONAL, BRASIL, COLÔMBIA, CURIOSIDADE, PERU, VENEZUELA</t>
        </is>
      </c>
      <c r="K245" t="n">
        <v>8</v>
      </c>
      <c r="L245" t="n">
        <v>8</v>
      </c>
      <c r="M245" t="n">
        <v>0</v>
      </c>
      <c r="N245" t="n">
        <v>0</v>
      </c>
      <c r="O245" t="n">
        <v>25</v>
      </c>
      <c r="P245">
        <f>HYPERLINK("https://portalamazonia.com/estados/amazonia-internacional/saiba-quantos-amazonas-existem-na-amazonia-internacional", "URL")</f>
        <v/>
      </c>
      <c r="Q245">
        <f>HYPERLINK("https://raw.githubusercontent.com/marcosmapl/dataset_imigrantes/main/materias_filtered/portal_amazonia/venezuelanos/2022/02_mar/html/35170.85418_1446.html", "HTML")</f>
        <v/>
      </c>
      <c r="R245">
        <f>HYPERLINK("https://raw.githubusercontent.com/marcosmapl/dataset_imigrantes/main/materias_filtered/portal_amazonia/venezuelanos/2022/02_mar/txt/35170.85418_1446.txt", "TXT")</f>
        <v/>
      </c>
    </row>
    <row r="246">
      <c r="A246" s="1" t="n">
        <v>244</v>
      </c>
      <c r="B246" t="n">
        <v>2022</v>
      </c>
      <c r="C246" s="2" t="n">
        <v>44623.52186925926</v>
      </c>
      <c r="D246" t="inlineStr">
        <is>
          <t>G1</t>
        </is>
      </c>
      <c r="E246" t="inlineStr">
        <is>
          <t>VENEZUELANOS</t>
        </is>
      </c>
      <c r="F246" t="inlineStr">
        <is>
          <t>SANTARÉM E REGIÃO</t>
        </is>
      </c>
      <c r="G246" t="inlineStr">
        <is>
          <t>SÍLVIA VIEIRA, G1 SANTARÉM E REGIÃO — PA</t>
        </is>
      </c>
      <c r="H246" t="inlineStr">
        <is>
          <t>VENEZUELANO E COMPARSA SÃO PRESOS POR TRÁFICO DE DROGAS EM RURÓPOLIS DURANTE RONDA DA PM</t>
        </is>
      </c>
      <c r="I246" t="inlineStr">
        <is>
          <t>POLÍCIA CIVIL SOLICITOU À JUSTIÇA A CONVERSÃO DO FLAGRANTE DA DUPLA EM PRISÃO PREVENTIVA.</t>
        </is>
      </c>
      <c r="J246" t="inlineStr"/>
      <c r="K246" t="n">
        <v>0</v>
      </c>
      <c r="L246" t="n">
        <v>2</v>
      </c>
      <c r="M246" t="n">
        <v>0</v>
      </c>
      <c r="N246" t="n">
        <v>0</v>
      </c>
      <c r="O246" t="n">
        <v>5</v>
      </c>
      <c r="P246">
        <f>HYPERLINK("https://g1.globo.com/pa/santarem-regiao/noticia/2022/03/03/venezuelano-e-comparsa-sao-presos-por-trafico-de-drogas-em-ruropolis-durante-ronda-da-pm.ghtml", "URL")</f>
        <v/>
      </c>
      <c r="Q246">
        <f>HYPERLINK("https://raw.githubusercontent.com/marcosmapl/dataset_imigrantes/main/materias_filtered/g1/venezuelanos/2022/02_mar/html/g1_39c5aa86-2309-11ed-b24f-6dbe51e79fca_2434.html", "HTML")</f>
        <v/>
      </c>
      <c r="R246">
        <f>HYPERLINK("https://raw.githubusercontent.com/marcosmapl/dataset_imigrantes/main/materias_filtered/g1/venezuelanos/2022/02_mar/txt/g1_39c5aa86-2309-11ed-b24f-6dbe51e79fca_2434.txt", "TXT")</f>
        <v/>
      </c>
    </row>
    <row r="247">
      <c r="A247" s="1" t="n">
        <v>245</v>
      </c>
      <c r="B247" t="n">
        <v>2022</v>
      </c>
      <c r="C247" s="2" t="n">
        <v>44620.81332145834</v>
      </c>
      <c r="D247" t="inlineStr">
        <is>
          <t>G1</t>
        </is>
      </c>
      <c r="E247" t="inlineStr">
        <is>
          <t>VENEZUELANOS</t>
        </is>
      </c>
      <c r="F247" t="inlineStr">
        <is>
          <t>MINAS GERAIS</t>
        </is>
      </c>
      <c r="G247" t="inlineStr">
        <is>
          <t>THAIS PIMENTEL, G1 MINAS — BELO HORIZONTE</t>
        </is>
      </c>
      <c r="H247" t="inlineStr">
        <is>
          <t>PASSAGEIROS DENUNCIAM QUE INDÍGENAS VENEZUELANOS SÃO CONSTANTEMENTE HOSTILIZADOS EM ÔNIBUS DE BH</t>
        </is>
      </c>
      <c r="I247" t="inlineStr">
        <is>
          <t>UM VÍDEO FEITO NA SEXTA-FEIRA (25) MOSTRA UMA FAMÍLIA INTEIRA SENTADA NOS DEGRAUS DE UM COLETIVO. A MULHER QUE FILMOU ALEGA QUE ELES SÃO SEMPRE IGNORADOS.</t>
        </is>
      </c>
      <c r="J247" t="inlineStr"/>
      <c r="K247" t="n">
        <v>0</v>
      </c>
      <c r="L247" t="n">
        <v>2</v>
      </c>
      <c r="M247" t="n">
        <v>1</v>
      </c>
      <c r="N247" t="n">
        <v>0</v>
      </c>
      <c r="O247" t="n">
        <v>5</v>
      </c>
      <c r="P247">
        <f>HYPERLINK("https://g1.globo.com/mg/minas-gerais/noticia/2022/02/28/passageiros-denunciam-que-indigenas-venezuelanos-sao-constantemente-hostilizados-em-onibus-de-bh.ghtml", "URL")</f>
        <v/>
      </c>
      <c r="Q247">
        <f>HYPERLINK("https://raw.githubusercontent.com/marcosmapl/dataset_imigrantes/main/materias_filtered/g1/venezuelanos/2022/01_fev/html/g1_20ab18e4-2325-11ed-b24f-6dbe51e79fca_3897.html", "HTML")</f>
        <v/>
      </c>
      <c r="R247">
        <f>HYPERLINK("https://raw.githubusercontent.com/marcosmapl/dataset_imigrantes/main/materias_filtered/g1/venezuelanos/2022/01_fev/txt/g1_20ab18e4-2325-11ed-b24f-6dbe51e79fca_3897.txt", "TXT")</f>
        <v/>
      </c>
    </row>
    <row r="248">
      <c r="A248" s="1" t="n">
        <v>246</v>
      </c>
      <c r="B248" t="n">
        <v>2022</v>
      </c>
      <c r="C248" s="2" t="n">
        <v>44620.47437287037</v>
      </c>
      <c r="D248" t="inlineStr">
        <is>
          <t>G1</t>
        </is>
      </c>
      <c r="E248" t="inlineStr">
        <is>
          <t>HAITIANOS</t>
        </is>
      </c>
      <c r="F248" t="inlineStr">
        <is>
          <t>PARANÁ</t>
        </is>
      </c>
      <c r="G248" t="inlineStr">
        <is>
          <t>RPC CURITIBA</t>
        </is>
      </c>
      <c r="H248" t="inlineStr">
        <is>
          <t>HAITIANO É MORTO A TIROS DENTRO DE CARRO EM CURITIBA, DIZ PM</t>
        </is>
      </c>
      <c r="I248" t="inlineStr">
        <is>
          <t>CASO OCORREU NO BAIRRO ALTO BOQUEIRÃO, NA MADRUGADA DESTA SEGUNDA-FEIRA (28). CÂMERAS DE SEGURANÇA REGISTRARAM O CRIME; NINGUÉM FOI PRESO.</t>
        </is>
      </c>
      <c r="J248" t="inlineStr"/>
      <c r="K248" t="n">
        <v>0</v>
      </c>
      <c r="L248" t="n">
        <v>4</v>
      </c>
      <c r="M248" t="n">
        <v>2</v>
      </c>
      <c r="N248" t="n">
        <v>0</v>
      </c>
      <c r="O248" t="n">
        <v>3</v>
      </c>
      <c r="P248">
        <f>HYPERLINK("https://g1.globo.com/pr/parana/noticia/2022/02/28/haitiano-e-morto-a-tiros-dentro-de-carro-em-curitiba-diz-pm.ghtml", "URL")</f>
        <v/>
      </c>
      <c r="Q248">
        <f>HYPERLINK("https://raw.githubusercontent.com/marcosmapl/dataset_imigrantes/main/materias_filtered/g1/haitianos/2022/01_fev/html/g1_94941d60-22f2-11ed-b24f-6dbe51e79fca_1805.html", "HTML")</f>
        <v/>
      </c>
      <c r="R248">
        <f>HYPERLINK("https://raw.githubusercontent.com/marcosmapl/dataset_imigrantes/main/materias_filtered/g1/haitianos/2022/01_fev/txt/g1_94941d60-22f2-11ed-b24f-6dbe51e79fca_1805.txt", "TXT")</f>
        <v/>
      </c>
    </row>
    <row r="249">
      <c r="A249" s="1" t="n">
        <v>247</v>
      </c>
      <c r="B249" t="n">
        <v>2022</v>
      </c>
      <c r="C249" s="2" t="n">
        <v>44618.55391203704</v>
      </c>
      <c r="D249" t="inlineStr">
        <is>
          <t>A CRITICA</t>
        </is>
      </c>
      <c r="E249" t="inlineStr">
        <is>
          <t>VENEZUELANOS</t>
        </is>
      </c>
      <c r="F249" t="inlineStr"/>
      <c r="G249" t="inlineStr">
        <is>
          <t>NATASHA PINTO</t>
        </is>
      </c>
      <c r="H249" t="inlineStr">
        <is>
          <t>FORAGIDO CANADENSE QUE SE PASSAVA POR VENEZUELANO É PRESO EM MANAUS</t>
        </is>
      </c>
      <c r="I249" t="inlineStr">
        <is>
          <t>HOMEM TINHA MANDATOS DE PRISÃO POR COMETER CRIMES COMO EXPLORAÇÃO SEXUAL DE MENORES E POSSE DE ARMA DE FOGO. OS CRIMES FORAM COMETIDOS NA COLÔMBIA</t>
        </is>
      </c>
      <c r="J249" t="inlineStr"/>
      <c r="K249" t="n">
        <v>0</v>
      </c>
      <c r="L249" t="n">
        <v>1</v>
      </c>
      <c r="M249" t="n">
        <v>0</v>
      </c>
      <c r="N249" t="n">
        <v>0</v>
      </c>
      <c r="O249" t="n">
        <v>0</v>
      </c>
      <c r="P249">
        <f>HYPERLINK("https://www.acritica.com/foragido-canadense-que-se-passava-por-venezuelano-e-preso-em-manaus-1.154776", "URL")</f>
        <v/>
      </c>
      <c r="Q249">
        <f>HYPERLINK("https://raw.githubusercontent.com/marcosmapl/dataset_imigrantes/main/materias_filtered/a_critica/venezuelanos/2022/01_fev/html/1.154776_228.html", "HTML")</f>
        <v/>
      </c>
      <c r="R249">
        <f>HYPERLINK("https://raw.githubusercontent.com/marcosmapl/dataset_imigrantes/main/materias_filtered/a_critica/venezuelanos/2022/01_fev/txt/1.154776_228.txt", "TXT")</f>
        <v/>
      </c>
    </row>
    <row r="250">
      <c r="A250" s="1" t="n">
        <v>248</v>
      </c>
      <c r="B250" t="n">
        <v>2022</v>
      </c>
      <c r="C250" s="2" t="n">
        <v>44617.88043041667</v>
      </c>
      <c r="D250" t="inlineStr">
        <is>
          <t>G1</t>
        </is>
      </c>
      <c r="E250" t="inlineStr">
        <is>
          <t>VENEZUELANOS</t>
        </is>
      </c>
      <c r="F250" t="inlineStr">
        <is>
          <t>RORAIMA</t>
        </is>
      </c>
      <c r="G250" t="inlineStr">
        <is>
          <t>CAÍQUE RODRIGUES, G1 RR — BOA VISTA</t>
        </is>
      </c>
      <c r="H250" t="inlineStr">
        <is>
          <t>VENEZUELA REABRE FRONTEIRA COM O BRASIL; ITAMARATY DIZ QUE NÃO FOI COMUNICADO</t>
        </is>
      </c>
      <c r="I250" t="inlineStr">
        <is>
          <t>FRONTEIRA DO LADO VENEZUELANO ESTAVA FECHADA DESDE 22 DE DEZEMBRO DE 2020, SEGUNDO A PREFEITURA DE PACARAIMA, MUNICÍPIO BRASILEIRO VIZINHO AO PAÍS.</t>
        </is>
      </c>
      <c r="J250" t="inlineStr"/>
      <c r="K250" t="n">
        <v>0</v>
      </c>
      <c r="L250" t="n">
        <v>1</v>
      </c>
      <c r="M250" t="n">
        <v>0</v>
      </c>
      <c r="N250" t="n">
        <v>0</v>
      </c>
      <c r="O250" t="n">
        <v>4</v>
      </c>
      <c r="P250">
        <f>HYPERLINK("https://g1.globo.com/rr/roraima/noticia/2022/02/25/venezuela-reabre-fronteira-com-o-brasil-itamaraty-diz-que-nao-foi-comunicado.ghtml", "URL")</f>
        <v/>
      </c>
      <c r="Q250">
        <f>HYPERLINK("https://raw.githubusercontent.com/marcosmapl/dataset_imigrantes/main/materias_filtered/g1/venezuelanos/2022/01_fev/html/g1_97ab54f0-231a-11ed-b24f-6dbe51e79fca_3343.html", "HTML")</f>
        <v/>
      </c>
      <c r="R250">
        <f>HYPERLINK("https://raw.githubusercontent.com/marcosmapl/dataset_imigrantes/main/materias_filtered/g1/venezuelanos/2022/01_fev/txt/g1_97ab54f0-231a-11ed-b24f-6dbe51e79fca_3343.txt", "TXT")</f>
        <v/>
      </c>
    </row>
    <row r="251">
      <c r="A251" s="1" t="n">
        <v>249</v>
      </c>
      <c r="B251" t="n">
        <v>2022</v>
      </c>
      <c r="C251" s="2" t="n">
        <v>44616.41721318287</v>
      </c>
      <c r="D251" t="inlineStr">
        <is>
          <t>G1</t>
        </is>
      </c>
      <c r="E251" t="inlineStr">
        <is>
          <t>VENEZUELANOS</t>
        </is>
      </c>
      <c r="F251" t="inlineStr">
        <is>
          <t>RORAIMA</t>
        </is>
      </c>
      <c r="G251" t="inlineStr">
        <is>
          <t>G1 RR — BOA VISTA</t>
        </is>
      </c>
      <c r="H251" t="inlineStr">
        <is>
          <t>VISÃO MUNDIAL OFERECE 50 VAGAS PARA BRASILEIROS E VENEZUELANOS EM CURSOS PROFISSIONALIZANTES EM RR</t>
        </is>
      </c>
      <c r="I251" t="inlineStr">
        <is>
          <t>INSCRIÇÕES OCORREM DE 24 DE FEVEREIRO A 11 DE MARÇO, NA SEDE DA ADRA EM BOA VISTA</t>
        </is>
      </c>
      <c r="J251" t="inlineStr"/>
      <c r="K251" t="n">
        <v>0</v>
      </c>
      <c r="L251" t="n">
        <v>1</v>
      </c>
      <c r="M251" t="n">
        <v>0</v>
      </c>
      <c r="N251" t="n">
        <v>0</v>
      </c>
      <c r="O251" t="n">
        <v>1</v>
      </c>
      <c r="P251">
        <f>HYPERLINK("https://g1.globo.com/rr/roraima/noticia/2022/02/24/visao-mundial-oferece-50-vagas-para-brasileiros-e-venezuelanos-em-cursos-profissionalizantes-em-rr.ghtml", "URL")</f>
        <v/>
      </c>
      <c r="Q251">
        <f>HYPERLINK("https://raw.githubusercontent.com/marcosmapl/dataset_imigrantes/main/materias_filtered/g1/venezuelanos/2022/01_fev/html/g1_811547be-231f-11ed-b24f-6dbe51e79fca_3627.html", "HTML")</f>
        <v/>
      </c>
      <c r="R251">
        <f>HYPERLINK("https://raw.githubusercontent.com/marcosmapl/dataset_imigrantes/main/materias_filtered/g1/venezuelanos/2022/01_fev/txt/g1_811547be-231f-11ed-b24f-6dbe51e79fca_3627.txt", "TXT")</f>
        <v/>
      </c>
    </row>
    <row r="252">
      <c r="A252" s="1" t="n">
        <v>250</v>
      </c>
      <c r="B252" t="n">
        <v>2022</v>
      </c>
      <c r="C252" s="2" t="n">
        <v>44613.62479017361</v>
      </c>
      <c r="D252" t="inlineStr">
        <is>
          <t>G1</t>
        </is>
      </c>
      <c r="E252" t="inlineStr">
        <is>
          <t>HAITIANOS</t>
        </is>
      </c>
      <c r="F252" t="inlineStr">
        <is>
          <t>MUNDO</t>
        </is>
      </c>
      <c r="G252" t="inlineStr">
        <is>
          <t>VALOR ONLINE</t>
        </is>
      </c>
      <c r="H252" t="inlineStr">
        <is>
          <t>REPÚBLICA DOMINICANA INICIA CONSTRUÇÃO DE MURO NA FRONTEIRA COM O HAITI</t>
        </is>
      </c>
      <c r="I252" t="inlineStr">
        <is>
          <t>SEGUNDO O PRESIDENTE DO PAÍS, MURO VISA COIBIR A IMIGRAÇÃO ILEGAL E O TRÁFICO. HAITI É O PAÍS MAIS POBRE DAS AMÉRICAS E MUITOS HAITIANOS CRUZAM A FRONTEIRA EM BUSCA DE EMPREGO.</t>
        </is>
      </c>
      <c r="J252" t="inlineStr"/>
      <c r="K252" t="n">
        <v>0</v>
      </c>
      <c r="L252" t="n">
        <v>3</v>
      </c>
      <c r="M252" t="n">
        <v>1</v>
      </c>
      <c r="N252" t="n">
        <v>0</v>
      </c>
      <c r="O252" t="n">
        <v>6</v>
      </c>
      <c r="P252">
        <f>HYPERLINK("https://g1.globo.com/noticia/2022/02/21/republica-dominicana-inicia-construcao-de-muro-na-fronteira-com-o-haiti.ghtml", "URL")</f>
        <v/>
      </c>
      <c r="Q252">
        <f>HYPERLINK("https://raw.githubusercontent.com/marcosmapl/dataset_imigrantes/main/materias_filtered/g1/haitianos/2022/01_fev/html/g1_0c8251f8-22f7-11ed-b24f-6dbe51e79fca_2055.html", "HTML")</f>
        <v/>
      </c>
      <c r="R252">
        <f>HYPERLINK("https://raw.githubusercontent.com/marcosmapl/dataset_imigrantes/main/materias_filtered/g1/haitianos/2022/01_fev/txt/g1_0c8251f8-22f7-11ed-b24f-6dbe51e79fca_2055.txt", "TXT")</f>
        <v/>
      </c>
    </row>
    <row r="253">
      <c r="A253" s="1" t="n">
        <v>251</v>
      </c>
      <c r="B253" t="n">
        <v>2022</v>
      </c>
      <c r="C253" s="2" t="n">
        <v>44612.83961006944</v>
      </c>
      <c r="D253" t="inlineStr">
        <is>
          <t>G1</t>
        </is>
      </c>
      <c r="E253" t="inlineStr">
        <is>
          <t>VENEZUELANOS</t>
        </is>
      </c>
      <c r="F253" t="inlineStr">
        <is>
          <t>TRIÂNGULO E ALTO PARANAÍBA</t>
        </is>
      </c>
      <c r="G253" t="inlineStr">
        <is>
          <t>MARIA JÚLIA ARAÚJO, G1 TRIÂNGULO E ALTO PARANAÍBA — UBERABA</t>
        </is>
      </c>
      <c r="H253" t="inlineStr">
        <is>
          <t>INDÍGENAS VENEZUELANOS REFUGIADOS DA CRISE RECLAMAM DE FALTA DE SUPORTE EM UBERABA: 'QUEREMOS UMA VIDA NOVA'</t>
        </is>
      </c>
      <c r="I253" t="inlineStr">
        <is>
          <t>FAMÍLIAS CHEGARAM AO MUNICÍPIO EM 2021, MAS ALGUNS DELES ESTÃO NO BRASIL DESDE 2017, E JÁ PASSARAM POR CIDADES COMO UBERLÂNDIA, PACARAIMA (RO) E MANAUS (AM). ELES ALEGAM QUE O MOTIVO DA MUDANÇA FREQUENTE É A FALTA DE TRABALHO; VEJA O QUE DISSE A PREFEITURA E ENTENDA A SITUAÇÃO DA VENEZUELA.</t>
        </is>
      </c>
      <c r="J253" t="inlineStr"/>
      <c r="K253" t="n">
        <v>0</v>
      </c>
      <c r="L253" t="n">
        <v>1</v>
      </c>
      <c r="M253" t="n">
        <v>0</v>
      </c>
      <c r="N253" t="n">
        <v>0</v>
      </c>
      <c r="O253" t="n">
        <v>14</v>
      </c>
      <c r="P253">
        <f>HYPERLINK("https://g1.globo.com/mg/triangulo-mineiro/noticia/2022/02/20/indigenas-venezuelanos-refugiados-da-crise-reclamam-de-falta-de-suporte-em-uberaba-queremos-uma-vida-nova.ghtml", "URL")</f>
        <v/>
      </c>
      <c r="Q253">
        <f>HYPERLINK("https://raw.githubusercontent.com/marcosmapl/dataset_imigrantes/main/materias_filtered/g1/venezuelanos/2022/01_fev/html/g1_caa84ab0-230c-11ed-b24f-6dbe51e79fca_2647.html", "HTML")</f>
        <v/>
      </c>
      <c r="R253">
        <f>HYPERLINK("https://raw.githubusercontent.com/marcosmapl/dataset_imigrantes/main/materias_filtered/g1/venezuelanos/2022/01_fev/txt/g1_caa84ab0-230c-11ed-b24f-6dbe51e79fca_2647.txt", "TXT")</f>
        <v/>
      </c>
    </row>
    <row r="254">
      <c r="A254" s="1" t="n">
        <v>252</v>
      </c>
      <c r="B254" t="n">
        <v>2022</v>
      </c>
      <c r="C254" s="2" t="n">
        <v>44611.55034347222</v>
      </c>
      <c r="D254" t="inlineStr">
        <is>
          <t>G1</t>
        </is>
      </c>
      <c r="E254" t="inlineStr">
        <is>
          <t>VENEZUELANOS</t>
        </is>
      </c>
      <c r="F254" t="inlineStr">
        <is>
          <t>ESPÍRITO SANTO</t>
        </is>
      </c>
      <c r="G254" t="inlineStr">
        <is>
          <t>G1 ES</t>
        </is>
      </c>
      <c r="H254" t="inlineStr">
        <is>
          <t>SUSPEITO DE AGREDIR VENEZUELANO EM POSTO DE COMBUSTÍVEL DE VITÓRIA É LIBERADO DA PRISÃO</t>
        </is>
      </c>
      <c r="I254" t="inlineStr">
        <is>
          <t>AGRESSÃO ACONTECEU NO DIA 30 DE JANEIRO E O HOMEM EM SITUAÇÃO DE RUA SUSPEITO DO CRIME ESTAVA PRESO DESDE 11 DE FEVEREIRO. VENEZUELANO CONTINUA INTERNADO.</t>
        </is>
      </c>
      <c r="J254" t="inlineStr"/>
      <c r="K254" t="n">
        <v>0</v>
      </c>
      <c r="L254" t="n">
        <v>2</v>
      </c>
      <c r="M254" t="n">
        <v>1</v>
      </c>
      <c r="N254" t="n">
        <v>0</v>
      </c>
      <c r="O254" t="n">
        <v>7</v>
      </c>
      <c r="P254">
        <f>HYPERLINK("https://g1.globo.com/es/espirito-santo/noticia/2022/02/19/suspeito-de-agredir-venezuelano-em-posto-de-combustivel-de-vitoria-e-liberado-da-prisao.ghtml", "URL")</f>
        <v/>
      </c>
      <c r="Q254">
        <f>HYPERLINK("https://raw.githubusercontent.com/marcosmapl/dataset_imigrantes/main/materias_filtered/g1/venezuelanos/2022/01_fev/html/g1_ac65e57c-2310-11ed-b24f-6dbe51e79fca_2869.html", "HTML")</f>
        <v/>
      </c>
      <c r="R254">
        <f>HYPERLINK("https://raw.githubusercontent.com/marcosmapl/dataset_imigrantes/main/materias_filtered/g1/venezuelanos/2022/01_fev/txt/g1_ac65e57c-2310-11ed-b24f-6dbe51e79fca_2869.txt", "TXT")</f>
        <v/>
      </c>
    </row>
    <row r="255">
      <c r="A255" s="1" t="n">
        <v>253</v>
      </c>
      <c r="B255" t="n">
        <v>2022</v>
      </c>
      <c r="C255" s="2" t="n">
        <v>44609.9603455787</v>
      </c>
      <c r="D255" t="inlineStr">
        <is>
          <t>G1</t>
        </is>
      </c>
      <c r="E255" t="inlineStr">
        <is>
          <t>VENEZUELANOS</t>
        </is>
      </c>
      <c r="F255" t="inlineStr">
        <is>
          <t>MINAS GERAIS</t>
        </is>
      </c>
      <c r="G255" t="inlineStr">
        <is>
          <t>MG2 — BELO HORIZONTE</t>
        </is>
      </c>
      <c r="H255" t="inlineStr">
        <is>
          <t>MUTIRÃO TENTA REGULARIZAR SITUAÇÃO DE INDÍGENAS VENEZUELANOS DA ETNIA WARAO REFUGIADOS EM BH</t>
        </is>
      </c>
      <c r="I255" t="inlineStr">
        <is>
          <t>SERVIÇO ATENDE A 82 PESSOAS, ENTRE ELAS, 15 CRIANÇAS, SEIS GESTANTES E UM CASAL DE IDOSOS.</t>
        </is>
      </c>
      <c r="J255" t="inlineStr"/>
      <c r="K255" t="n">
        <v>0</v>
      </c>
      <c r="L255" t="n">
        <v>2</v>
      </c>
      <c r="M255" t="n">
        <v>1</v>
      </c>
      <c r="N255" t="n">
        <v>0</v>
      </c>
      <c r="O255" t="n">
        <v>8</v>
      </c>
      <c r="P255">
        <f>HYPERLINK("https://g1.globo.com/mg/minas-gerais/noticia/2022/02/17/mutirao-tenta-regularizar-situacao-de-indios-venezuelanos-da-etnia-warao-refugiados-em-bh.ghtml", "URL")</f>
        <v/>
      </c>
      <c r="Q255">
        <f>HYPERLINK("https://raw.githubusercontent.com/marcosmapl/dataset_imigrantes/main/materias_filtered/g1/venezuelanos/2022/01_fev/html/g1_0101f612-2310-11ed-b24f-6dbe51e79fca_2833.html", "HTML")</f>
        <v/>
      </c>
      <c r="R255">
        <f>HYPERLINK("https://raw.githubusercontent.com/marcosmapl/dataset_imigrantes/main/materias_filtered/g1/venezuelanos/2022/01_fev/txt/g1_0101f612-2310-11ed-b24f-6dbe51e79fca_2833.txt", "TXT")</f>
        <v/>
      </c>
    </row>
    <row r="256">
      <c r="A256" s="1" t="n">
        <v>254</v>
      </c>
      <c r="B256" t="n">
        <v>2022</v>
      </c>
      <c r="C256" s="2" t="n">
        <v>44609.76319444444</v>
      </c>
      <c r="D256" t="inlineStr">
        <is>
          <t>A CRITICA</t>
        </is>
      </c>
      <c r="E256" t="inlineStr">
        <is>
          <t>VENEZUELANOS</t>
        </is>
      </c>
      <c r="F256" t="inlineStr"/>
      <c r="G256" t="inlineStr">
        <is>
          <t>AFP</t>
        </is>
      </c>
      <c r="H256" t="inlineStr">
        <is>
          <t>VENEZUELA DETÉM 21 POR TRÁFICO, INCLUSIVE DEPUTADOS E PREFEITOS CHAVISTAS</t>
        </is>
      </c>
      <c r="I256" t="inlineStr">
        <is>
          <t>O PROCURADOR-GERAL TAREK WILLIAM SAAB AFIRMOU QUE AUTORIDADES ESTÃO DETIDAS E UM PROCESSO DE INVESTIGAÇÃO FOI ABERTO</t>
        </is>
      </c>
      <c r="J256" t="inlineStr"/>
      <c r="K256" t="n">
        <v>0</v>
      </c>
      <c r="L256" t="n">
        <v>1</v>
      </c>
      <c r="M256" t="n">
        <v>0</v>
      </c>
      <c r="N256" t="n">
        <v>0</v>
      </c>
      <c r="O256" t="n">
        <v>0</v>
      </c>
      <c r="P256">
        <f>HYPERLINK("https://www.acritica.com/venezuela-detem-21-por-trafico-inclusive-deputados-e-prefeitos-chavistas-1.154091", "URL")</f>
        <v/>
      </c>
      <c r="Q256">
        <f>HYPERLINK("https://raw.githubusercontent.com/marcosmapl/dataset_imigrantes/main/materias_filtered/a_critica/venezuelanos/2022/01_fev/html/1.154091_219.html", "HTML")</f>
        <v/>
      </c>
      <c r="R256">
        <f>HYPERLINK("https://raw.githubusercontent.com/marcosmapl/dataset_imigrantes/main/materias_filtered/a_critica/venezuelanos/2022/01_fev/txt/1.154091_219.txt", "TXT")</f>
        <v/>
      </c>
    </row>
    <row r="257">
      <c r="A257" s="1" t="n">
        <v>255</v>
      </c>
      <c r="B257" t="n">
        <v>2022</v>
      </c>
      <c r="C257" s="2" t="n">
        <v>44609.55737556713</v>
      </c>
      <c r="D257" t="inlineStr">
        <is>
          <t>G1</t>
        </is>
      </c>
      <c r="E257" t="inlineStr">
        <is>
          <t>HAITIANOS</t>
        </is>
      </c>
      <c r="F257" t="inlineStr">
        <is>
          <t>RONDÔNIA</t>
        </is>
      </c>
      <c r="G257" t="inlineStr">
        <is>
          <t>JHENIFFER NÚBIA, G1 RO</t>
        </is>
      </c>
      <c r="H257" t="inlineStr">
        <is>
          <t>HAITIANO É BALEADO E ROUBADO APÓS SAIR DE BANCO COM R$ 13 MIL EM PORTO VELHO</t>
        </is>
      </c>
      <c r="I257" t="inlineStr">
        <is>
          <t>ESTRANGEIRO TRABALHA COMO MECÂNICO EM UMA EMPRESA DA CAPITAL. AO G1, O GERENTE INFORMOU QUE O FUNCIONÁRIO PASSOU POR UMA CIRURGIA E ESPERA PARA FAZER OUTRA.</t>
        </is>
      </c>
      <c r="J257" t="inlineStr"/>
      <c r="K257" t="n">
        <v>0</v>
      </c>
      <c r="L257" t="n">
        <v>1</v>
      </c>
      <c r="M257" t="n">
        <v>0</v>
      </c>
      <c r="N257" t="n">
        <v>0</v>
      </c>
      <c r="O257" t="n">
        <v>10</v>
      </c>
      <c r="P257">
        <f>HYPERLINK("https://g1.globo.com/ro/rondonia/noticia/2022/02/17/haitiano-e-baleado-e-roubado-apos-sair-de-banco-com-r-13-mil-em-porto-velho.ghtml", "URL")</f>
        <v/>
      </c>
      <c r="Q257">
        <f>HYPERLINK("https://raw.githubusercontent.com/marcosmapl/dataset_imigrantes/main/materias_filtered/g1/haitianos/2022/01_fev/html/g1_d915e19e-22b1-11ed-b24f-6dbe51e79fca_1638.html", "HTML")</f>
        <v/>
      </c>
      <c r="R257">
        <f>HYPERLINK("https://raw.githubusercontent.com/marcosmapl/dataset_imigrantes/main/materias_filtered/g1/haitianos/2022/01_fev/txt/g1_d915e19e-22b1-11ed-b24f-6dbe51e79fca_1638.txt", "TXT")</f>
        <v/>
      </c>
    </row>
    <row r="258">
      <c r="A258" s="1" t="n">
        <v>256</v>
      </c>
      <c r="B258" t="n">
        <v>2022</v>
      </c>
      <c r="C258" s="2" t="n">
        <v>44606.62744821759</v>
      </c>
      <c r="D258" t="inlineStr">
        <is>
          <t>G1</t>
        </is>
      </c>
      <c r="E258" t="inlineStr">
        <is>
          <t>VENEZUELANOS</t>
        </is>
      </c>
      <c r="F258" t="inlineStr">
        <is>
          <t>RORAIMA</t>
        </is>
      </c>
      <c r="G258" t="inlineStr">
        <is>
          <t>G1 RR — BOA VISTA</t>
        </is>
      </c>
      <c r="H258" t="inlineStr">
        <is>
          <t>VENEZUELANO É ASSASSINADO COM DOIS TIROS NA CABEÇA NA ZONA OESTE DE BOA VISTA</t>
        </is>
      </c>
      <c r="I258" t="inlineStr">
        <is>
          <t>VÍTIMA DO HOMICÍDIO SE CHAMAVA JOSE JAVIER ROMERO, DE 29 ANOS. ELE ERA VENEZUELANO E TRABALHAVA COMO AJUDANTE DE PEDREIRO.</t>
        </is>
      </c>
      <c r="J258" t="inlineStr"/>
      <c r="K258" t="n">
        <v>0</v>
      </c>
      <c r="L258" t="n">
        <v>1</v>
      </c>
      <c r="M258" t="n">
        <v>0</v>
      </c>
      <c r="N258" t="n">
        <v>0</v>
      </c>
      <c r="O258" t="n">
        <v>1</v>
      </c>
      <c r="P258">
        <f>HYPERLINK("https://g1.globo.com/rr/roraima/noticia/2022/02/14/venezuelano-e-assassinado-com-dois-tiros-na-cabeca-n-zona-oeste-de-boa-vista.ghtml", "URL")</f>
        <v/>
      </c>
      <c r="Q258">
        <f>HYPERLINK("https://raw.githubusercontent.com/marcosmapl/dataset_imigrantes/main/materias_filtered/g1/venezuelanos/2022/01_fev/html/g1_dd4cc050-230d-11ed-b24f-6dbe51e79fca_2710.html", "HTML")</f>
        <v/>
      </c>
      <c r="R258">
        <f>HYPERLINK("https://raw.githubusercontent.com/marcosmapl/dataset_imigrantes/main/materias_filtered/g1/venezuelanos/2022/01_fev/txt/g1_dd4cc050-230d-11ed-b24f-6dbe51e79fca_2710.txt", "TXT")</f>
        <v/>
      </c>
    </row>
    <row r="259">
      <c r="A259" s="1" t="n">
        <v>257</v>
      </c>
      <c r="B259" t="n">
        <v>2022</v>
      </c>
      <c r="C259" s="2" t="n">
        <v>44606.59941128473</v>
      </c>
      <c r="D259" t="inlineStr">
        <is>
          <t>G1</t>
        </is>
      </c>
      <c r="E259" t="inlineStr">
        <is>
          <t>VENEZUELANOS</t>
        </is>
      </c>
      <c r="F259" t="inlineStr">
        <is>
          <t>MUNDO</t>
        </is>
      </c>
      <c r="G259" t="inlineStr">
        <is>
          <t>G1</t>
        </is>
      </c>
      <c r="H259" t="inlineStr">
        <is>
          <t>NO CHILE, APÓS MORTE DE CAMINHONEIRO EM CONFRONTO COM VENEZUELANOS, ESTADO DE EXCEÇÃO ENTRA EM VIGOR</t>
        </is>
      </c>
      <c r="I259" t="inlineStr">
        <is>
          <t>NA SEMANA PASSADA,  UM CAMINHONEIRO DE 25 ANOS MORREU APÓS UM CONFRONTO COM MIGRANTES VENEZUELANOS.</t>
        </is>
      </c>
      <c r="J259" t="inlineStr"/>
      <c r="K259" t="n">
        <v>0</v>
      </c>
      <c r="L259" t="n">
        <v>2</v>
      </c>
      <c r="M259" t="n">
        <v>1</v>
      </c>
      <c r="N259" t="n">
        <v>0</v>
      </c>
      <c r="O259" t="n">
        <v>2</v>
      </c>
      <c r="P259">
        <f>HYPERLINK("https://g1.globo.com/mundo/noticia/2022/02/14/no-chile-apos-morte-de-caminhoneiro-em-confronto-com-venezuelanos-estado-de-excecao-entra-em-vigor.ghtml", "URL")</f>
        <v/>
      </c>
      <c r="Q259">
        <f>HYPERLINK("https://raw.githubusercontent.com/marcosmapl/dataset_imigrantes/main/materias_filtered/g1/venezuelanos/2022/01_fev/html/g1_1165ad86-2325-11ed-b24f-6dbe51e79fca_3895.html", "HTML")</f>
        <v/>
      </c>
      <c r="R259">
        <f>HYPERLINK("https://raw.githubusercontent.com/marcosmapl/dataset_imigrantes/main/materias_filtered/g1/venezuelanos/2022/01_fev/txt/g1_1165ad86-2325-11ed-b24f-6dbe51e79fca_3895.txt", "TXT")</f>
        <v/>
      </c>
    </row>
    <row r="260">
      <c r="A260" s="1" t="n">
        <v>258</v>
      </c>
      <c r="B260" t="n">
        <v>2022</v>
      </c>
      <c r="C260" s="2" t="n">
        <v>44605.67688099537</v>
      </c>
      <c r="D260" t="inlineStr">
        <is>
          <t>G1</t>
        </is>
      </c>
      <c r="E260" t="inlineStr">
        <is>
          <t>VENEZUELANOS</t>
        </is>
      </c>
      <c r="F260" t="inlineStr">
        <is>
          <t>TRIÂNGULO E ALTO PARANAÍBA</t>
        </is>
      </c>
      <c r="G260" t="inlineStr">
        <is>
          <t>G1 TRIÂNGULO E ALTO PARANAÍBA — UBERABA</t>
        </is>
      </c>
      <c r="H260" t="inlineStr">
        <is>
          <t>CÁRITAS ARQUIDIOCESANA DE UBERABA ARRECADAM MOBÍLIA PARA CASA DE ACOLHIMENTO DE VENEZUELANOS</t>
        </is>
      </c>
      <c r="I260" t="inlineStr">
        <is>
          <t>SEGUNDO A INSTITUIÇÃO, SERÃO RECEBIDAS FAMÍLIAS EM VULNERABILIDADE QUE ESTÃO ABRIGADAS NO ESTADO DE RORAIMA. VEJA COMO AJUDAR.</t>
        </is>
      </c>
      <c r="J260" t="inlineStr"/>
      <c r="K260" t="n">
        <v>0</v>
      </c>
      <c r="L260" t="n">
        <v>4</v>
      </c>
      <c r="M260" t="n">
        <v>0</v>
      </c>
      <c r="N260" t="n">
        <v>0</v>
      </c>
      <c r="O260" t="n">
        <v>2</v>
      </c>
      <c r="P260">
        <f>HYPERLINK("https://g1.globo.com/mg/triangulo-mineiro/noticia/2022/02/13/caritas-arquidiocesana-de-uberaba-arrecadam-mobilia-para-casa-de-acolhimento-de-venezuelanos.ghtml", "URL")</f>
        <v/>
      </c>
      <c r="Q260">
        <f>HYPERLINK("https://raw.githubusercontent.com/marcosmapl/dataset_imigrantes/main/materias_filtered/g1/venezuelanos/2022/01_fev/html/g1_7e72ec66-232c-11ed-b24f-6dbe51e79fca_4308.html", "HTML")</f>
        <v/>
      </c>
      <c r="R260">
        <f>HYPERLINK("https://raw.githubusercontent.com/marcosmapl/dataset_imigrantes/main/materias_filtered/g1/venezuelanos/2022/01_fev/txt/g1_7e72ec66-232c-11ed-b24f-6dbe51e79fca_4308.txt", "TXT")</f>
        <v/>
      </c>
    </row>
    <row r="261">
      <c r="A261" s="1" t="n">
        <v>259</v>
      </c>
      <c r="B261" t="n">
        <v>2022</v>
      </c>
      <c r="C261" s="2" t="n">
        <v>44605.54385113426</v>
      </c>
      <c r="D261" t="inlineStr">
        <is>
          <t>G1</t>
        </is>
      </c>
      <c r="E261" t="inlineStr">
        <is>
          <t>VENEZUELANOS</t>
        </is>
      </c>
      <c r="F261" t="inlineStr">
        <is>
          <t>RIO DE JANEIRO</t>
        </is>
      </c>
      <c r="G261" t="inlineStr">
        <is>
          <t>MARCELO COSME E DIEGO HAIDAR, GLOBO COMUNIDADE</t>
        </is>
      </c>
      <c r="H261" t="inlineStr">
        <is>
          <t>VENEZUELANA TRAZ OS FILHOS PARA O BRASIL APÓS ANOS DE TRABALHO E SOLIDARIEDADE: 'VIDA DIGNA'</t>
        </is>
      </c>
      <c r="I261" t="inlineStr">
        <is>
          <t>'TENTANDO QUE MEUS FILHOS TENHAM UM FUTURO À FRENTE', DIZ A COZINHEIRA ISABEL SUAREZ.</t>
        </is>
      </c>
      <c r="J261" t="inlineStr"/>
      <c r="K261" t="n">
        <v>0</v>
      </c>
      <c r="L261" t="n">
        <v>2</v>
      </c>
      <c r="M261" t="n">
        <v>1</v>
      </c>
      <c r="N261" t="n">
        <v>0</v>
      </c>
      <c r="O261" t="n">
        <v>1</v>
      </c>
      <c r="P261">
        <f>HYPERLINK("https://g1.globo.com/rj/rio-de-janeiro/noticia/2022/02/13/venezuelana-consegue-trazer-os-filhos-para-o-brasil-apos-muito-trabalho-e-solidariedade.ghtml", "URL")</f>
        <v/>
      </c>
      <c r="Q261">
        <f>HYPERLINK("https://raw.githubusercontent.com/marcosmapl/dataset_imigrantes/main/materias_filtered/g1/venezuelanos/2022/01_fev/html/g1_a1c3bb26-2329-11ed-b24f-6dbe51e79fca_4128.html", "HTML")</f>
        <v/>
      </c>
      <c r="R261">
        <f>HYPERLINK("https://raw.githubusercontent.com/marcosmapl/dataset_imigrantes/main/materias_filtered/g1/venezuelanos/2022/01_fev/txt/g1_a1c3bb26-2329-11ed-b24f-6dbe51e79fca_4128.txt", "TXT")</f>
        <v/>
      </c>
    </row>
    <row r="262">
      <c r="A262" s="1" t="n">
        <v>260</v>
      </c>
      <c r="B262" t="n">
        <v>2022</v>
      </c>
      <c r="C262" s="2" t="n">
        <v>44604.70925912037</v>
      </c>
      <c r="D262" t="inlineStr">
        <is>
          <t>G1</t>
        </is>
      </c>
      <c r="E262" t="inlineStr">
        <is>
          <t>VENEZUELANOS</t>
        </is>
      </c>
      <c r="F262" t="inlineStr">
        <is>
          <t>ESPÍRITO SANTO</t>
        </is>
      </c>
      <c r="G262" t="inlineStr">
        <is>
          <t>TV GAZETA</t>
        </is>
      </c>
      <c r="H262" t="inlineStr">
        <is>
          <t>VENEZUELANO É INTERNADO EM ESTADO GRAVE APÓS SER AGREDIDO NO ES</t>
        </is>
      </c>
      <c r="I262" t="inlineStr">
        <is>
          <t>AGRESSÃO ACONTECEU NO DIA 30 DE JANEIRO E O AGRESSOR FOI PRESO NESTA SEXTA-FEIRA (11).</t>
        </is>
      </c>
      <c r="J262" t="inlineStr"/>
      <c r="K262" t="n">
        <v>0</v>
      </c>
      <c r="L262" t="n">
        <v>3</v>
      </c>
      <c r="M262" t="n">
        <v>1</v>
      </c>
      <c r="N262" t="n">
        <v>0</v>
      </c>
      <c r="O262" t="n">
        <v>4</v>
      </c>
      <c r="P262">
        <f>HYPERLINK("https://g1.globo.com/es/espirito-santo/noticia/2022/02/12/venezuelano-e-internado-em-estado-grave-apos-ser-agredido-por-homem-no-es.ghtml", "URL")</f>
        <v/>
      </c>
      <c r="Q262">
        <f>HYPERLINK("https://raw.githubusercontent.com/marcosmapl/dataset_imigrantes/main/materias_filtered/g1/venezuelanos/2022/01_fev/html/g1_d84d4404-2307-11ed-b24f-6dbe51e79fca_2346.html", "HTML")</f>
        <v/>
      </c>
      <c r="R262">
        <f>HYPERLINK("https://raw.githubusercontent.com/marcosmapl/dataset_imigrantes/main/materias_filtered/g1/venezuelanos/2022/01_fev/txt/g1_d84d4404-2307-11ed-b24f-6dbe51e79fca_2346.txt", "TXT")</f>
        <v/>
      </c>
    </row>
    <row r="263">
      <c r="A263" s="1" t="n">
        <v>261</v>
      </c>
      <c r="B263" t="n">
        <v>2022</v>
      </c>
      <c r="C263" s="2" t="n">
        <v>44604.40962971065</v>
      </c>
      <c r="D263" t="inlineStr">
        <is>
          <t>G1</t>
        </is>
      </c>
      <c r="E263" t="inlineStr">
        <is>
          <t>VENEZUELANOS</t>
        </is>
      </c>
      <c r="F263" t="inlineStr">
        <is>
          <t>SANTOS E REGIÃO</t>
        </is>
      </c>
      <c r="G263" t="inlineStr">
        <is>
          <t>BRUNO ALMEIDA, G1 SANTOS</t>
        </is>
      </c>
      <c r="H263" t="inlineStr">
        <is>
          <t>VENEZUELANOS IMPLORAM POR AJUDA EM SP APÓS FECHAREM RESTAURANTE NO PAÍS DE ORIGEM: 'NO BRASIL SÃO ACOLHEDORES'</t>
        </is>
      </c>
      <c r="I263" t="inlineStr">
        <is>
          <t>FOTO DE HOMEM COM CARTAZ PEDINDO AJUDA EM SANTOS (SP) CIRCULOU NAS REDES SOCIAIS E EM GRUPOS DE APLICATIVOS DE MENSAGEM.</t>
        </is>
      </c>
      <c r="J263" t="inlineStr"/>
      <c r="K263" t="n">
        <v>0</v>
      </c>
      <c r="L263" t="n">
        <v>2</v>
      </c>
      <c r="M263" t="n">
        <v>0</v>
      </c>
      <c r="N263" t="n">
        <v>0</v>
      </c>
      <c r="O263" t="n">
        <v>1</v>
      </c>
      <c r="P263">
        <f>HYPERLINK("https://g1.globo.com/sp/santos-regiao/noticia/2022/02/12/venezuelanos-imploram-por-ajuda-em-sp-apos-fecharem-restaurante-no-pais-de-origem-no-brasil-sao-acolhedores.ghtml", "URL")</f>
        <v/>
      </c>
      <c r="Q263">
        <f>HYPERLINK("https://raw.githubusercontent.com/marcosmapl/dataset_imigrantes/main/materias_filtered/g1/venezuelanos/2022/01_fev/html/g1_7eb5eeb6-2323-11ed-b24f-6dbe51e79fca_3810.html", "HTML")</f>
        <v/>
      </c>
      <c r="R263">
        <f>HYPERLINK("https://raw.githubusercontent.com/marcosmapl/dataset_imigrantes/main/materias_filtered/g1/venezuelanos/2022/01_fev/txt/g1_7eb5eeb6-2323-11ed-b24f-6dbe51e79fca_3810.txt", "TXT")</f>
        <v/>
      </c>
    </row>
    <row r="264">
      <c r="A264" s="1" t="n">
        <v>262</v>
      </c>
      <c r="B264" t="n">
        <v>2022</v>
      </c>
      <c r="C264" s="2" t="n">
        <v>44603.61459379629</v>
      </c>
      <c r="D264" t="inlineStr">
        <is>
          <t>G1</t>
        </is>
      </c>
      <c r="E264" t="inlineStr">
        <is>
          <t>VENEZUELANOS</t>
        </is>
      </c>
      <c r="F264" t="inlineStr">
        <is>
          <t>RORAIMA</t>
        </is>
      </c>
      <c r="G264" t="inlineStr">
        <is>
          <t>G1 RR — BOA VISTA</t>
        </is>
      </c>
      <c r="H264" t="inlineStr">
        <is>
          <t>LÍDER DE ORGANIZAÇÃO CRIMINOSA VENEZUELANA PROCURADO PELA INTERPOL É PRESO EM BOA VISTA</t>
        </is>
      </c>
      <c r="I264" t="inlineStr">
        <is>
          <t>JOSÉ JESUS, CONHECIDO COMO 'EL CHUCHU', DE 32 ANOS, ERA CONSIDERADO UM DOS CRIMINOSOS MAIS PROCURADOS DA VENEZUELA E LIDERAVA GRUPO QUE ENVIADA CARROS ROUBADOS PARA PAÍSES DO MERCOSUL.</t>
        </is>
      </c>
      <c r="J264" t="inlineStr"/>
      <c r="K264" t="n">
        <v>0</v>
      </c>
      <c r="L264" t="n">
        <v>2</v>
      </c>
      <c r="M264" t="n">
        <v>0</v>
      </c>
      <c r="N264" t="n">
        <v>0</v>
      </c>
      <c r="O264" t="n">
        <v>2</v>
      </c>
      <c r="P264">
        <f>HYPERLINK("https://g1.globo.com/rr/roraima/noticia/2022/02/11/lider-de-organizacao-criminosa-venezuelana-procurado-pela-interpol-e-preso-em-boa-vista.ghtml", "URL")</f>
        <v/>
      </c>
      <c r="Q264">
        <f>HYPERLINK("https://raw.githubusercontent.com/marcosmapl/dataset_imigrantes/main/materias_filtered/g1/venezuelanos/2022/01_fev/html/g1_dc8cbf00-2329-11ed-b24f-6dbe51e79fca_4144.html", "HTML")</f>
        <v/>
      </c>
      <c r="R264">
        <f>HYPERLINK("https://raw.githubusercontent.com/marcosmapl/dataset_imigrantes/main/materias_filtered/g1/venezuelanos/2022/01_fev/txt/g1_dc8cbf00-2329-11ed-b24f-6dbe51e79fca_4144.txt", "TXT")</f>
        <v/>
      </c>
    </row>
    <row r="265">
      <c r="A265" s="1" t="n">
        <v>263</v>
      </c>
      <c r="B265" t="n">
        <v>2022</v>
      </c>
      <c r="C265" s="2" t="n">
        <v>44603.16708125</v>
      </c>
      <c r="D265" t="inlineStr">
        <is>
          <t>G1</t>
        </is>
      </c>
      <c r="E265" t="inlineStr">
        <is>
          <t>VENEZUELANOS</t>
        </is>
      </c>
      <c r="F265" t="inlineStr">
        <is>
          <t>MUNDO</t>
        </is>
      </c>
      <c r="G265" t="inlineStr">
        <is>
          <t>G1</t>
        </is>
      </c>
      <c r="H265" t="inlineStr">
        <is>
          <t>EM DESENHO ANIMADO, ‘SUPERBIGODE’, HERÓI INSPIRADO EM MADURO, DERROTA MONSTRO DOS EUA; ASSISTA</t>
        </is>
      </c>
      <c r="I265" t="inlineStr">
        <is>
          <t>DIVULGADO PELO PRÓPRIO PRESIDENTE, EPISÓDIO MOSTRA SUPER-HERÓI COMBATENDO VILÕES QUE TENTAM IMPEDIR HOSPITAL INFANTIL DE RECEBER AJUDA. FIGURAS DA OPOSIÇÃO VENEZUELANA TAMBÉM SÃO SATIRIZADAS E APARECEM COMO CÚMPLICES DE DONALD TRUMP.</t>
        </is>
      </c>
      <c r="J265" t="inlineStr"/>
      <c r="K265" t="n">
        <v>0</v>
      </c>
      <c r="L265" t="n">
        <v>1</v>
      </c>
      <c r="M265" t="n">
        <v>1</v>
      </c>
      <c r="N265" t="n">
        <v>0</v>
      </c>
      <c r="O265" t="n">
        <v>2</v>
      </c>
      <c r="P265">
        <f>HYPERLINK("https://g1.globo.com/mundo/noticia/2022/02/11/em-desenho-animado-superbigode-heroi-inspirado-em-maduro-derrota-monstro-dos-eua-assista.ghtml", "URL")</f>
        <v/>
      </c>
      <c r="Q265">
        <f>HYPERLINK("https://raw.githubusercontent.com/marcosmapl/dataset_imigrantes/main/materias_filtered/g1/venezuelanos/2022/01_fev/html/g1_b5695140-230b-11ed-b24f-6dbe51e79fca_2582.html", "HTML")</f>
        <v/>
      </c>
      <c r="R265">
        <f>HYPERLINK("https://raw.githubusercontent.com/marcosmapl/dataset_imigrantes/main/materias_filtered/g1/venezuelanos/2022/01_fev/txt/g1_b5695140-230b-11ed-b24f-6dbe51e79fca_2582.txt", "TXT")</f>
        <v/>
      </c>
    </row>
    <row r="266">
      <c r="A266" s="1" t="n">
        <v>264</v>
      </c>
      <c r="B266" t="n">
        <v>2022</v>
      </c>
      <c r="C266" s="2" t="n">
        <v>44602.68900364584</v>
      </c>
      <c r="D266" t="inlineStr">
        <is>
          <t>G1</t>
        </is>
      </c>
      <c r="E266" t="inlineStr">
        <is>
          <t>VENEZUELANOS</t>
        </is>
      </c>
      <c r="F266" t="inlineStr">
        <is>
          <t>RIO DE JANEIRO</t>
        </is>
      </c>
      <c r="G266" t="inlineStr">
        <is>
          <t>DANILO VIEIRA, AMANDA PRADO, FELIPE MAGALHÃES, LUCIANA BERLING E SÉRGIO TELLES, RJ1</t>
        </is>
      </c>
      <c r="H266" t="inlineStr">
        <is>
          <t>MORRO DO BANCO,NO ITANHANGÁ, É O LOCAL COM MAIOR CONCENTRAÇÃO DE VENEZUELANOS NO RIO</t>
        </is>
      </c>
      <c r="I266" t="inlineStr">
        <is>
          <t>NO TOTAL, 260 VENEZUELANOS VIVEM NO LOCAL. APENAS UMA ONG ABRIGA 70 DELES. MUITOS JÁ CONSEGUIRAM EMPREGO – OUTROS, AINDA TENTAM ENTRAR NO MERCADO DE TRABALHO.</t>
        </is>
      </c>
      <c r="J266" t="inlineStr"/>
      <c r="K266" t="n">
        <v>0</v>
      </c>
      <c r="L266" t="n">
        <v>1</v>
      </c>
      <c r="M266" t="n">
        <v>1</v>
      </c>
      <c r="N266" t="n">
        <v>0</v>
      </c>
      <c r="O266" t="n">
        <v>2</v>
      </c>
      <c r="P266">
        <f>HYPERLINK("https://g1.globo.com/rj/rio-de-janeiro/noticia/2022/02/10/morro-do-bancono-itanhanga-e-o-local-com-maior-concentracao-de-venezuelanos-no-rio.ghtml", "URL")</f>
        <v/>
      </c>
      <c r="Q266">
        <f>HYPERLINK("https://raw.githubusercontent.com/marcosmapl/dataset_imigrantes/main/materias_filtered/g1/venezuelanos/2022/01_fev/html/g1_7fa49288-2309-11ed-b24f-6dbe51e79fca_2447.html", "HTML")</f>
        <v/>
      </c>
      <c r="R266">
        <f>HYPERLINK("https://raw.githubusercontent.com/marcosmapl/dataset_imigrantes/main/materias_filtered/g1/venezuelanos/2022/01_fev/txt/g1_7fa49288-2309-11ed-b24f-6dbe51e79fca_2447.txt", "TXT")</f>
        <v/>
      </c>
    </row>
    <row r="267">
      <c r="A267" s="1" t="n">
        <v>265</v>
      </c>
      <c r="B267" t="n">
        <v>2022</v>
      </c>
      <c r="C267" s="2" t="n">
        <v>44602.4491296412</v>
      </c>
      <c r="D267" t="inlineStr">
        <is>
          <t>G1</t>
        </is>
      </c>
      <c r="E267" t="inlineStr">
        <is>
          <t>VENEZUELANOS</t>
        </is>
      </c>
      <c r="F267" t="inlineStr">
        <is>
          <t>SÃO PAULO</t>
        </is>
      </c>
      <c r="G267" t="inlineStr">
        <is>
          <t>TV GLOBO E G1 SP — SÃO PAULO</t>
        </is>
      </c>
      <c r="H267" t="inlineStr">
        <is>
          <t>'JUSTIÇA PARA NOSSO FILHO', PEDEM PAIS DE VENEZUELANO ASSASSINADO EM SP POR DÍVIDA DE R$ 100</t>
        </is>
      </c>
      <c r="I267" t="inlineStr">
        <is>
          <t>'ERA UM FILHO EXEMPLAR, QUE SE DEDICAVA A TRABALHAR PARA MANTER SUA FAMÍLIA', AFIRMA A FAMÍLIA EM VÍDEO. SUSPEITO DO CRIME FOI PRESO. DONO DO TERRENO ONDE MARCELO CARABALLO MORAVA DISPAROU TIROS CONTRA O RAPAZ DURANTE UMA BRIGA POR CONTA DO PAGAMENTO DE ALUGUEL. CRIME OCORREU NA ÚLTIMA QUINTA, EM MAUÁ.</t>
        </is>
      </c>
      <c r="J267" t="inlineStr"/>
      <c r="K267" t="n">
        <v>0</v>
      </c>
      <c r="L267" t="n">
        <v>3</v>
      </c>
      <c r="M267" t="n">
        <v>2</v>
      </c>
      <c r="N267" t="n">
        <v>0</v>
      </c>
      <c r="O267" t="n">
        <v>4</v>
      </c>
      <c r="P267">
        <f>HYPERLINK("https://g1.globo.com/sp/sao-paulo/noticia/2022/02/10/justica-para-nosso-filho-pedem-pais-de-venezuelano-apos-jovem-ser-assassinado-em-sp-por-conta-de-divida-de-r-100.ghtml", "URL")</f>
        <v/>
      </c>
      <c r="Q267">
        <f>HYPERLINK("https://raw.githubusercontent.com/marcosmapl/dataset_imigrantes/main/materias_filtered/g1/venezuelanos/2022/01_fev/html/g1_3d665686-2322-11ed-b24f-6dbe51e79fca_3742.html", "HTML")</f>
        <v/>
      </c>
      <c r="R267">
        <f>HYPERLINK("https://raw.githubusercontent.com/marcosmapl/dataset_imigrantes/main/materias_filtered/g1/venezuelanos/2022/01_fev/txt/g1_3d665686-2322-11ed-b24f-6dbe51e79fca_3742.txt", "TXT")</f>
        <v/>
      </c>
    </row>
    <row r="268">
      <c r="A268" s="1" t="n">
        <v>266</v>
      </c>
      <c r="B268" t="n">
        <v>2022</v>
      </c>
      <c r="C268" s="2" t="n">
        <v>44602.37612885416</v>
      </c>
      <c r="D268" t="inlineStr">
        <is>
          <t>G1</t>
        </is>
      </c>
      <c r="E268" t="inlineStr">
        <is>
          <t>HAITIANOS</t>
        </is>
      </c>
      <c r="F268" t="inlineStr">
        <is>
          <t>AMAPÁ</t>
        </is>
      </c>
      <c r="G268" t="inlineStr">
        <is>
          <t>G1 AP — MACAPÁ</t>
        </is>
      </c>
      <c r="H268" t="inlineStr">
        <is>
          <t>COM ALTA DE 1755%, PRF DETEVE 334 ESTRANGEIROS ILEGAIS NO AMAPÁ EM 2021</t>
        </is>
      </c>
      <c r="I268" t="inlineStr">
        <is>
          <t>MAIORIA ERA DE NACIONALIDADE HAITIANA E CUBANA. POLÍCIA DAS BRS ALIA DESEMPENHO A MAIOR POLICIAMENTO, COM MAIS AGENTES E EQUIPAMENTOS, E COLABORAÇÕES COM OUTRAS INSTITUIÇÕES.</t>
        </is>
      </c>
      <c r="J268" t="inlineStr"/>
      <c r="K268" t="n">
        <v>0</v>
      </c>
      <c r="L268" t="n">
        <v>2</v>
      </c>
      <c r="M268" t="n">
        <v>0</v>
      </c>
      <c r="N268" t="n">
        <v>0</v>
      </c>
      <c r="O268" t="n">
        <v>3</v>
      </c>
      <c r="P268">
        <f>HYPERLINK("https://g1.globo.com/ap/amapa/noticia/2022/02/10/com-alta-de-1755percent-prf-deteve-334-estrangeiros-ilegais-no-amapa-em-2021.ghtml", "URL")</f>
        <v/>
      </c>
      <c r="Q268">
        <f>HYPERLINK("https://raw.githubusercontent.com/marcosmapl/dataset_imigrantes/main/materias_filtered/g1/haitianos/2022/01_fev/html/g1_837a2bfc-2313-11ed-b24f-6dbe51e79fca_3013.html", "HTML")</f>
        <v/>
      </c>
      <c r="R268">
        <f>HYPERLINK("https://raw.githubusercontent.com/marcosmapl/dataset_imigrantes/main/materias_filtered/g1/haitianos/2022/01_fev/txt/g1_837a2bfc-2313-11ed-b24f-6dbe51e79fca_3013.txt", "TXT")</f>
        <v/>
      </c>
    </row>
    <row r="269">
      <c r="A269" s="1" t="n">
        <v>267</v>
      </c>
      <c r="B269" t="n">
        <v>2022</v>
      </c>
      <c r="C269" s="2" t="n">
        <v>44601.72743390047</v>
      </c>
      <c r="D269" t="inlineStr">
        <is>
          <t>G1</t>
        </is>
      </c>
      <c r="E269" t="inlineStr">
        <is>
          <t>VENEZUELANOS</t>
        </is>
      </c>
      <c r="F269" t="inlineStr">
        <is>
          <t>SÃO PAULO</t>
        </is>
      </c>
      <c r="G269" t="inlineStr">
        <is>
          <t>G1 SP — SÃO PAULO</t>
        </is>
      </c>
      <c r="H269" t="inlineStr">
        <is>
          <t>JOVEM VENEZUELANO É ASSASSINADO EM SP APÓS BRIGA POR DÍVIDA DE R$ 100; 'BASTA DE XENOFOBIA', DIZEM MOVIMENTOS SOCIAIS</t>
        </is>
      </c>
      <c r="I269" t="inlineStr">
        <is>
          <t>O SUSPEITO DO CRIME FOI PRESO. DONO DO TERRENO ONDE MARCELO CARABALLO MORAVA DISPAROU TIROS CONTRA O RAPAZ DURANTE UMA BRIGA POR CONTA DO PAGAMENTO. FAMÍLIA FOI ACOLHIDA POR VIZINHOS E, SEM RENDA, ESTÁ VIVENDO DE DOAÇÕES. CASO É MAIS UM EXEMPLO DE XENOFOBIA, COMO O DO CONGOLÊS MOÏSE KABAGAMBE, DIZ MOVIMENTO.</t>
        </is>
      </c>
      <c r="J269" t="inlineStr"/>
      <c r="K269" t="n">
        <v>0</v>
      </c>
      <c r="L269" t="n">
        <v>3</v>
      </c>
      <c r="M269" t="n">
        <v>1</v>
      </c>
      <c r="N269" t="n">
        <v>0</v>
      </c>
      <c r="O269" t="n">
        <v>4</v>
      </c>
      <c r="P269">
        <f>HYPERLINK("https://g1.globo.com/sp/sao-paulo/noticia/2022/02/09/jovem-venezuelano-e-assassinado-em-sp-apos-briga-por-divida-de-r-100-basta-de-xenofobia-dizem-movimentos-sociais.ghtml", "URL")</f>
        <v/>
      </c>
      <c r="Q269">
        <f>HYPERLINK("https://raw.githubusercontent.com/marcosmapl/dataset_imigrantes/main/materias_filtered/g1/venezuelanos/2022/01_fev/html/g1_e78aa5de-2315-11ed-b24f-6dbe51e79fca_3114.html", "HTML")</f>
        <v/>
      </c>
      <c r="R269">
        <f>HYPERLINK("https://raw.githubusercontent.com/marcosmapl/dataset_imigrantes/main/materias_filtered/g1/venezuelanos/2022/01_fev/txt/g1_e78aa5de-2315-11ed-b24f-6dbe51e79fca_3114.txt", "TXT")</f>
        <v/>
      </c>
    </row>
    <row r="270">
      <c r="A270" s="1" t="n">
        <v>268</v>
      </c>
      <c r="B270" t="n">
        <v>2022</v>
      </c>
      <c r="C270" s="2" t="n">
        <v>44599.64107430555</v>
      </c>
      <c r="D270" t="inlineStr">
        <is>
          <t>G1</t>
        </is>
      </c>
      <c r="E270" t="inlineStr">
        <is>
          <t>VENEZUELANOS</t>
        </is>
      </c>
      <c r="F270" t="inlineStr">
        <is>
          <t>RORAIMA</t>
        </is>
      </c>
      <c r="G270" t="inlineStr">
        <is>
          <t>G1 RR — BOA VISTA</t>
        </is>
      </c>
      <c r="H270" t="inlineStr">
        <is>
          <t>VÍDEO MOSTRA MOMENTO EM QUE CARRO ATINGE VENEZUELANO EM BICICLETA E ELE É ARREMESSADO</t>
        </is>
      </c>
      <c r="I270" t="inlineStr">
        <is>
          <t>VÍTIMA SE CHAMAVA ANÍBAL RAMON MARTINEZ MALAVE E TINHA 36 ANOS. ELE MORREU NA HORA.</t>
        </is>
      </c>
      <c r="J270" t="inlineStr"/>
      <c r="K270" t="n">
        <v>0</v>
      </c>
      <c r="L270" t="n">
        <v>2</v>
      </c>
      <c r="M270" t="n">
        <v>1</v>
      </c>
      <c r="N270" t="n">
        <v>0</v>
      </c>
      <c r="O270" t="n">
        <v>1</v>
      </c>
      <c r="P270">
        <f>HYPERLINK("https://g1.globo.com/rr/roraima/noticia/2022/02/07/video-mostra-momento-em-que-carro-atinge-venezuelano-em-bicicleta-e-ele-e-arremessado.ghtml", "URL")</f>
        <v/>
      </c>
      <c r="Q270">
        <f>HYPERLINK("https://raw.githubusercontent.com/marcosmapl/dataset_imigrantes/main/materias_filtered/g1/venezuelanos/2022/01_fev/html/g1_3cc19016-230d-11ed-b24f-6dbe51e79fca_2675.html", "HTML")</f>
        <v/>
      </c>
      <c r="R270">
        <f>HYPERLINK("https://raw.githubusercontent.com/marcosmapl/dataset_imigrantes/main/materias_filtered/g1/venezuelanos/2022/01_fev/txt/g1_3cc19016-230d-11ed-b24f-6dbe51e79fca_2675.txt", "TXT")</f>
        <v/>
      </c>
    </row>
    <row r="271">
      <c r="A271" s="1" t="n">
        <v>269</v>
      </c>
      <c r="B271" t="n">
        <v>2022</v>
      </c>
      <c r="C271" s="2" t="n">
        <v>44598.68438673611</v>
      </c>
      <c r="D271" t="inlineStr">
        <is>
          <t>G1</t>
        </is>
      </c>
      <c r="E271" t="inlineStr">
        <is>
          <t>VENEZUELANOS</t>
        </is>
      </c>
      <c r="F271" t="inlineStr">
        <is>
          <t>RORAIMA</t>
        </is>
      </c>
      <c r="G271" t="inlineStr">
        <is>
          <t>G1 RR — BOA VISTA</t>
        </is>
      </c>
      <c r="H271" t="inlineStr">
        <is>
          <t>VENEZUELANO EM BICICLETA MORRE AO SER ATROPELADO POR CARRO EM BOA VISTA</t>
        </is>
      </c>
      <c r="I271" t="inlineStr">
        <is>
          <t>VÍTIMA SE CHAMAVA ANÍBAL RAMON MARTINEZ MALAVE E TINHA 36 ANOS.</t>
        </is>
      </c>
      <c r="J271" t="inlineStr"/>
      <c r="K271" t="n">
        <v>0</v>
      </c>
      <c r="L271" t="n">
        <v>1</v>
      </c>
      <c r="M271" t="n">
        <v>0</v>
      </c>
      <c r="N271" t="n">
        <v>0</v>
      </c>
      <c r="O271" t="n">
        <v>1</v>
      </c>
      <c r="P271">
        <f>HYPERLINK("https://g1.globo.com/rr/roraima/noticia/2022/02/06/venezuelano-em-bicicleta-morre-ao-ser-atropelado-por-carro-em-boa-vista.ghtml", "URL")</f>
        <v/>
      </c>
      <c r="Q271">
        <f>HYPERLINK("https://raw.githubusercontent.com/marcosmapl/dataset_imigrantes/main/materias_filtered/g1/venezuelanos/2022/01_fev/html/g1_80880bc6-230e-11ed-b24f-6dbe51e79fca_2742.html", "HTML")</f>
        <v/>
      </c>
      <c r="R271">
        <f>HYPERLINK("https://raw.githubusercontent.com/marcosmapl/dataset_imigrantes/main/materias_filtered/g1/venezuelanos/2022/01_fev/txt/g1_80880bc6-230e-11ed-b24f-6dbe51e79fca_2742.txt", "TXT")</f>
        <v/>
      </c>
    </row>
    <row r="272">
      <c r="A272" s="1" t="n">
        <v>270</v>
      </c>
      <c r="B272" t="n">
        <v>2022</v>
      </c>
      <c r="C272" s="2" t="n">
        <v>44596.82560101852</v>
      </c>
      <c r="D272" t="inlineStr">
        <is>
          <t>G1</t>
        </is>
      </c>
      <c r="E272" t="inlineStr">
        <is>
          <t>VENEZUELANOS</t>
        </is>
      </c>
      <c r="F272" t="inlineStr">
        <is>
          <t>RORAIMA</t>
        </is>
      </c>
      <c r="G272" t="inlineStr">
        <is>
          <t>G1 RR — BOA VISTA</t>
        </is>
      </c>
      <c r="H272" t="inlineStr">
        <is>
          <t>PESQUISA QUER IDENTIFICAR RISCOS DE VIOLÊNCIA CONTRA REFUGIADAS E MIGRANTES VENEZUELANAS EM RR</t>
        </is>
      </c>
      <c r="I272" t="inlineStr">
        <is>
          <t>PESQUISA TAMBÉM VAI OCORRER NO EQUADOR E PERU. NO BRASIL, SERÁ REALIZADA EM BOA VISTA, PACARAIMA E MANAUS. ESTUDO É REALIZADO PELA ORGANIZAÇÃO INTERNACIONAL PARA AS MIGRAÇÕES (OIM) EM PARCERIA COM A UNIVERSIDADE DO QUEENS, DO CANADÁ.</t>
        </is>
      </c>
      <c r="J272" t="inlineStr"/>
      <c r="K272" t="n">
        <v>0</v>
      </c>
      <c r="L272" t="n">
        <v>1</v>
      </c>
      <c r="M272" t="n">
        <v>0</v>
      </c>
      <c r="N272" t="n">
        <v>0</v>
      </c>
      <c r="O272" t="n">
        <v>4</v>
      </c>
      <c r="P272">
        <f>HYPERLINK("https://g1.globo.com/rr/roraima/noticia/2022/02/04/pesquisa-quer-identificar-riscos-de-violencia-contra-refugiadas-e-migrantes-venezuelanas-em-rr.ghtml", "URL")</f>
        <v/>
      </c>
      <c r="Q272">
        <f>HYPERLINK("https://raw.githubusercontent.com/marcosmapl/dataset_imigrantes/main/materias_filtered/g1/venezuelanos/2022/01_fev/html/g1_60bcd6a8-2329-11ed-b24f-6dbe51e79fca_4113.html", "HTML")</f>
        <v/>
      </c>
      <c r="R272">
        <f>HYPERLINK("https://raw.githubusercontent.com/marcosmapl/dataset_imigrantes/main/materias_filtered/g1/venezuelanos/2022/01_fev/txt/g1_60bcd6a8-2329-11ed-b24f-6dbe51e79fca_4113.txt", "TXT")</f>
        <v/>
      </c>
    </row>
    <row r="273">
      <c r="A273" s="1" t="n">
        <v>271</v>
      </c>
      <c r="B273" t="n">
        <v>2022</v>
      </c>
      <c r="C273" s="2" t="n">
        <v>44596.67662787037</v>
      </c>
      <c r="D273" t="inlineStr">
        <is>
          <t>G1</t>
        </is>
      </c>
      <c r="E273" t="inlineStr">
        <is>
          <t>VENEZUELANOS</t>
        </is>
      </c>
      <c r="F273" t="inlineStr">
        <is>
          <t>MUNDO</t>
        </is>
      </c>
      <c r="G273" t="inlineStr">
        <is>
          <t>BBC</t>
        </is>
      </c>
      <c r="H273" t="inlineStr">
        <is>
          <t>POR QUE OS EUA COMEÇARAM A DEPORTAR VENEZUELANOS PARA A COLÔMBIA</t>
        </is>
      </c>
      <c r="I273" t="inlineStr">
        <is>
          <t>AUTORIDADES AMERICANAS CONFIRMARAM A EXPULSÃO E DISSERAM QUE ESPERAM REALIZAR VOOS DESSE TIPO "DE MANEIRA REGULAR".</t>
        </is>
      </c>
      <c r="J273" t="inlineStr"/>
      <c r="K273" t="n">
        <v>0</v>
      </c>
      <c r="L273" t="n">
        <v>1</v>
      </c>
      <c r="M273" t="n">
        <v>0</v>
      </c>
      <c r="N273" t="n">
        <v>0</v>
      </c>
      <c r="O273" t="n">
        <v>2</v>
      </c>
      <c r="P273">
        <f>HYPERLINK("https://g1.globo.com/mundo/noticia/2022/02/04/por-que-os-eua-comecaram-a-deportar-venezuelanos-para-a-colombia.ghtml", "URL")</f>
        <v/>
      </c>
      <c r="Q273">
        <f>HYPERLINK("https://raw.githubusercontent.com/marcosmapl/dataset_imigrantes/main/materias_filtered/g1/venezuelanos/2022/01_fev/html/g1_249ffc9e-2325-11ed-b24f-6dbe51e79fca_3898.html", "HTML")</f>
        <v/>
      </c>
      <c r="R273">
        <f>HYPERLINK("https://raw.githubusercontent.com/marcosmapl/dataset_imigrantes/main/materias_filtered/g1/venezuelanos/2022/01_fev/txt/g1_249ffc9e-2325-11ed-b24f-6dbe51e79fca_3898.txt", "TXT")</f>
        <v/>
      </c>
    </row>
    <row r="274">
      <c r="A274" s="1" t="n">
        <v>272</v>
      </c>
      <c r="B274" t="n">
        <v>2022</v>
      </c>
      <c r="C274" s="2" t="n">
        <v>44595.67114770833</v>
      </c>
      <c r="D274" t="inlineStr">
        <is>
          <t>G1</t>
        </is>
      </c>
      <c r="E274" t="inlineStr">
        <is>
          <t>HAITIANOS</t>
        </is>
      </c>
      <c r="F274" t="inlineStr">
        <is>
          <t>ACRE</t>
        </is>
      </c>
      <c r="G274" t="inlineStr">
        <is>
          <t>TÁCITA MUNIZ, G1 AC — RIO BRANCO</t>
        </is>
      </c>
      <c r="H274" t="inlineStr">
        <is>
          <t>HAITIANO OBRIGADO A SE JOGAR DE PONTE NO AC VOLTA A ANDAR COM AJUDA DE MULETAS E ESPERA RETORNO PRA CASA</t>
        </is>
      </c>
      <c r="I274" t="inlineStr">
        <is>
          <t>JACQUENUE BOSQUET AGORA ESTÁ NO ABRIGO DO ESTADO E GOVERNO JÁ COMEÇOU MOVIMENTAÇÃO PARA QUE ELE RETORNE PARA O HAITI. CASO DO IMIGRANTE SE TORNOU MARCO DA CRISE HUMANITÁRIA INSTALADA NO ACRE.</t>
        </is>
      </c>
      <c r="J274" t="inlineStr"/>
      <c r="K274" t="n">
        <v>0</v>
      </c>
      <c r="L274" t="n">
        <v>3</v>
      </c>
      <c r="M274" t="n">
        <v>2</v>
      </c>
      <c r="N274" t="n">
        <v>0</v>
      </c>
      <c r="O274" t="n">
        <v>11</v>
      </c>
      <c r="P274">
        <f>HYPERLINK("https://g1.globo.com/ac/acre/noticia/2022/02/03/haitiano-obrigado-a-se-jogar-de-ponte-no-ac-volta-a-andar-com-ajuda-de-muletas-e-espera-retorno-pra-casa.ghtml", "URL")</f>
        <v/>
      </c>
      <c r="Q274">
        <f>HYPERLINK("https://raw.githubusercontent.com/marcosmapl/dataset_imigrantes/main/materias_filtered/g1/haitianos/2022/01_fev/html/g1_54da7e18-22ec-11ed-b24f-6dbe51e79fca_1654.html", "HTML")</f>
        <v/>
      </c>
      <c r="R274">
        <f>HYPERLINK("https://raw.githubusercontent.com/marcosmapl/dataset_imigrantes/main/materias_filtered/g1/haitianos/2022/01_fev/txt/g1_54da7e18-22ec-11ed-b24f-6dbe51e79fca_1654.txt", "TXT")</f>
        <v/>
      </c>
    </row>
    <row r="275">
      <c r="A275" s="1" t="n">
        <v>273</v>
      </c>
      <c r="B275" t="n">
        <v>2022</v>
      </c>
      <c r="C275" s="2" t="n">
        <v>44594.67071753473</v>
      </c>
      <c r="D275" t="inlineStr">
        <is>
          <t>G1</t>
        </is>
      </c>
      <c r="E275" t="inlineStr">
        <is>
          <t>VENEZUELANOS</t>
        </is>
      </c>
      <c r="F275" t="inlineStr">
        <is>
          <t>PARÁ</t>
        </is>
      </c>
      <c r="G275" t="inlineStr">
        <is>
          <t>G1 PARÁ — BELÉM</t>
        </is>
      </c>
      <c r="H275" t="inlineStr">
        <is>
          <t>POLÍCIA INVESTIGA MORTE DE VENEZUELANO EM MARABÁ</t>
        </is>
      </c>
      <c r="I275" t="inlineStr">
        <is>
          <t>RESIDÊNCIA DA VÍTIMA TERIA SIDO INVADIDA. O HOMEM MORREU NO LOCAL.</t>
        </is>
      </c>
      <c r="J275" t="inlineStr"/>
      <c r="K275" t="n">
        <v>0</v>
      </c>
      <c r="L275" t="n">
        <v>4</v>
      </c>
      <c r="M275" t="n">
        <v>0</v>
      </c>
      <c r="N275" t="n">
        <v>0</v>
      </c>
      <c r="O275" t="n">
        <v>1</v>
      </c>
      <c r="P275">
        <f>HYPERLINK("https://g1.globo.com/pa/para/noticia/2022/02/02/policia-investiga-morte-de-venezuelano-em-maraba.ghtml", "URL")</f>
        <v/>
      </c>
      <c r="Q275">
        <f>HYPERLINK("https://raw.githubusercontent.com/marcosmapl/dataset_imigrantes/main/materias_filtered/g1/venezuelanos/2022/01_fev/html/g1_0f30cec8-2308-11ed-b24f-6dbe51e79fca_2362.html", "HTML")</f>
        <v/>
      </c>
      <c r="R275">
        <f>HYPERLINK("https://raw.githubusercontent.com/marcosmapl/dataset_imigrantes/main/materias_filtered/g1/venezuelanos/2022/01_fev/txt/g1_0f30cec8-2308-11ed-b24f-6dbe51e79fca_2362.txt", "TXT")</f>
        <v/>
      </c>
    </row>
    <row r="276">
      <c r="A276" s="1" t="n">
        <v>274</v>
      </c>
      <c r="B276" t="n">
        <v>2022</v>
      </c>
      <c r="C276" s="2" t="n">
        <v>44594.41720579861</v>
      </c>
      <c r="D276" t="inlineStr">
        <is>
          <t>G1</t>
        </is>
      </c>
      <c r="E276" t="inlineStr">
        <is>
          <t>VENEZUELANOS</t>
        </is>
      </c>
      <c r="F276" t="inlineStr">
        <is>
          <t>RORAIMA</t>
        </is>
      </c>
      <c r="G276" t="inlineStr">
        <is>
          <t>G1 RR — BOA VISTA</t>
        </is>
      </c>
      <c r="H276" t="inlineStr">
        <is>
          <t>VENEZUELANA APRENDE A FAZER PÃES E GARANTE RENDA APÓS FAZER CURSO: 'ESTOU ANIMADA, TENHO RECEBIDO MUITOS ELOGIOS'</t>
        </is>
      </c>
      <c r="I276" t="inlineStr">
        <is>
          <t>ADMINISTRADORA NA VENEZUELA, EUCARIS PETOT, DE 64 ANOS, APRENDEU A FAZER PRODUTOS DE PANIFICAÇÃO E AJUDA COM AS CONTAS DA CASA DO FILHO, ONDE MORA, EM BOA VISTA.</t>
        </is>
      </c>
      <c r="J276" t="inlineStr"/>
      <c r="K276" t="n">
        <v>0</v>
      </c>
      <c r="L276" t="n">
        <v>3</v>
      </c>
      <c r="M276" t="n">
        <v>1</v>
      </c>
      <c r="N276" t="n">
        <v>0</v>
      </c>
      <c r="O276" t="n">
        <v>1</v>
      </c>
      <c r="P276">
        <f>HYPERLINK("https://g1.globo.com/rr/roraima/noticia/2022/02/02/venezuelana-aprende-a-fazer-paes-e-garante-renda-apos-fazer-curso-estou-animada-tenho-recebido-muitos-elogios.ghtml", "URL")</f>
        <v/>
      </c>
      <c r="Q276">
        <f>HYPERLINK("https://raw.githubusercontent.com/marcosmapl/dataset_imigrantes/main/materias_filtered/g1/venezuelanos/2022/01_fev/html/g1_1d822cfa-230e-11ed-b24f-6dbe51e79fca_2722.html", "HTML")</f>
        <v/>
      </c>
      <c r="R276">
        <f>HYPERLINK("https://raw.githubusercontent.com/marcosmapl/dataset_imigrantes/main/materias_filtered/g1/venezuelanos/2022/01_fev/txt/g1_1d822cfa-230e-11ed-b24f-6dbe51e79fca_2722.txt", "TXT")</f>
        <v/>
      </c>
    </row>
    <row r="277">
      <c r="A277" s="1" t="n">
        <v>275</v>
      </c>
      <c r="B277" t="n">
        <v>2022</v>
      </c>
      <c r="C277" s="2" t="n">
        <v>44593.78011201389</v>
      </c>
      <c r="D277" t="inlineStr">
        <is>
          <t>G1</t>
        </is>
      </c>
      <c r="E277" t="inlineStr">
        <is>
          <t>VENEZUELANOS</t>
        </is>
      </c>
      <c r="F277" t="inlineStr">
        <is>
          <t>RORAIMA</t>
        </is>
      </c>
      <c r="G277" t="inlineStr">
        <is>
          <t>G1 RR — BOA VISTA</t>
        </is>
      </c>
      <c r="H277" t="inlineStr">
        <is>
          <t>JUIZ FEDERAL AUTOR DE DECISÕES NO ESCÂNDALO DOS GAFANHOTOS, HELDER GIRÃO BARRETO SE APOSENTA</t>
        </is>
      </c>
      <c r="I277" t="inlineStr">
        <is>
          <t>JUIZ ATUOU NA PRIMEIRA INSTÂNCIA EM RORAIMA E É CONHECIDO NO ESTADO POR TER DADO DECISÕES NO ESCÂNDALO DOS GAFANHOTOS, MANDAR PRENDER O EX-GOVERNADOR NEUDO CAMPOS, FECHAR A ENTRADA DE VENEZUELANOS E POR TER SE ENVOLVIDO EM UM ACIDENTE DE TRÂNSITO COM UM MOTOBOY.</t>
        </is>
      </c>
      <c r="J277" t="inlineStr"/>
      <c r="K277" t="n">
        <v>0</v>
      </c>
      <c r="L277" t="n">
        <v>1</v>
      </c>
      <c r="M277" t="n">
        <v>0</v>
      </c>
      <c r="N277" t="n">
        <v>0</v>
      </c>
      <c r="O277" t="n">
        <v>12</v>
      </c>
      <c r="P277">
        <f>HYPERLINK("https://g1.globo.com/rr/roraima/noticia/2022/02/01/juiz-federal-autor-de-decisoes-no-escandalo-dos-gafanhotos-helder-girao-barreto-se-aposenta.ghtml", "URL")</f>
        <v/>
      </c>
      <c r="Q277">
        <f>HYPERLINK("https://raw.githubusercontent.com/marcosmapl/dataset_imigrantes/main/materias_filtered/g1/venezuelanos/2022/01_fev/html/g1_dec6e87c-231a-11ed-b24f-6dbe51e79fca_3358.html", "HTML")</f>
        <v/>
      </c>
      <c r="R277">
        <f>HYPERLINK("https://raw.githubusercontent.com/marcosmapl/dataset_imigrantes/main/materias_filtered/g1/venezuelanos/2022/01_fev/txt/g1_dec6e87c-231a-11ed-b24f-6dbe51e79fca_3358.txt", "TXT")</f>
        <v/>
      </c>
    </row>
    <row r="278">
      <c r="A278" s="1" t="n">
        <v>276</v>
      </c>
      <c r="B278" t="n">
        <v>2022</v>
      </c>
      <c r="C278" s="2" t="n">
        <v>44587.41728042824</v>
      </c>
      <c r="D278" t="inlineStr">
        <is>
          <t>G1</t>
        </is>
      </c>
      <c r="E278" t="inlineStr">
        <is>
          <t>VENEZUELANOS</t>
        </is>
      </c>
      <c r="F278" t="inlineStr">
        <is>
          <t>RORAIMA</t>
        </is>
      </c>
      <c r="G278" t="inlineStr">
        <is>
          <t>G1 RR — BOA VISTA</t>
        </is>
      </c>
      <c r="H278" t="inlineStr">
        <is>
          <t>MÃE E FILHO VENEZUELANOS SE REENCONTRAM NO BRASIL APÓS 2 ANOS SEM SE VER</t>
        </is>
      </c>
      <c r="I278" t="inlineStr">
        <is>
          <t>ALÍCIA VICTORIA VARGAS LOPES CONSEGUIU TRAZER O FILHO PARA O BRASIL COM AJUDA DA FRATERNIDADE SEM FRONTEIRAS.</t>
        </is>
      </c>
      <c r="J278" t="inlineStr"/>
      <c r="K278" t="n">
        <v>0</v>
      </c>
      <c r="L278" t="n">
        <v>1</v>
      </c>
      <c r="M278" t="n">
        <v>0</v>
      </c>
      <c r="N278" t="n">
        <v>0</v>
      </c>
      <c r="O278" t="n">
        <v>3</v>
      </c>
      <c r="P278">
        <f>HYPERLINK("https://g1.globo.com/rr/roraima/noticia/2022/01/26/mae-e-filho-venezuelanos-se-reencontram-no-brasil-apos-2-anos-sem-se-ver.ghtml", "URL")</f>
        <v/>
      </c>
      <c r="Q278">
        <f>HYPERLINK("https://raw.githubusercontent.com/marcosmapl/dataset_imigrantes/main/materias_filtered/g1/venezuelanos/2022/00_jan/html/g1_d3ab681c-230d-11ed-b24f-6dbe51e79fca_2707.html", "HTML")</f>
        <v/>
      </c>
      <c r="R278">
        <f>HYPERLINK("https://raw.githubusercontent.com/marcosmapl/dataset_imigrantes/main/materias_filtered/g1/venezuelanos/2022/00_jan/txt/g1_d3ab681c-230d-11ed-b24f-6dbe51e79fca_2707.txt", "TXT")</f>
        <v/>
      </c>
    </row>
    <row r="279">
      <c r="A279" s="1" t="n">
        <v>277</v>
      </c>
      <c r="B279" t="n">
        <v>2022</v>
      </c>
      <c r="C279" s="2" t="n">
        <v>44585.6271524537</v>
      </c>
      <c r="D279" t="inlineStr">
        <is>
          <t>G1</t>
        </is>
      </c>
      <c r="E279" t="inlineStr">
        <is>
          <t>VENEZUELANOS</t>
        </is>
      </c>
      <c r="F279" t="inlineStr">
        <is>
          <t>RORAIMA</t>
        </is>
      </c>
      <c r="G279" t="inlineStr">
        <is>
          <t>G1 RR — BOA VISTA</t>
        </is>
      </c>
      <c r="H279" t="inlineStr">
        <is>
          <t>CÁRITAS JÁ DISTRIBUIU MAIS DE 13 MIL KITS DE PROTEÇÃO À COVID PARA VENEZUELANOS EM SITUAÇÃO DE RUA EM RR</t>
        </is>
      </c>
      <c r="I279" t="inlineStr">
        <is>
          <t>NA SEGUNDA ETAPA, INICIADA EM OUTUBRO DE 2020, AO MENOS 17 MIL MIGRANTES E REFUGIADOS, VINDOS DA VENEZUELA E EM SITUAÇÃO DE RUA, FORAM ATENDIDOS POR MEIO DO PROJETO.</t>
        </is>
      </c>
      <c r="J279" t="inlineStr"/>
      <c r="K279" t="n">
        <v>0</v>
      </c>
      <c r="L279" t="n">
        <v>1</v>
      </c>
      <c r="M279" t="n">
        <v>0</v>
      </c>
      <c r="N279" t="n">
        <v>0</v>
      </c>
      <c r="O279" t="n">
        <v>3</v>
      </c>
      <c r="P279">
        <f>HYPERLINK("https://g1.globo.com/rr/roraima/noticia/2022/01/24/caritas-ja-distribuiu-mais-de-13-mil-kits-de-protecao-a-covid-para-venezuelanos-em-situacao-de-rua-em-rr.ghtml", "URL")</f>
        <v/>
      </c>
      <c r="Q279">
        <f>HYPERLINK("https://raw.githubusercontent.com/marcosmapl/dataset_imigrantes/main/materias_filtered/g1/venezuelanos/2022/00_jan/html/g1_92de7362-2310-11ed-b24f-6dbe51e79fca_2864.html", "HTML")</f>
        <v/>
      </c>
      <c r="R279">
        <f>HYPERLINK("https://raw.githubusercontent.com/marcosmapl/dataset_imigrantes/main/materias_filtered/g1/venezuelanos/2022/00_jan/txt/g1_92de7362-2310-11ed-b24f-6dbe51e79fca_2864.txt", "TXT")</f>
        <v/>
      </c>
    </row>
    <row r="280">
      <c r="A280" s="1" t="n">
        <v>278</v>
      </c>
      <c r="B280" t="n">
        <v>2022</v>
      </c>
      <c r="C280" s="2" t="n">
        <v>44585.48402777778</v>
      </c>
      <c r="D280" t="inlineStr">
        <is>
          <t>PORTAL AMAZONIA</t>
        </is>
      </c>
      <c r="E280" t="inlineStr">
        <is>
          <t>VENEZUELANOS</t>
        </is>
      </c>
      <c r="F280" t="inlineStr">
        <is>
          <t>HISTÓRIAS DA AMAZÔNIA</t>
        </is>
      </c>
      <c r="G280" t="inlineStr">
        <is>
          <t>ABRAHIM BAZE</t>
        </is>
      </c>
      <c r="H280" t="inlineStr">
        <is>
          <t>SUCURSAL DE BRASÍLIA – O AVANÇO NO ESPAÇO TERRITORIAL</t>
        </is>
      </c>
      <c r="I280" t="inlineStr">
        <is>
          <t>GRUPO REDE AMAZÔNICA A CAMINHO DOS 50 ANOS.</t>
        </is>
      </c>
      <c r="J280" t="inlineStr">
        <is>
          <t>AMAZÔNIA, GRUPO REDE AMAZÔNICA, OPINIÃO, REDE AMAZÔNICA 50 ANOS</t>
        </is>
      </c>
      <c r="K280" t="n">
        <v>4</v>
      </c>
      <c r="L280" t="n">
        <v>6</v>
      </c>
      <c r="M280" t="n">
        <v>0</v>
      </c>
      <c r="N280" t="n">
        <v>0</v>
      </c>
      <c r="O280" t="n">
        <v>17</v>
      </c>
      <c r="P280">
        <f>HYPERLINK("https://portalamazonia.com/historias-da-amazonia/sucursal-de-brasilia-o-avanco-no-espaco-territorial", "URL")</f>
        <v/>
      </c>
      <c r="Q280">
        <f>HYPERLINK("https://raw.githubusercontent.com/marcosmapl/dataset_imigrantes/main/materias_filtered/portal_amazonia/venezuelanos/2022/00_jan/html/34862.84491_1425.html", "HTML")</f>
        <v/>
      </c>
      <c r="R280">
        <f>HYPERLINK("https://raw.githubusercontent.com/marcosmapl/dataset_imigrantes/main/materias_filtered/portal_amazonia/venezuelanos/2022/00_jan/txt/34862.84491_1425.txt", "TXT")</f>
        <v/>
      </c>
    </row>
    <row r="281">
      <c r="A281" s="1" t="n">
        <v>279</v>
      </c>
      <c r="B281" t="n">
        <v>2022</v>
      </c>
      <c r="C281" s="2" t="n">
        <v>44584.70664111111</v>
      </c>
      <c r="D281" t="inlineStr">
        <is>
          <t>G1</t>
        </is>
      </c>
      <c r="E281" t="inlineStr">
        <is>
          <t>VENEZUELANOS</t>
        </is>
      </c>
      <c r="F281" t="inlineStr">
        <is>
          <t>RORAIMA</t>
        </is>
      </c>
      <c r="G281" t="inlineStr">
        <is>
          <t>G1 RR — BOA VISTA</t>
        </is>
      </c>
      <c r="H281" t="inlineStr">
        <is>
          <t>VENEZUELANO É ASSASSINADO POR AMIGO EM BRIGA POR CIÚMES NA ZONA OESTE DE BOA VISTA</t>
        </is>
      </c>
      <c r="I281" t="inlineStr">
        <is>
          <t>FELIPE RAFAEL COLMINARES TINHA 32 ANOS E FOI ASSASSINADO A FACADAS.</t>
        </is>
      </c>
      <c r="J281" t="inlineStr"/>
      <c r="K281" t="n">
        <v>0</v>
      </c>
      <c r="L281" t="n">
        <v>1</v>
      </c>
      <c r="M281" t="n">
        <v>0</v>
      </c>
      <c r="N281" t="n">
        <v>0</v>
      </c>
      <c r="O281" t="n">
        <v>1</v>
      </c>
      <c r="P281">
        <f>HYPERLINK("https://g1.globo.com/rr/roraima/noticia/2022/01/23/venezuelano-e-assassinado-por-amigo-em-briga-por-ciumes-na-zona-oeste-de-boa-vista.ghtml", "URL")</f>
        <v/>
      </c>
      <c r="Q281">
        <f>HYPERLINK("https://raw.githubusercontent.com/marcosmapl/dataset_imigrantes/main/materias_filtered/g1/venezuelanos/2022/00_jan/html/g1_eedaa758-2306-11ed-b24f-6dbe51e79fca_2286.html", "HTML")</f>
        <v/>
      </c>
      <c r="R281">
        <f>HYPERLINK("https://raw.githubusercontent.com/marcosmapl/dataset_imigrantes/main/materias_filtered/g1/venezuelanos/2022/00_jan/txt/g1_eedaa758-2306-11ed-b24f-6dbe51e79fca_2286.txt", "TXT")</f>
        <v/>
      </c>
    </row>
    <row r="282">
      <c r="A282" s="1" t="n">
        <v>280</v>
      </c>
      <c r="B282" t="n">
        <v>2022</v>
      </c>
      <c r="C282" s="2" t="n">
        <v>44584.3337619213</v>
      </c>
      <c r="D282" t="inlineStr">
        <is>
          <t>G1</t>
        </is>
      </c>
      <c r="E282" t="inlineStr">
        <is>
          <t>VENEZUELANOS</t>
        </is>
      </c>
      <c r="F282" t="inlineStr">
        <is>
          <t>RORAIMA</t>
        </is>
      </c>
      <c r="G282" t="inlineStr">
        <is>
          <t>LUCAS VIDIGAL E FÁBIO TITO, G1</t>
        </is>
      </c>
      <c r="H282" t="inlineStr">
        <is>
          <t>'O CAMINHO DE UM PAÍS PARA OUTRO MUDA AS PESSOAS': VEJA SONHOS E PREOCUPAÇÕES DE VENEZUELANAS EM SITUAÇÃO VULNERÁVEL QUE CHEGAM AO BRASIL</t>
        </is>
      </c>
      <c r="I282" t="inlineStr">
        <is>
          <t>INICIATIVAS NOS ABRIGOS DA OPERAÇÃO ACOLHIDA EM RORAIMA AJUDAM PESSOAS QUE CHEGAM EM SITUAÇÃO AINDA MAIS VULNERÁVEL AO PAÍS DEPOIS DE FUGIREM DE PERSEGUIÇÃO E DE VIOLAÇÕES DOS DIREITOS HUMANOS.</t>
        </is>
      </c>
      <c r="J282" t="inlineStr"/>
      <c r="K282" t="n">
        <v>0</v>
      </c>
      <c r="L282" t="n">
        <v>2</v>
      </c>
      <c r="M282" t="n">
        <v>1</v>
      </c>
      <c r="N282" t="n">
        <v>0</v>
      </c>
      <c r="O282" t="n">
        <v>3</v>
      </c>
      <c r="P282">
        <f>HYPERLINK("https://g1.globo.com/rr/roraima/noticia/2022/01/23/o-caminho-de-um-pais-para-outro-muda-as-pessoas-veja-sonhos-e-preocupacoes-de-venezuelanas-em-situacao-vulneravel-que-chegam-ao-brasil.ghtml", "URL")</f>
        <v/>
      </c>
      <c r="Q282">
        <f>HYPERLINK("https://raw.githubusercontent.com/marcosmapl/dataset_imigrantes/main/materias_filtered/g1/venezuelanos/2022/00_jan/html/g1_8584e09c-232a-11ed-b24f-6dbe51e79fca_4184.html", "HTML")</f>
        <v/>
      </c>
      <c r="R282">
        <f>HYPERLINK("https://raw.githubusercontent.com/marcosmapl/dataset_imigrantes/main/materias_filtered/g1/venezuelanos/2022/00_jan/txt/g1_8584e09c-232a-11ed-b24f-6dbe51e79fca_4184.txt", "TXT")</f>
        <v/>
      </c>
    </row>
    <row r="283">
      <c r="A283" s="1" t="n">
        <v>281</v>
      </c>
      <c r="B283" t="n">
        <v>2022</v>
      </c>
      <c r="C283" s="2" t="n">
        <v>44583.33383274305</v>
      </c>
      <c r="D283" t="inlineStr">
        <is>
          <t>G1</t>
        </is>
      </c>
      <c r="E283" t="inlineStr">
        <is>
          <t>VENEZUELANOS</t>
        </is>
      </c>
      <c r="F283" t="inlineStr">
        <is>
          <t>RORAIMA</t>
        </is>
      </c>
      <c r="G283" t="inlineStr">
        <is>
          <t>LUCAS VIDIGAL E FÁBIO TITO, G1</t>
        </is>
      </c>
      <c r="H283" t="inlineStr">
        <is>
          <t>COMO OS ABRIGOS PARA REFUGIADOS DA VENEZUELA EM RORAIMA LUTAM CONTRA A COVID-19</t>
        </is>
      </c>
      <c r="I283" t="inlineStr">
        <is>
          <t>CONTROLAR O CORONAVÍRUS EM UM LOCAL CHEIO DE MIGRANTES FOI UMA TAREFA MUITO DIFÍCIL NOS PIORES MOMENTOS DA PANDEMIA. APÓS O LUTO COM AS MORTES E AS PREOCUPAÇÕES COM AS FAMÍLIAS QUE FICARAM NO PAÍS DE ORIGEM, A MAIORIA DOS VENEZUELANOS ADERIU À VACINAÇÃO NO BRASIL E ESPERA SUPERAR A PANDEMIA.</t>
        </is>
      </c>
      <c r="J283" t="inlineStr"/>
      <c r="K283" t="n">
        <v>0</v>
      </c>
      <c r="L283" t="n">
        <v>2</v>
      </c>
      <c r="M283" t="n">
        <v>1</v>
      </c>
      <c r="N283" t="n">
        <v>0</v>
      </c>
      <c r="O283" t="n">
        <v>1</v>
      </c>
      <c r="P283">
        <f>HYPERLINK("https://g1.globo.com/rr/roraima/noticia/2022/01/22/como-os-abrigos-para-refugiados-da-venezuela-em-roraima-lutam-contra-a-covid-19.ghtml", "URL")</f>
        <v/>
      </c>
      <c r="Q283">
        <f>HYPERLINK("https://raw.githubusercontent.com/marcosmapl/dataset_imigrantes/main/materias_filtered/g1/venezuelanos/2022/00_jan/html/g1_6f05fb76-230c-11ed-b24f-6dbe51e79fca_2624.html", "HTML")</f>
        <v/>
      </c>
      <c r="R283">
        <f>HYPERLINK("https://raw.githubusercontent.com/marcosmapl/dataset_imigrantes/main/materias_filtered/g1/venezuelanos/2022/00_jan/txt/g1_6f05fb76-230c-11ed-b24f-6dbe51e79fca_2624.txt", "TXT")</f>
        <v/>
      </c>
    </row>
    <row r="284">
      <c r="A284" s="1" t="n">
        <v>282</v>
      </c>
      <c r="B284" t="n">
        <v>2022</v>
      </c>
      <c r="C284" s="2" t="n">
        <v>44579.88292528935</v>
      </c>
      <c r="D284" t="inlineStr">
        <is>
          <t>G1</t>
        </is>
      </c>
      <c r="E284" t="inlineStr">
        <is>
          <t>VENEZUELANOS</t>
        </is>
      </c>
      <c r="F284" t="inlineStr">
        <is>
          <t>ALAGOAS</t>
        </is>
      </c>
      <c r="G284" t="inlineStr">
        <is>
          <t>G1 AL</t>
        </is>
      </c>
      <c r="H284" t="inlineStr">
        <is>
          <t>DPU-AL DÁ PRAZO PARA QUE PREFEITURA DE ARAPIRACA APRESENTE PLANO DE ASSISTÊNCIA PARA INDÍGENAS VENEZUELANOS</t>
        </is>
      </c>
      <c r="I284" t="inlineStr">
        <is>
          <t>EM DEZEMBRO, MPF RECEBEU DENÚNCIAS SOBRE SITUAÇÃO PRECÁRIA EM QUE VIVEM OS MIGRANTES. AO TODO, 47 INDÍGENAS, ENTRE ELES CRIANÇAS E IDOSOS, ESTÃO NA CIDADE DESDE NOVEMBRO.</t>
        </is>
      </c>
      <c r="J284" t="inlineStr"/>
      <c r="K284" t="n">
        <v>0</v>
      </c>
      <c r="L284" t="n">
        <v>1</v>
      </c>
      <c r="M284" t="n">
        <v>0</v>
      </c>
      <c r="N284" t="n">
        <v>0</v>
      </c>
      <c r="O284" t="n">
        <v>3</v>
      </c>
      <c r="P284">
        <f>HYPERLINK("https://g1.globo.com/al/alagoas/noticia/2022/01/18/dpu-al-da-prazo-para-que-prefeitura-de-arapiraca-apresente-plano-de-assistencia-para-indigenas-venezuelanos.ghtml", "URL")</f>
        <v/>
      </c>
      <c r="Q284">
        <f>HYPERLINK("https://raw.githubusercontent.com/marcosmapl/dataset_imigrantes/main/materias_filtered/g1/venezuelanos/2022/00_jan/html/g1_00e12b5e-2319-11ed-b24f-6dbe51e79fca_3293.html", "HTML")</f>
        <v/>
      </c>
      <c r="R284">
        <f>HYPERLINK("https://raw.githubusercontent.com/marcosmapl/dataset_imigrantes/main/materias_filtered/g1/venezuelanos/2022/00_jan/txt/g1_00e12b5e-2319-11ed-b24f-6dbe51e79fca_3293.txt", "TXT")</f>
        <v/>
      </c>
    </row>
    <row r="285">
      <c r="A285" s="1" t="n">
        <v>283</v>
      </c>
      <c r="B285" t="n">
        <v>2022</v>
      </c>
      <c r="C285" s="2" t="n">
        <v>44579.5597337963</v>
      </c>
      <c r="D285" t="inlineStr">
        <is>
          <t>A CRITICA</t>
        </is>
      </c>
      <c r="E285" t="inlineStr">
        <is>
          <t>VENEZUELANOS</t>
        </is>
      </c>
      <c r="F285" t="inlineStr">
        <is>
          <t>POLICIA</t>
        </is>
      </c>
      <c r="G285" t="inlineStr">
        <is>
          <t>NATASHA PINTO</t>
        </is>
      </c>
      <c r="H285" t="inlineStr">
        <is>
          <t>JOVEM É ENCONTRADO MORTO POR MORADORES DA ZONA LESTE</t>
        </is>
      </c>
      <c r="I285" t="inlineStr">
        <is>
          <t>ELE ESTAVA COM VÁRIOS FERIMENTOS DE ARMA DE FOGO PELO CORPO</t>
        </is>
      </c>
      <c r="J285" t="inlineStr"/>
      <c r="K285" t="n">
        <v>0</v>
      </c>
      <c r="L285" t="n">
        <v>1</v>
      </c>
      <c r="M285" t="n">
        <v>0</v>
      </c>
      <c r="N285" t="n">
        <v>0</v>
      </c>
      <c r="O285" t="n">
        <v>0</v>
      </c>
      <c r="P285">
        <f>HYPERLINK("https://www.acritica.com/policia/jovem-e-encontrado-morto-por-moradores-da-zona-leste-1.2213", "URL")</f>
        <v/>
      </c>
      <c r="Q285">
        <f>HYPERLINK("https://raw.githubusercontent.com/marcosmapl/dataset_imigrantes/main/materias_filtered/a_critica/venezuelanos/2022/00_jan/html/1.2213_446.html", "HTML")</f>
        <v/>
      </c>
      <c r="R285">
        <f>HYPERLINK("https://raw.githubusercontent.com/marcosmapl/dataset_imigrantes/main/materias_filtered/a_critica/venezuelanos/2022/00_jan/txt/1.2213_446.txt", "TXT")</f>
        <v/>
      </c>
    </row>
    <row r="286">
      <c r="A286" s="1" t="n">
        <v>284</v>
      </c>
      <c r="B286" t="n">
        <v>2022</v>
      </c>
      <c r="C286" s="2" t="n">
        <v>44575.91212753472</v>
      </c>
      <c r="D286" t="inlineStr">
        <is>
          <t>G1</t>
        </is>
      </c>
      <c r="E286" t="inlineStr">
        <is>
          <t>VENEZUELANOS</t>
        </is>
      </c>
      <c r="F286" t="inlineStr">
        <is>
          <t>RORAIMA</t>
        </is>
      </c>
      <c r="G286" t="inlineStr">
        <is>
          <t>G1 RR — BOA VISTA</t>
        </is>
      </c>
      <c r="H286" t="inlineStr">
        <is>
          <t>POLÍCIA PROCURA JOVEM VENEZUELANO QUE DESAPARECEU APÓS SAIR DE ABRIGO PARA COMER EM BOA VISTA</t>
        </is>
      </c>
      <c r="I286" t="inlineStr">
        <is>
          <t>CARLOS ALBERTO MATUTE MARTINEZ, DE 21 ANOS, DESAPARECEU NO DIA 7 DE JANEIRO, NO BAIRRO TREZE DE SETEMBRO.</t>
        </is>
      </c>
      <c r="J286" t="inlineStr"/>
      <c r="K286" t="n">
        <v>0</v>
      </c>
      <c r="L286" t="n">
        <v>1</v>
      </c>
      <c r="M286" t="n">
        <v>0</v>
      </c>
      <c r="N286" t="n">
        <v>0</v>
      </c>
      <c r="O286" t="n">
        <v>2</v>
      </c>
      <c r="P286">
        <f>HYPERLINK("https://g1.globo.com/rr/roraima/noticia/2022/01/14/policia-procura-jovem-venezuelano-que-desapareceu-apos-sair-de-abrigo-para-comer-em-boa-vista.ghtml", "URL")</f>
        <v/>
      </c>
      <c r="Q286">
        <f>HYPERLINK("https://raw.githubusercontent.com/marcosmapl/dataset_imigrantes/main/materias_filtered/g1/venezuelanos/2022/00_jan/html/g1_dba561bc-2317-11ed-b24f-6dbe51e79fca_3230.html", "HTML")</f>
        <v/>
      </c>
      <c r="R286">
        <f>HYPERLINK("https://raw.githubusercontent.com/marcosmapl/dataset_imigrantes/main/materias_filtered/g1/venezuelanos/2022/00_jan/txt/g1_dba561bc-2317-11ed-b24f-6dbe51e79fca_3230.txt", "TXT")</f>
        <v/>
      </c>
    </row>
    <row r="287">
      <c r="A287" s="1" t="n">
        <v>285</v>
      </c>
      <c r="B287" t="n">
        <v>2022</v>
      </c>
      <c r="C287" s="2" t="n">
        <v>44575.90086724537</v>
      </c>
      <c r="D287" t="inlineStr">
        <is>
          <t>G1</t>
        </is>
      </c>
      <c r="E287" t="inlineStr">
        <is>
          <t>HAITIANOS</t>
        </is>
      </c>
      <c r="F287" t="inlineStr">
        <is>
          <t>RIO GRANDE DO SUL</t>
        </is>
      </c>
      <c r="G287" t="inlineStr">
        <is>
          <t>GUSTAVO FOSTER, G1 RS</t>
        </is>
      </c>
      <c r="H287" t="inlineStr">
        <is>
          <t>COM AJUDA DE ENFERMEIRA, IMIGRANTE HAITIANA DÁ À LUZ EM AMBULÂNCIA DO SAMU EM MARAU</t>
        </is>
      </c>
      <c r="I287" t="inlineStr">
        <is>
          <t>COMO NÃO FALA PORTUGUÊS, YROUANCISE PRECISOU DA COLABORAÇÃO DE SEU MARIDO E PAI DA CRIANÇA PARA SOLICITAR AJUDA DO SERVIÇO MÉDICO.</t>
        </is>
      </c>
      <c r="J287" t="inlineStr"/>
      <c r="K287" t="n">
        <v>0</v>
      </c>
      <c r="L287" t="n">
        <v>2</v>
      </c>
      <c r="M287" t="n">
        <v>0</v>
      </c>
      <c r="N287" t="n">
        <v>0</v>
      </c>
      <c r="O287" t="n">
        <v>3</v>
      </c>
      <c r="P287">
        <f>HYPERLINK("https://g1.globo.com/rs/rio-grande-do-sul/noticia/2022/01/14/com-ajuda-de-enfermeira-imigrante-haitiana-da-a-luz-em-ambulancia-do-samu-em-marau.ghtml", "URL")</f>
        <v/>
      </c>
      <c r="Q287">
        <f>HYPERLINK("https://raw.githubusercontent.com/marcosmapl/dataset_imigrantes/main/materias_filtered/g1/haitianos/2022/00_jan/html/g1_7167392c-22ec-11ed-b24f-6dbe51e79fca_1657.html", "HTML")</f>
        <v/>
      </c>
      <c r="R287">
        <f>HYPERLINK("https://raw.githubusercontent.com/marcosmapl/dataset_imigrantes/main/materias_filtered/g1/haitianos/2022/00_jan/txt/g1_7167392c-22ec-11ed-b24f-6dbe51e79fca_1657.txt", "TXT")</f>
        <v/>
      </c>
    </row>
    <row r="288">
      <c r="A288" s="1" t="n">
        <v>286</v>
      </c>
      <c r="B288" t="n">
        <v>2022</v>
      </c>
      <c r="C288" s="2" t="n">
        <v>44574.67269456018</v>
      </c>
      <c r="D288" t="inlineStr">
        <is>
          <t>G1</t>
        </is>
      </c>
      <c r="E288" t="inlineStr">
        <is>
          <t>HAITIANOS</t>
        </is>
      </c>
      <c r="F288" t="inlineStr">
        <is>
          <t>SÃO PAULO</t>
        </is>
      </c>
      <c r="G288" t="inlineStr">
        <is>
          <t>G1 SP — SÃO PAULO</t>
        </is>
      </c>
      <c r="H288" t="inlineStr">
        <is>
          <t>UNIFESP OFERECE 50 VAGAS DE GRADUAÇÃO PARA REFUGIADOS E PESSOAS COM VISTO HUMANITÁRIO</t>
        </is>
      </c>
      <c r="I288" t="inlineStr">
        <is>
          <t>UNIVERSIDADE DISPONIBILIZA UMA VAGA NO CURSO DE MEDICINA. INSCRIÇÕES DEVEM SER FEITAS ATÉ 28 DE JANEIRO. OS APÁTRIDAS, PESSOAS QUE NÃO POSSUEM NACIONALIDADE RECONHECIDA POR NENHUM PAÍS, TAMBÉM PODEM CONCORRER.</t>
        </is>
      </c>
      <c r="J288" t="inlineStr"/>
      <c r="K288" t="n">
        <v>0</v>
      </c>
      <c r="L288" t="n">
        <v>1</v>
      </c>
      <c r="M288" t="n">
        <v>0</v>
      </c>
      <c r="N288" t="n">
        <v>0</v>
      </c>
      <c r="O288" t="n">
        <v>0</v>
      </c>
      <c r="P288">
        <f>HYPERLINK("https://g1.globo.com/sp/sao-paulo/noticia/2022/01/13/unifesp-oferece-50-vagas-de-graduacao-para-refugiados-e-pessoas-com-visto-humanitario.ghtml", "URL")</f>
        <v/>
      </c>
      <c r="Q288">
        <f>HYPERLINK("https://raw.githubusercontent.com/marcosmapl/dataset_imigrantes/main/materias_filtered/g1/haitianos/2022/00_jan/html/g1_c1aebcec-231f-11ed-b24f-6dbe51e79fca_3642.html", "HTML")</f>
        <v/>
      </c>
      <c r="R288">
        <f>HYPERLINK("https://raw.githubusercontent.com/marcosmapl/dataset_imigrantes/main/materias_filtered/g1/haitianos/2022/00_jan/txt/g1_c1aebcec-231f-11ed-b24f-6dbe51e79fca_3642.txt", "TXT")</f>
        <v/>
      </c>
    </row>
    <row r="289">
      <c r="A289" s="1" t="n">
        <v>287</v>
      </c>
      <c r="B289" t="n">
        <v>2022</v>
      </c>
      <c r="C289" s="2" t="n">
        <v>44573.97199672454</v>
      </c>
      <c r="D289" t="inlineStr">
        <is>
          <t>G1</t>
        </is>
      </c>
      <c r="E289" t="inlineStr">
        <is>
          <t>VENEZUELANOS</t>
        </is>
      </c>
      <c r="F289" t="inlineStr">
        <is>
          <t>ECONOMIA</t>
        </is>
      </c>
      <c r="G289" t="inlineStr">
        <is>
          <t>BBC</t>
        </is>
      </c>
      <c r="H289" t="inlineStr">
        <is>
          <t>'SOU POLICIAL, MAS CONSERTO MICROONDAS PARA SOBREVIVER': OS 'BICOS' FEITOS POR VENEZUELANOS EM MEIO À CRISE</t>
        </is>
      </c>
      <c r="I289" t="inlineStr">
        <is>
          <t>BBC NEWS MUNDO ENTREVISTOU UM POLICIAL QUE CONSERTA MICROONDAS, UM ENGENHEIRO QUE PRESTA SERVIÇOS DE ENCANADOR, UMA PROFESSORA QUE PRODUZ GELEIAS E MOLHOS DE MACARRÃO E OUTRO EDUCADOR QUE TRABALHA EM UMA PIZZARIA. A MAIORIA TEM COMO OBJETIVO CONSEGUIR UM DÓLAR A MAIS, 12 HORAS POR DIA.</t>
        </is>
      </c>
      <c r="J289" t="inlineStr"/>
      <c r="K289" t="n">
        <v>0</v>
      </c>
      <c r="L289" t="n">
        <v>2</v>
      </c>
      <c r="M289" t="n">
        <v>0</v>
      </c>
      <c r="N289" t="n">
        <v>0</v>
      </c>
      <c r="O289" t="n">
        <v>0</v>
      </c>
      <c r="P289">
        <f>HYPERLINK("https://g1.globo.com/economia/noticia/2022/01/12/sou-policial-mas-conserto-microondas-para-sobreviver-os-bicos-feitos-por-venezuelanos-em-meio-a-crise.ghtml", "URL")</f>
        <v/>
      </c>
      <c r="Q289">
        <f>HYPERLINK("https://raw.githubusercontent.com/marcosmapl/dataset_imigrantes/main/materias_filtered/g1/venezuelanos/2022/00_jan/html/g1_940a2920-2306-11ed-b24f-6dbe51e79fca_2267.html", "HTML")</f>
        <v/>
      </c>
      <c r="R289">
        <f>HYPERLINK("https://raw.githubusercontent.com/marcosmapl/dataset_imigrantes/main/materias_filtered/g1/venezuelanos/2022/00_jan/txt/g1_940a2920-2306-11ed-b24f-6dbe51e79fca_2267.txt", "TXT")</f>
        <v/>
      </c>
    </row>
    <row r="290">
      <c r="A290" s="1" t="n">
        <v>288</v>
      </c>
      <c r="B290" t="n">
        <v>2022</v>
      </c>
      <c r="C290" s="2" t="n">
        <v>44569.64221064815</v>
      </c>
      <c r="D290" t="inlineStr">
        <is>
          <t>A CRITICA</t>
        </is>
      </c>
      <c r="E290" t="inlineStr">
        <is>
          <t>VENEZUELANOS</t>
        </is>
      </c>
      <c r="F290" t="inlineStr">
        <is>
          <t>MANAUS</t>
        </is>
      </c>
      <c r="G290" t="inlineStr">
        <is>
          <t>PORTAL A CRÍTICA</t>
        </is>
      </c>
      <c r="H290" t="inlineStr">
        <is>
          <t>HOMEM É PRESO POR MATAR VENEZUELANO EM BAR NO ANO PASSADO</t>
        </is>
      </c>
      <c r="I290" t="inlineStr">
        <is>
          <t>SEGUNDO A POLÍCIA, O CRIME ACONTECEU APÓS A VÍTIMA DESCONFIAR QUE PAULO ROBERTO TERIA FURTADO SEU APARELHO CELULAR</t>
        </is>
      </c>
      <c r="J290" t="inlineStr"/>
      <c r="K290" t="n">
        <v>0</v>
      </c>
      <c r="L290" t="n">
        <v>1</v>
      </c>
      <c r="M290" t="n">
        <v>0</v>
      </c>
      <c r="N290" t="n">
        <v>0</v>
      </c>
      <c r="O290" t="n">
        <v>0</v>
      </c>
      <c r="P290">
        <f>HYPERLINK("https://www.acritica.com/manaus/homem-e-preso-por-matar-venezuelano-em-bar-no-ano-passado-1.1985", "URL")</f>
        <v/>
      </c>
      <c r="Q290">
        <f>HYPERLINK("https://raw.githubusercontent.com/marcosmapl/dataset_imigrantes/main/materias_filtered/a_critica/venezuelanos/2022/00_jan/html/1.1985_701.html", "HTML")</f>
        <v/>
      </c>
      <c r="R290">
        <f>HYPERLINK("https://raw.githubusercontent.com/marcosmapl/dataset_imigrantes/main/materias_filtered/a_critica/venezuelanos/2022/00_jan/txt/1.1985_701.txt", "TXT")</f>
        <v/>
      </c>
    </row>
    <row r="291">
      <c r="A291" s="1" t="n">
        <v>289</v>
      </c>
      <c r="B291" t="n">
        <v>2022</v>
      </c>
      <c r="C291" s="2" t="n">
        <v>44568.88704769676</v>
      </c>
      <c r="D291" t="inlineStr">
        <is>
          <t>G1</t>
        </is>
      </c>
      <c r="E291" t="inlineStr">
        <is>
          <t>VENEZUELANOS</t>
        </is>
      </c>
      <c r="F291" t="inlineStr">
        <is>
          <t>RORAIMA</t>
        </is>
      </c>
      <c r="G291" t="inlineStr">
        <is>
          <t>G1 RR — BOA VISTA</t>
        </is>
      </c>
      <c r="H291" t="inlineStr">
        <is>
          <t>PROJETO ORIENTA MIGRANTES E REFUGIADOS EM RORAIMA SOBRE CASOS DE VIOLAÇÕES TRABALHISTAS</t>
        </is>
      </c>
      <c r="I291" t="inlineStr">
        <is>
          <t>AÇÃO É ORGANIZADA PELA ONG VISÃO MUNDIAL. EIXO DE PROTEÇÃO SERÁ INSERIDO DENTRO DO PROJETO "VEN, TÚ PUEDES!", QUE ATUA NA RESPOSTA À CRISE MIGRATÓRIA VENEZUELANA.</t>
        </is>
      </c>
      <c r="J291" t="inlineStr"/>
      <c r="K291" t="n">
        <v>0</v>
      </c>
      <c r="L291" t="n">
        <v>1</v>
      </c>
      <c r="M291" t="n">
        <v>0</v>
      </c>
      <c r="N291" t="n">
        <v>0</v>
      </c>
      <c r="O291" t="n">
        <v>2</v>
      </c>
      <c r="P291">
        <f>HYPERLINK("https://g1.globo.com/rr/roraima/noticia/2022/01/07/projeto-orienta-migrantes-e-refugiados-em-roraima-sobre-casos-de-violacoes-trabalhistas.ghtml", "URL")</f>
        <v/>
      </c>
      <c r="Q291">
        <f>HYPERLINK("https://raw.githubusercontent.com/marcosmapl/dataset_imigrantes/main/materias_filtered/g1/venezuelanos/2022/00_jan/html/g1_29a55b4a-230b-11ed-b24f-6dbe51e79fca_2548.html", "HTML")</f>
        <v/>
      </c>
      <c r="R291">
        <f>HYPERLINK("https://raw.githubusercontent.com/marcosmapl/dataset_imigrantes/main/materias_filtered/g1/venezuelanos/2022/00_jan/txt/g1_29a55b4a-230b-11ed-b24f-6dbe51e79fca_2548.txt", "TXT")</f>
        <v/>
      </c>
    </row>
    <row r="292">
      <c r="A292" s="1" t="n">
        <v>290</v>
      </c>
      <c r="B292" t="n">
        <v>2022</v>
      </c>
      <c r="C292" s="2" t="n">
        <v>44567.54901472222</v>
      </c>
      <c r="D292" t="inlineStr">
        <is>
          <t>G1</t>
        </is>
      </c>
      <c r="E292" t="inlineStr">
        <is>
          <t>VENEZUELANOS</t>
        </is>
      </c>
      <c r="F292" t="inlineStr">
        <is>
          <t>MATO GROSSO</t>
        </is>
      </c>
      <c r="G292" t="inlineStr">
        <is>
          <t>G1 MT</t>
        </is>
      </c>
      <c r="H292" t="inlineStr">
        <is>
          <t>MULHER VENEZUELANA É ASSASSINADA PELO MARIDO QUE NÃO ACEITAVA O FIM DO RELACIONAMENTO EM MT, DIZ POLÍCIA</t>
        </is>
      </c>
      <c r="I292" t="inlineStr">
        <is>
          <t>ISBELL JOSÉ VEGAS, DE 25 ANOS, ESTAVA DESAPARECIDA HÁ 10 DIAS E FOI ENCONTRADA NESSA QUARTA-FEIRA (5), NOS FUNDOS DO BARRACÃO ONDE O SUSPEITO TRABALHA.</t>
        </is>
      </c>
      <c r="J292" t="inlineStr"/>
      <c r="K292" t="n">
        <v>0</v>
      </c>
      <c r="L292" t="n">
        <v>1</v>
      </c>
      <c r="M292" t="n">
        <v>0</v>
      </c>
      <c r="N292" t="n">
        <v>0</v>
      </c>
      <c r="O292" t="n">
        <v>1</v>
      </c>
      <c r="P292">
        <f>HYPERLINK("https://g1.globo.com/mt/mato-grosso/noticia/2022/01/06/mulher-venezuelana-e-assassinada-pelo-marido-que-nao-aceitava-o-fim-do-relacionamento-em-mt-diz-policia.ghtml", "URL")</f>
        <v/>
      </c>
      <c r="Q292">
        <f>HYPERLINK("https://raw.githubusercontent.com/marcosmapl/dataset_imigrantes/main/materias_filtered/g1/venezuelanos/2022/00_jan/html/g1_0841cb3a-2308-11ed-b24f-6dbe51e79fca_2360.html", "HTML")</f>
        <v/>
      </c>
      <c r="R292">
        <f>HYPERLINK("https://raw.githubusercontent.com/marcosmapl/dataset_imigrantes/main/materias_filtered/g1/venezuelanos/2022/00_jan/txt/g1_0841cb3a-2308-11ed-b24f-6dbe51e79fca_2360.txt", "TXT")</f>
        <v/>
      </c>
    </row>
    <row r="293">
      <c r="A293" s="1" t="n">
        <v>291</v>
      </c>
      <c r="B293" t="n">
        <v>2022</v>
      </c>
      <c r="C293" s="2" t="n">
        <v>44564.93583528935</v>
      </c>
      <c r="D293" t="inlineStr">
        <is>
          <t>G1</t>
        </is>
      </c>
      <c r="E293" t="inlineStr">
        <is>
          <t>VENEZUELANOS</t>
        </is>
      </c>
      <c r="F293" t="inlineStr">
        <is>
          <t>RORAIMA</t>
        </is>
      </c>
      <c r="G293" t="inlineStr">
        <is>
          <t>G1 RR — BOA VISTA</t>
        </is>
      </c>
      <c r="H293" t="inlineStr">
        <is>
          <t>VENEZUELANO MORRE APÓS SER FERIDO NO ROSTO ENQUANTO ANDAVA DE BICICLETA EM BOA VISTA</t>
        </is>
      </c>
      <c r="I293" t="inlineStr">
        <is>
          <t>CASO ACONTECEU NA TARDE DESTA SEGUNDA-FEIRA (3), NO BAIRRO SÃO VICENTE.</t>
        </is>
      </c>
      <c r="J293" t="inlineStr"/>
      <c r="K293" t="n">
        <v>0</v>
      </c>
      <c r="L293" t="n">
        <v>1</v>
      </c>
      <c r="M293" t="n">
        <v>0</v>
      </c>
      <c r="N293" t="n">
        <v>0</v>
      </c>
      <c r="O293" t="n">
        <v>3</v>
      </c>
      <c r="P293">
        <f>HYPERLINK("https://g1.globo.com/rr/roraima/noticia/2022/01/03/venezuelano-morre-apos-ser-ferido-no-rosto-enquanto-andava-de-bicicleta-em-boa-vista.ghtml", "URL")</f>
        <v/>
      </c>
      <c r="Q293">
        <f>HYPERLINK("https://raw.githubusercontent.com/marcosmapl/dataset_imigrantes/main/materias_filtered/g1/venezuelanos/2022/00_jan/html/g1_6f4691e6-2315-11ed-b24f-6dbe51e79fca_3084.html", "HTML")</f>
        <v/>
      </c>
      <c r="R293">
        <f>HYPERLINK("https://raw.githubusercontent.com/marcosmapl/dataset_imigrantes/main/materias_filtered/g1/venezuelanos/2022/00_jan/txt/g1_6f4691e6-2315-11ed-b24f-6dbe51e79fca_3084.txt", "TXT")</f>
        <v/>
      </c>
    </row>
    <row r="294">
      <c r="A294" s="1" t="n">
        <v>292</v>
      </c>
      <c r="B294" t="n">
        <v>2022</v>
      </c>
      <c r="C294" s="2" t="n">
        <v>44564.59435341435</v>
      </c>
      <c r="D294" t="inlineStr">
        <is>
          <t>G1</t>
        </is>
      </c>
      <c r="E294" t="inlineStr">
        <is>
          <t>VENEZUELANOS</t>
        </is>
      </c>
      <c r="F294" t="inlineStr">
        <is>
          <t>RORAIMA</t>
        </is>
      </c>
      <c r="G294" t="inlineStr">
        <is>
          <t>G1 RR — BOA VISTA</t>
        </is>
      </c>
      <c r="H294" t="inlineStr">
        <is>
          <t>VENEZUELANO É ASSASSINADO COM DOIS TIROS NA CABEÇA NA ZONA SUL DE BOA VISTA</t>
        </is>
      </c>
      <c r="I294" t="inlineStr">
        <is>
          <t>O CRIME OCORREU NESTE DOMINGO (2) NO BAIRRO 13 DE SETEMBRO. NINGUÉM FOI PRESO.</t>
        </is>
      </c>
      <c r="J294" t="inlineStr"/>
      <c r="K294" t="n">
        <v>0</v>
      </c>
      <c r="L294" t="n">
        <v>1</v>
      </c>
      <c r="M294" t="n">
        <v>0</v>
      </c>
      <c r="N294" t="n">
        <v>0</v>
      </c>
      <c r="O294" t="n">
        <v>1</v>
      </c>
      <c r="P294">
        <f>HYPERLINK("https://g1.globo.com/rr/roraima/noticia/2022/01/03/venezuelano-e-assassinado-com-dois-tiros-na-cabeca-na-zona-sul-de-boa-vista.ghtml", "URL")</f>
        <v/>
      </c>
      <c r="Q294">
        <f>HYPERLINK("https://raw.githubusercontent.com/marcosmapl/dataset_imigrantes/main/materias_filtered/g1/venezuelanos/2022/00_jan/html/g1_2006199e-2324-11ed-b24f-6dbe51e79fca_3851.html", "HTML")</f>
        <v/>
      </c>
      <c r="R294">
        <f>HYPERLINK("https://raw.githubusercontent.com/marcosmapl/dataset_imigrantes/main/materias_filtered/g1/venezuelanos/2022/00_jan/txt/g1_2006199e-2324-11ed-b24f-6dbe51e79fca_3851.txt", "TXT")</f>
        <v/>
      </c>
    </row>
    <row r="295">
      <c r="A295" s="1" t="n">
        <v>293</v>
      </c>
      <c r="B295" t="n">
        <v>2022</v>
      </c>
      <c r="C295" s="2" t="n">
        <v>44564.00274305556</v>
      </c>
      <c r="D295" t="inlineStr">
        <is>
          <t>A CRITICA</t>
        </is>
      </c>
      <c r="E295" t="inlineStr">
        <is>
          <t>VENEZUELANOS</t>
        </is>
      </c>
      <c r="F295" t="inlineStr">
        <is>
          <t>POLICIA</t>
        </is>
      </c>
      <c r="G295" t="inlineStr">
        <is>
          <t>THIAGO MONTEIRO</t>
        </is>
      </c>
      <c r="H295" t="inlineStr">
        <is>
          <t>CABELEIREIRO É ASSASSINADO COM QUATRO FACADAS EM CONDOMÍNIO</t>
        </is>
      </c>
      <c r="I295" t="inlineStr">
        <is>
          <t>DE ACORDO COM A PERÍCIA, A VÍTIMA TENTOU SE DEFENDER DURANTE O ASSASSINATO, POIS FOI ATINGIDO COM FACADAS NO BRAÇO, ALÉM DE PERFURAÇÕES FATAIS NO PESCOÇO</t>
        </is>
      </c>
      <c r="J295" t="inlineStr"/>
      <c r="K295" t="n">
        <v>0</v>
      </c>
      <c r="L295" t="n">
        <v>1</v>
      </c>
      <c r="M295" t="n">
        <v>0</v>
      </c>
      <c r="N295" t="n">
        <v>0</v>
      </c>
      <c r="O295" t="n">
        <v>0</v>
      </c>
      <c r="P295">
        <f>HYPERLINK("https://www.acritica.com/policia/cabeleireiro-e-assassinado-com-quatro-facadas-em-condominio-1.2867", "URL")</f>
        <v/>
      </c>
      <c r="Q295">
        <f>HYPERLINK("https://raw.githubusercontent.com/marcosmapl/dataset_imigrantes/main/materias_filtered/a_critica/venezuelanos/2022/00_jan/html/1.2867_25.html", "HTML")</f>
        <v/>
      </c>
      <c r="R295">
        <f>HYPERLINK("https://raw.githubusercontent.com/marcosmapl/dataset_imigrantes/main/materias_filtered/a_critica/venezuelanos/2022/00_jan/txt/1.2867_25.txt", "TXT")</f>
        <v/>
      </c>
    </row>
    <row r="296">
      <c r="A296" s="1" t="n">
        <v>294</v>
      </c>
      <c r="B296" t="n">
        <v>2022</v>
      </c>
      <c r="C296" s="2" t="n">
        <v>44563.43664732639</v>
      </c>
      <c r="D296" t="inlineStr">
        <is>
          <t>G1</t>
        </is>
      </c>
      <c r="E296" t="inlineStr">
        <is>
          <t>VENEZUELANOS</t>
        </is>
      </c>
      <c r="F296" t="inlineStr">
        <is>
          <t>MUNDO</t>
        </is>
      </c>
      <c r="G296" t="inlineStr"/>
      <c r="H296" t="inlineStr">
        <is>
          <t>COM MENOS VENEZUELANOS, NÚMERO DE NOVOS REFUGIADOS NO BRASIL CAI 91%</t>
        </is>
      </c>
      <c r="I296" t="inlineStr">
        <is>
          <t>EM 2020, MINISTÉRIO DA JUSTIÇA RECONHECEU MAIS DE 26 MIL PESSOAS COMO REFUGIADAS. EM 2021, NÚMERO CAIU PARA POUCO MAIS DE 2 MIL.</t>
        </is>
      </c>
      <c r="J296" t="inlineStr"/>
      <c r="K296" t="n">
        <v>0</v>
      </c>
      <c r="L296" t="n">
        <v>2</v>
      </c>
      <c r="M296" t="n">
        <v>1</v>
      </c>
      <c r="N296" t="n">
        <v>0</v>
      </c>
      <c r="O296" t="n">
        <v>5</v>
      </c>
      <c r="P296">
        <f>HYPERLINK("https://g1.globo.com/mundo/noticia/2022/01/02/com-menos-venezuelanos-numero-de-novos-refugiados-no-brasil-cai-91percent.ghtml", "URL")</f>
        <v/>
      </c>
      <c r="Q296">
        <f>HYPERLINK("https://raw.githubusercontent.com/marcosmapl/dataset_imigrantes/main/materias_filtered/g1/venezuelanos/2022/00_jan/html/g1_4eb338b0-2321-11ed-b24f-6dbe51e79fca_3692.html", "HTML")</f>
        <v/>
      </c>
      <c r="R296">
        <f>HYPERLINK("https://raw.githubusercontent.com/marcosmapl/dataset_imigrantes/main/materias_filtered/g1/venezuelanos/2022/00_jan/txt/g1_4eb338b0-2321-11ed-b24f-6dbe51e79fca_3692.txt", "TXT")</f>
        <v/>
      </c>
    </row>
    <row r="297">
      <c r="A297" s="1" t="n">
        <v>295</v>
      </c>
      <c r="B297" t="n">
        <v>2022</v>
      </c>
      <c r="C297" s="2" t="n">
        <v>44562.76379039352</v>
      </c>
      <c r="D297" t="inlineStr">
        <is>
          <t>G1</t>
        </is>
      </c>
      <c r="E297" t="inlineStr">
        <is>
          <t>VENEZUELANOS</t>
        </is>
      </c>
      <c r="F297" t="inlineStr">
        <is>
          <t>RORAIMA</t>
        </is>
      </c>
      <c r="G297" t="inlineStr">
        <is>
          <t>G1 RR — BOA VISTA</t>
        </is>
      </c>
      <c r="H297" t="inlineStr">
        <is>
          <t>VENEZUELANO É MORTO A FACADAS APÓS DISCUSSÃO EM BAR NA ZONA OESTE DE BOA VISTA</t>
        </is>
      </c>
      <c r="I297" t="inlineStr">
        <is>
          <t>SUSPEITO DO CRIME FOI PRESO PELA POLÍCIA MILITAR.</t>
        </is>
      </c>
      <c r="J297" t="inlineStr"/>
      <c r="K297" t="n">
        <v>0</v>
      </c>
      <c r="L297" t="n">
        <v>1</v>
      </c>
      <c r="M297" t="n">
        <v>0</v>
      </c>
      <c r="N297" t="n">
        <v>0</v>
      </c>
      <c r="O297" t="n">
        <v>1</v>
      </c>
      <c r="P297">
        <f>HYPERLINK("https://g1.globo.com/rr/roraima/noticia/2022/01/01/venezuelano-e-morto-a-facadas-apos-discussao-em-bar-na-zona-oeste-de-boa-vista.ghtml", "URL")</f>
        <v/>
      </c>
      <c r="Q297">
        <f>HYPERLINK("https://raw.githubusercontent.com/marcosmapl/dataset_imigrantes/main/materias_filtered/g1/venezuelanos/2022/00_jan/html/g1_e58003dc-2307-11ed-b24f-6dbe51e79fca_2350.html", "HTML")</f>
        <v/>
      </c>
      <c r="R297">
        <f>HYPERLINK("https://raw.githubusercontent.com/marcosmapl/dataset_imigrantes/main/materias_filtered/g1/venezuelanos/2022/00_jan/txt/g1_e58003dc-2307-11ed-b24f-6dbe51e79fca_2350.txt", "TXT")</f>
        <v/>
      </c>
    </row>
    <row r="298">
      <c r="A298" s="1" t="n">
        <v>296</v>
      </c>
      <c r="B298" t="n">
        <v>2021</v>
      </c>
      <c r="C298" s="2" t="n">
        <v>44561.70828703704</v>
      </c>
      <c r="D298" t="inlineStr">
        <is>
          <t>A CRITICA</t>
        </is>
      </c>
      <c r="E298" t="inlineStr">
        <is>
          <t>VENEZUELANOS</t>
        </is>
      </c>
      <c r="F298" t="inlineStr">
        <is>
          <t>MANAUS</t>
        </is>
      </c>
      <c r="G298" t="inlineStr">
        <is>
          <t>KAROL ROCHA</t>
        </is>
      </c>
      <c r="H298" t="inlineStr">
        <is>
          <t>POLÍCIA CIVIL APREENDE MEIA TONELADA DE MACONHA TIPO SKANK</t>
        </is>
      </c>
      <c r="I298" t="inlineStr">
        <is>
          <t>APREENSÃO OCORREU POR VOLTA DAS 7 HORAS DESTA SEXTA-FEIRA EM UM POSTO DE LAVAGEM DE CARROS, NO BAIRRO DOM PEDRO, ZONA CENTRO-OESTE DE MANAUS.</t>
        </is>
      </c>
      <c r="J298" t="inlineStr"/>
      <c r="K298" t="n">
        <v>0</v>
      </c>
      <c r="L298" t="n">
        <v>1</v>
      </c>
      <c r="M298" t="n">
        <v>0</v>
      </c>
      <c r="N298" t="n">
        <v>0</v>
      </c>
      <c r="O298" t="n">
        <v>0</v>
      </c>
      <c r="P298">
        <f>HYPERLINK("https://www.acritica.com/manaus/policia-civil-apreende-meia-tonelada-de-maconha-tipo-skank-1.2940", "URL")</f>
        <v/>
      </c>
      <c r="Q298">
        <f>HYPERLINK("https://raw.githubusercontent.com/marcosmapl/dataset_imigrantes/main/materias_filtered/a_critica/venezuelanos/2021/11_dez/html/1.2940_833.html", "HTML")</f>
        <v/>
      </c>
      <c r="R298">
        <f>HYPERLINK("https://raw.githubusercontent.com/marcosmapl/dataset_imigrantes/main/materias_filtered/a_critica/venezuelanos/2021/11_dez/txt/1.2940_833.txt", "TXT")</f>
        <v/>
      </c>
    </row>
    <row r="299">
      <c r="A299" s="1" t="n">
        <v>297</v>
      </c>
      <c r="B299" t="n">
        <v>2021</v>
      </c>
      <c r="C299" s="2" t="n">
        <v>44560.83333333334</v>
      </c>
      <c r="D299" t="inlineStr">
        <is>
          <t>PORTAL AMAZONIA</t>
        </is>
      </c>
      <c r="E299" t="inlineStr">
        <is>
          <t>HAITIANOS</t>
        </is>
      </c>
      <c r="F299" t="inlineStr">
        <is>
          <t>ACRE</t>
        </is>
      </c>
      <c r="G299" t="inlineStr">
        <is>
          <t>REDAÇÃO - JORNALISMO@PORTALAMAZONIA.COM.BR</t>
        </is>
      </c>
      <c r="H299" t="inlineStr">
        <is>
          <t>RETROSPECTIVA 2021: CONFIRA OS PRINCIPAIS ACONTECIMENTOS DO ANO NO ACRE</t>
        </is>
      </c>
      <c r="I299" t="inlineStr">
        <is>
          <t>EM 2021 O ACRE PASSOU POR PROBLEMAS NA SAÚDE PÚBLICA EM FUNÇÃO DA PANDEMIA DA COVID-19, MAS TAMBÉM REGISTROU SITUAÇÕES INUSITADAS. CONFIRA QUAIS FORAM OS FATOS E NÚMEROS QUE MARCARAM O ESTADO NA 'RETROSPECTIVA 2021 - ACRE', NO PORTAL AMAZÔNIA:</t>
        </is>
      </c>
      <c r="J299" t="inlineStr">
        <is>
          <t>ACRE, COVID 19, ENCHENTE, RETROSPECTIVA, RETROSPECTIVA 2021, TERREMOTO ACRE</t>
        </is>
      </c>
      <c r="K299" t="n">
        <v>6</v>
      </c>
      <c r="L299" t="n">
        <v>11</v>
      </c>
      <c r="M299" t="n">
        <v>0</v>
      </c>
      <c r="N299" t="n">
        <v>0</v>
      </c>
      <c r="O299" t="n">
        <v>17</v>
      </c>
      <c r="P299">
        <f>HYPERLINK("https://portalamazonia.com/estados/acre/retrospectiva-2021-confira-os-principais-acontecimentos-do-ano-no-acre", "URL")</f>
        <v/>
      </c>
      <c r="Q299">
        <f>HYPERLINK("https://raw.githubusercontent.com/marcosmapl/dataset_imigrantes/main/materias_filtered/portal_amazonia/haitianos/2021/11_dez/html/34723.83823_1390.html", "HTML")</f>
        <v/>
      </c>
      <c r="R299">
        <f>HYPERLINK("https://raw.githubusercontent.com/marcosmapl/dataset_imigrantes/main/materias_filtered/portal_amazonia/haitianos/2021/11_dez/txt/34723.83823_1390.txt", "TXT")</f>
        <v/>
      </c>
    </row>
    <row r="300">
      <c r="A300" s="1" t="n">
        <v>298</v>
      </c>
      <c r="B300" t="n">
        <v>2021</v>
      </c>
      <c r="C300" s="2" t="n">
        <v>44560.46806314815</v>
      </c>
      <c r="D300" t="inlineStr">
        <is>
          <t>G1</t>
        </is>
      </c>
      <c r="E300" t="inlineStr">
        <is>
          <t>HAITIANOS</t>
        </is>
      </c>
      <c r="F300" t="inlineStr">
        <is>
          <t>SOROCABA E JUNDIAÍ</t>
        </is>
      </c>
      <c r="G300" t="inlineStr">
        <is>
          <t>ANA PAULA YABIKU, G1 SOROCABA E JUNDIAÍ</t>
        </is>
      </c>
      <c r="H300" t="inlineStr">
        <is>
          <t>CUIDADORA HOSTILIZADA, 'SALVE A FERNANDINHA' E CADELA FURTADA: AS HISTÓRIAS QUE VIRALIZARAM NAS REGIÕES DE SOROCABA E JUNDIAÍ EM 2021</t>
        </is>
      </c>
      <c r="I300" t="inlineStr">
        <is>
          <t>EM CLIMA DE RETROSPECTIVA, O G1 LISTOU ALGUMAS DAS HISTÓRIAS POLÊMICAS E INUSITADAS QUE BOMBARAM NA REGIÃO AO LONGO DO ANO.</t>
        </is>
      </c>
      <c r="J300" t="inlineStr"/>
      <c r="K300" t="n">
        <v>0</v>
      </c>
      <c r="L300" t="n">
        <v>4</v>
      </c>
      <c r="M300" t="n">
        <v>2</v>
      </c>
      <c r="N300" t="n">
        <v>0</v>
      </c>
      <c r="O300" t="n">
        <v>38</v>
      </c>
      <c r="P300">
        <f>HYPERLINK("https://g1.globo.com/sp/sorocaba-jundiai/noticia/2021/12/30/cuidadora-hostilizada-salve-a-fernandinha-e-cadela-furtada-as-historias-que-viralizaram-nas-regioes-de-sorocaba-e-jundiai-em-2021.ghtml", "URL")</f>
        <v/>
      </c>
      <c r="Q300">
        <f>HYPERLINK("https://raw.githubusercontent.com/marcosmapl/dataset_imigrantes/main/materias_filtered/g1/haitianos/2021/11_dez/html/g1_1cd196f0-231e-11ed-b24f-6dbe51e79fca_3541.html", "HTML")</f>
        <v/>
      </c>
      <c r="R300">
        <f>HYPERLINK("https://raw.githubusercontent.com/marcosmapl/dataset_imigrantes/main/materias_filtered/g1/haitianos/2021/11_dez/txt/g1_1cd196f0-231e-11ed-b24f-6dbe51e79fca_3541.txt", "TXT")</f>
        <v/>
      </c>
    </row>
    <row r="301">
      <c r="A301" s="1" t="n">
        <v>299</v>
      </c>
      <c r="B301" t="n">
        <v>2021</v>
      </c>
      <c r="C301" s="2" t="n">
        <v>44557.96319444444</v>
      </c>
      <c r="D301" t="inlineStr">
        <is>
          <t>A CRITICA</t>
        </is>
      </c>
      <c r="E301" t="inlineStr">
        <is>
          <t>VENEZUELANOS</t>
        </is>
      </c>
      <c r="F301" t="inlineStr">
        <is>
          <t>POLICIA</t>
        </is>
      </c>
      <c r="G301" t="inlineStr">
        <is>
          <t>AMARILES GAMA</t>
        </is>
      </c>
      <c r="H301" t="inlineStr">
        <is>
          <t>VENEZUELANO É MORTO A TIROS EM BARBEARIA NO BAIRRO ALVORADA</t>
        </is>
      </c>
      <c r="I301" t="inlineStr">
        <is>
          <t>O CASO CHOCOU OS MORADORES LOCAIS E ATRAIU DIVERSAS PESSOAS QUE TENTAVAM ENTENDER O OCORRIDO</t>
        </is>
      </c>
      <c r="J301" t="inlineStr"/>
      <c r="K301" t="n">
        <v>0</v>
      </c>
      <c r="L301" t="n">
        <v>1</v>
      </c>
      <c r="M301" t="n">
        <v>0</v>
      </c>
      <c r="N301" t="n">
        <v>0</v>
      </c>
      <c r="O301" t="n">
        <v>0</v>
      </c>
      <c r="P301">
        <f>HYPERLINK("https://www.acritica.com/policia/venezuelano-e-morto-a-tiros-em-barbearia-no-bairro-alvorada-1.3248", "URL")</f>
        <v/>
      </c>
      <c r="Q301">
        <f>HYPERLINK("https://raw.githubusercontent.com/marcosmapl/dataset_imigrantes/main/materias_filtered/a_critica/venezuelanos/2021/11_dez/html/1.3248_264.html", "HTML")</f>
        <v/>
      </c>
      <c r="R301">
        <f>HYPERLINK("https://raw.githubusercontent.com/marcosmapl/dataset_imigrantes/main/materias_filtered/a_critica/venezuelanos/2021/11_dez/txt/1.3248_264.txt", "TXT")</f>
        <v/>
      </c>
    </row>
    <row r="302">
      <c r="A302" s="1" t="n">
        <v>300</v>
      </c>
      <c r="B302" t="n">
        <v>2021</v>
      </c>
      <c r="C302" s="2" t="n">
        <v>44555.505625</v>
      </c>
      <c r="D302" t="inlineStr">
        <is>
          <t>A CRITICA</t>
        </is>
      </c>
      <c r="E302" t="inlineStr">
        <is>
          <t>HAITIANOS</t>
        </is>
      </c>
      <c r="F302" t="inlineStr"/>
      <c r="G302" t="inlineStr">
        <is>
          <t>WALDICK JÚNIOR</t>
        </is>
      </c>
      <c r="H302" t="inlineStr">
        <is>
          <t>'NÃO PODEMOS DEIXAR DE TER ESPERANÇA', DIZ IRMÃ SANTINA PERIN</t>
        </is>
      </c>
      <c r="I302" t="inlineStr">
        <is>
          <t>RELIGIOSA HÁ 54 ANOS, PARTE DELES DEDICADOS AO AMPARO DE PESSOAS EM SITUAÇÃO DE EXTREMA POBREZA NO HAITI E DE MIGRANTES EM MANAUS, ELA RESSALTA QUE É PRECISO CONFIAR EM DEUS, ‘MAS CONFIAR LUTANDO’</t>
        </is>
      </c>
      <c r="J302" t="inlineStr"/>
      <c r="K302" t="n">
        <v>0</v>
      </c>
      <c r="L302" t="n">
        <v>1</v>
      </c>
      <c r="M302" t="n">
        <v>0</v>
      </c>
      <c r="N302" t="n">
        <v>0</v>
      </c>
      <c r="O302" t="n">
        <v>0</v>
      </c>
      <c r="P302">
        <f>HYPERLINK("https://www.acritica.com/n-o-podemos-deixar-de-ter-esperanca-diz-irm-santina-perin-1.3333", "URL")</f>
        <v/>
      </c>
      <c r="Q302">
        <f>HYPERLINK("https://raw.githubusercontent.com/marcosmapl/dataset_imigrantes/main/materias_filtered/a_critica/haitianos/2021/11_dez/html/1.3333_879.html", "HTML")</f>
        <v/>
      </c>
      <c r="R302">
        <f>HYPERLINK("https://raw.githubusercontent.com/marcosmapl/dataset_imigrantes/main/materias_filtered/a_critica/haitianos/2021/11_dez/txt/1.3333_879.txt", "TXT")</f>
        <v/>
      </c>
    </row>
    <row r="303">
      <c r="A303" s="1" t="n">
        <v>301</v>
      </c>
      <c r="B303" t="n">
        <v>2021</v>
      </c>
      <c r="C303" s="2" t="n">
        <v>44552.71709614583</v>
      </c>
      <c r="D303" t="inlineStr">
        <is>
          <t>G1</t>
        </is>
      </c>
      <c r="E303" t="inlineStr">
        <is>
          <t>VENEZUELANOS</t>
        </is>
      </c>
      <c r="F303" t="inlineStr">
        <is>
          <t>PETROLINA E REGIÃO</t>
        </is>
      </c>
      <c r="G303" t="inlineStr">
        <is>
          <t>G1 PETROLINA</t>
        </is>
      </c>
      <c r="H303" t="inlineStr">
        <is>
          <t>CRIANÇAS VENEZUELANAS EM SITUAÇÃO DE MENDICÂNCIA E RISCO SÃO ALVO DE OPERAÇÃO EM PETROLINA</t>
        </is>
      </c>
      <c r="I303" t="inlineStr">
        <is>
          <t>EQUIPES DA PREFEITURA E DE INSTITUIÇÕES DE JUSTIÇA ESTÃO ENTREGANDO NOTIFICAÇÕES AOS PAIS E RESPONSÁVEIS PELAS CRIANÇAS PARA QUE ELAS SEJAM RETIRADAS DAS RUAS DA CIDADE.</t>
        </is>
      </c>
      <c r="J303" t="inlineStr"/>
      <c r="K303" t="n">
        <v>0</v>
      </c>
      <c r="L303" t="n">
        <v>5</v>
      </c>
      <c r="M303" t="n">
        <v>1</v>
      </c>
      <c r="N303" t="n">
        <v>0</v>
      </c>
      <c r="O303" t="n">
        <v>1</v>
      </c>
      <c r="P303">
        <f>HYPERLINK("https://g1.globo.com/pe/petrolina-regiao/noticia/2021/12/22/criancas-venezuelanas-em-situacao-de-mendicancia-e-risco-sao-alvo-de-operacao-em-petrolina.ghtml", "URL")</f>
        <v/>
      </c>
      <c r="Q303">
        <f>HYPERLINK("https://raw.githubusercontent.com/marcosmapl/dataset_imigrantes/main/materias_filtered/g1/venezuelanos/2021/11_dez/html/g1_73ddbbe4-231f-11ed-b24f-6dbe51e79fca_3623.html", "HTML")</f>
        <v/>
      </c>
      <c r="R303">
        <f>HYPERLINK("https://raw.githubusercontent.com/marcosmapl/dataset_imigrantes/main/materias_filtered/g1/venezuelanos/2021/11_dez/txt/g1_73ddbbe4-231f-11ed-b24f-6dbe51e79fca_3623.txt", "TXT")</f>
        <v/>
      </c>
    </row>
    <row r="304">
      <c r="A304" s="1" t="n">
        <v>302</v>
      </c>
      <c r="B304" t="n">
        <v>2021</v>
      </c>
      <c r="C304" s="2" t="n">
        <v>44552.00231271991</v>
      </c>
      <c r="D304" t="inlineStr">
        <is>
          <t>G1</t>
        </is>
      </c>
      <c r="E304" t="inlineStr">
        <is>
          <t>HAITIANOS</t>
        </is>
      </c>
      <c r="F304" t="inlineStr">
        <is>
          <t>MUNDO</t>
        </is>
      </c>
      <c r="G304" t="inlineStr">
        <is>
          <t>BBC</t>
        </is>
      </c>
      <c r="H304" t="inlineStr">
        <is>
          <t>A FUGA DRAMÁTICA DE GRUPO DE MISSIONÁRIOS SEQUESTRADOS NO HAITI</t>
        </is>
      </c>
      <c r="I304" t="inlineStr">
        <is>
          <t>REFÉNS DIZEM TER SE GUIADO PELAS ESTRELAS ENQUANTO CAMINHAVAM POR MAIS DE DUAS HORAS EM UMA MATA FECHADA.</t>
        </is>
      </c>
      <c r="J304" t="inlineStr"/>
      <c r="K304" t="n">
        <v>0</v>
      </c>
      <c r="L304" t="n">
        <v>1</v>
      </c>
      <c r="M304" t="n">
        <v>0</v>
      </c>
      <c r="N304" t="n">
        <v>0</v>
      </c>
      <c r="O304" t="n">
        <v>5</v>
      </c>
      <c r="P304">
        <f>HYPERLINK("https://g1.globo.com/mundo/noticia/2021/12/21/a-fuga-dramatica-de-grupo-de-missionarios-sequestrados-no-haiti.ghtml", "URL")</f>
        <v/>
      </c>
      <c r="Q304">
        <f>HYPERLINK("https://raw.githubusercontent.com/marcosmapl/dataset_imigrantes/main/materias_filtered/g1/haitianos/2021/11_dez/html/g1_2cd2ed02-2327-11ed-b24f-6dbe51e79fca_4021.html", "HTML")</f>
        <v/>
      </c>
      <c r="R304">
        <f>HYPERLINK("https://raw.githubusercontent.com/marcosmapl/dataset_imigrantes/main/materias_filtered/g1/haitianos/2021/11_dez/txt/g1_2cd2ed02-2327-11ed-b24f-6dbe51e79fca_4021.txt", "TXT")</f>
        <v/>
      </c>
    </row>
    <row r="305">
      <c r="A305" s="1" t="n">
        <v>303</v>
      </c>
      <c r="B305" t="n">
        <v>2021</v>
      </c>
      <c r="C305" s="2" t="n">
        <v>44551.65617623842</v>
      </c>
      <c r="D305" t="inlineStr">
        <is>
          <t>G1</t>
        </is>
      </c>
      <c r="E305" t="inlineStr">
        <is>
          <t>VENEZUELANOS</t>
        </is>
      </c>
      <c r="F305" t="inlineStr">
        <is>
          <t>RORAIMA</t>
        </is>
      </c>
      <c r="G305" t="inlineStr">
        <is>
          <t>G1 RR — BOA VISTA</t>
        </is>
      </c>
      <c r="H305" t="inlineStr">
        <is>
          <t>MULHERES VENEZUELANAS CONCLUEM CURSO E RECEBEM CERTIFICADO DE PEDREIRAS DE CONSTRUÇÃO EM RR</t>
        </is>
      </c>
      <c r="I305" t="inlineStr">
        <is>
          <t>GRUPO DE 13 MULHERES RECEBEU O CERTIFICADO DE "PEDREIRA DE REVESTIMENTO CERÂMICO", EM BOA VISTA.</t>
        </is>
      </c>
      <c r="J305" t="inlineStr"/>
      <c r="K305" t="n">
        <v>0</v>
      </c>
      <c r="L305" t="n">
        <v>1</v>
      </c>
      <c r="M305" t="n">
        <v>0</v>
      </c>
      <c r="N305" t="n">
        <v>0</v>
      </c>
      <c r="O305" t="n">
        <v>1</v>
      </c>
      <c r="P305">
        <f>HYPERLINK("https://g1.globo.com/rr/roraima/noticia/2021/12/21/mulheres-venezuelanas-concluem-curso-e-recebem-certificado-de-pedreiras-de-construcao-em-rr.ghtml", "URL")</f>
        <v/>
      </c>
      <c r="Q305">
        <f>HYPERLINK("https://raw.githubusercontent.com/marcosmapl/dataset_imigrantes/main/materias_filtered/g1/venezuelanos/2021/11_dez/html/g1_1418e366-2327-11ed-b24f-6dbe51e79fca_4016.html", "HTML")</f>
        <v/>
      </c>
      <c r="R305">
        <f>HYPERLINK("https://raw.githubusercontent.com/marcosmapl/dataset_imigrantes/main/materias_filtered/g1/venezuelanos/2021/11_dez/txt/g1_1418e366-2327-11ed-b24f-6dbe51e79fca_4016.txt", "TXT")</f>
        <v/>
      </c>
    </row>
    <row r="306">
      <c r="A306" s="1" t="n">
        <v>304</v>
      </c>
      <c r="B306" t="n">
        <v>2021</v>
      </c>
      <c r="C306" s="2" t="n">
        <v>44551.53080402778</v>
      </c>
      <c r="D306" t="inlineStr">
        <is>
          <t>G1</t>
        </is>
      </c>
      <c r="E306" t="inlineStr">
        <is>
          <t>VENEZUELANOS</t>
        </is>
      </c>
      <c r="F306" t="inlineStr">
        <is>
          <t>SANTA CATARINA</t>
        </is>
      </c>
      <c r="G306" t="inlineStr">
        <is>
          <t>G1 SC</t>
        </is>
      </c>
      <c r="H306" t="inlineStr">
        <is>
          <t>HOMEM SUSPEITO DE MATAR 3 VENEZUELANOS É PRESO EM SC</t>
        </is>
      </c>
      <c r="I306" t="inlineStr">
        <is>
          <t>SEGUNDO A POLÍCIA, INVESTIGADO FOI ENCONTRADO EM UMA CASA EM BALNEÁRIO CAMBORIÚ. ASSASSINATOS OCORRERAM NO DOMINGO.</t>
        </is>
      </c>
      <c r="J306" t="inlineStr"/>
      <c r="K306" t="n">
        <v>0</v>
      </c>
      <c r="L306" t="n">
        <v>1</v>
      </c>
      <c r="M306" t="n">
        <v>0</v>
      </c>
      <c r="N306" t="n">
        <v>0</v>
      </c>
      <c r="O306" t="n">
        <v>6</v>
      </c>
      <c r="P306">
        <f>HYPERLINK("https://g1.globo.com/sc/santa-catarina/noticia/2021/12/21/homem-suspeito-de-matar-tres-amigos-venezuelanos-e-preso-em-sc.ghtml", "URL")</f>
        <v/>
      </c>
      <c r="Q306">
        <f>HYPERLINK("https://raw.githubusercontent.com/marcosmapl/dataset_imigrantes/main/materias_filtered/g1/venezuelanos/2021/11_dez/html/g1_cb16abb6-230e-11ed-b24f-6dbe51e79fca_2757.html", "HTML")</f>
        <v/>
      </c>
      <c r="R306">
        <f>HYPERLINK("https://raw.githubusercontent.com/marcosmapl/dataset_imigrantes/main/materias_filtered/g1/venezuelanos/2021/11_dez/txt/g1_cb16abb6-230e-11ed-b24f-6dbe51e79fca_2757.txt", "TXT")</f>
        <v/>
      </c>
    </row>
    <row r="307">
      <c r="A307" s="1" t="n">
        <v>305</v>
      </c>
      <c r="B307" t="n">
        <v>2021</v>
      </c>
      <c r="C307" s="2" t="n">
        <v>44550.77518873843</v>
      </c>
      <c r="D307" t="inlineStr">
        <is>
          <t>G1</t>
        </is>
      </c>
      <c r="E307" t="inlineStr">
        <is>
          <t>VENEZUELANOS</t>
        </is>
      </c>
      <c r="F307" t="inlineStr">
        <is>
          <t>RORAIMA</t>
        </is>
      </c>
      <c r="G307" t="inlineStr">
        <is>
          <t>G1 RR — BOA VISTA</t>
        </is>
      </c>
      <c r="H307" t="inlineStr">
        <is>
          <t>AÇÕES DA ONG VISÃO MUNDIAL BENEFICIARAM CERCA DE 40 MIL VENEZUELANOS EM RORAIMA, AMAZONAS E SÃO PAULO</t>
        </is>
      </c>
      <c r="I307" t="inlineStr">
        <is>
          <t>DO TOTAL, MAIS DA METADE - 28 MIL - FORAM ATENDIMENTOS FEITOS EM RORAIMA, PRINCIPAL PORTA DE ENTRADA PARA MIGRANTES QUE ENTRAM NO BRASIL EM BUSCA DE UMA VIDA MELHOR.</t>
        </is>
      </c>
      <c r="J307" t="inlineStr"/>
      <c r="K307" t="n">
        <v>0</v>
      </c>
      <c r="L307" t="n">
        <v>1</v>
      </c>
      <c r="M307" t="n">
        <v>0</v>
      </c>
      <c r="N307" t="n">
        <v>0</v>
      </c>
      <c r="O307" t="n">
        <v>0</v>
      </c>
      <c r="P307">
        <f>HYPERLINK("https://g1.globo.com/rr/roraima/noticia/2021/12/20/acoes-da-ong-visao-mundial-beneficiaram-cerca-de-40-mil-venezuelanos-em-roraima-amazonas-e-sao-paulo.ghtml", "URL")</f>
        <v/>
      </c>
      <c r="Q307">
        <f>HYPERLINK("https://raw.githubusercontent.com/marcosmapl/dataset_imigrantes/main/materias_filtered/g1/venezuelanos/2021/11_dez/html/g1_f2ac46fe-232c-11ed-b24f-6dbe51e79fca_4335.html", "HTML")</f>
        <v/>
      </c>
      <c r="R307">
        <f>HYPERLINK("https://raw.githubusercontent.com/marcosmapl/dataset_imigrantes/main/materias_filtered/g1/venezuelanos/2021/11_dez/txt/g1_f2ac46fe-232c-11ed-b24f-6dbe51e79fca_4335.txt", "TXT")</f>
        <v/>
      </c>
    </row>
    <row r="308">
      <c r="A308" s="1" t="n">
        <v>306</v>
      </c>
      <c r="B308" t="n">
        <v>2021</v>
      </c>
      <c r="C308" s="2" t="n">
        <v>44550.69992457176</v>
      </c>
      <c r="D308" t="inlineStr">
        <is>
          <t>G1</t>
        </is>
      </c>
      <c r="E308" t="inlineStr">
        <is>
          <t>VENEZUELANOS</t>
        </is>
      </c>
      <c r="F308" t="inlineStr">
        <is>
          <t>SANTA CATARINA</t>
        </is>
      </c>
      <c r="G308" t="inlineStr">
        <is>
          <t>G1 SC E NSC TV</t>
        </is>
      </c>
      <c r="H308" t="inlineStr">
        <is>
          <t>SUSPEITO DE ASSASSINAR TRÊS VENEZUELANOS EM SC JÁ HAVIA AMEAÇADO UMA DAS VÍTIMAS, DIZ POLÍCIA</t>
        </is>
      </c>
      <c r="I308" t="inlineStr">
        <is>
          <t>AMIGOS FORAM ENTERRADOS NESTA SEGUNDA-FEIRA. CRIME ACONTECEU EM CAMBORIÚ, NO LITORAL NORTE CATARINENSE, NO DOMINGO (19).</t>
        </is>
      </c>
      <c r="J308" t="inlineStr"/>
      <c r="K308" t="n">
        <v>0</v>
      </c>
      <c r="L308" t="n">
        <v>2</v>
      </c>
      <c r="M308" t="n">
        <v>1</v>
      </c>
      <c r="N308" t="n">
        <v>0</v>
      </c>
      <c r="O308" t="n">
        <v>6</v>
      </c>
      <c r="P308">
        <f>HYPERLINK("https://g1.globo.com/sc/santa-catarina/noticia/2021/12/20/suspeito-de-matar-tres-venezuelanos-a-tiros-em-sc-e-identificado-pela-policia.ghtml", "URL")</f>
        <v/>
      </c>
      <c r="Q308">
        <f>HYPERLINK("https://raw.githubusercontent.com/marcosmapl/dataset_imigrantes/main/materias_filtered/g1/venezuelanos/2021/11_dez/html/g1_dc3235a4-230f-11ed-b24f-6dbe51e79fca_2823.html", "HTML")</f>
        <v/>
      </c>
      <c r="R308">
        <f>HYPERLINK("https://raw.githubusercontent.com/marcosmapl/dataset_imigrantes/main/materias_filtered/g1/venezuelanos/2021/11_dez/txt/g1_dc3235a4-230f-11ed-b24f-6dbe51e79fca_2823.txt", "TXT")</f>
        <v/>
      </c>
    </row>
    <row r="309">
      <c r="A309" s="1" t="n">
        <v>307</v>
      </c>
      <c r="B309" t="n">
        <v>2021</v>
      </c>
      <c r="C309" s="2" t="n">
        <v>44549.78936201389</v>
      </c>
      <c r="D309" t="inlineStr">
        <is>
          <t>G1</t>
        </is>
      </c>
      <c r="E309" t="inlineStr">
        <is>
          <t>VENEZUELANOS</t>
        </is>
      </c>
      <c r="F309" t="inlineStr">
        <is>
          <t>SANTA CATARINA</t>
        </is>
      </c>
      <c r="G309" t="inlineStr">
        <is>
          <t>CLARISSA BATTISTELLA, G1 SC</t>
        </is>
      </c>
      <c r="H309" t="inlineStr">
        <is>
          <t>TRÊS VENEZUELANOS SÃO ASSASSINADOS EM CAMBORIÚ</t>
        </is>
      </c>
      <c r="I309" t="inlineStr">
        <is>
          <t>UM DELES CHEGOU A SER SOCORRIDO AO HOSPITAL, MAS NÃO RESISTIU. NINGUÉM FOI PRESO.</t>
        </is>
      </c>
      <c r="J309" t="inlineStr"/>
      <c r="K309" t="n">
        <v>0</v>
      </c>
      <c r="L309" t="n">
        <v>2</v>
      </c>
      <c r="M309" t="n">
        <v>1</v>
      </c>
      <c r="N309" t="n">
        <v>0</v>
      </c>
      <c r="O309" t="n">
        <v>8</v>
      </c>
      <c r="P309">
        <f>HYPERLINK("https://g1.globo.com/sc/santa-catarina/noticia/2021/12/19/tres-venezuelanos-sao-assassinados-em-camboriu.ghtml", "URL")</f>
        <v/>
      </c>
      <c r="Q309">
        <f>HYPERLINK("https://raw.githubusercontent.com/marcosmapl/dataset_imigrantes/main/materias_filtered/g1/venezuelanos/2021/11_dez/html/g1_91c40d84-2315-11ed-b24f-6dbe51e79fca_3093.html", "HTML")</f>
        <v/>
      </c>
      <c r="R309">
        <f>HYPERLINK("https://raw.githubusercontent.com/marcosmapl/dataset_imigrantes/main/materias_filtered/g1/venezuelanos/2021/11_dez/txt/g1_91c40d84-2315-11ed-b24f-6dbe51e79fca_3093.txt", "TXT")</f>
        <v/>
      </c>
    </row>
    <row r="310">
      <c r="A310" s="1" t="n">
        <v>308</v>
      </c>
      <c r="B310" t="n">
        <v>2021</v>
      </c>
      <c r="C310" s="2" t="n">
        <v>44546.72168454861</v>
      </c>
      <c r="D310" t="inlineStr">
        <is>
          <t>G1</t>
        </is>
      </c>
      <c r="E310" t="inlineStr">
        <is>
          <t>VENEZUELANOS</t>
        </is>
      </c>
      <c r="F310" t="inlineStr">
        <is>
          <t>ALAGOAS</t>
        </is>
      </c>
      <c r="G310" t="inlineStr">
        <is>
          <t>G1 AL</t>
        </is>
      </c>
      <c r="H310" t="inlineStr">
        <is>
          <t>MPF PEDE ESCLARECIMENTOS À FUNAI E PREFEITURA DE ARAPIRACA SOBRE SITUAÇÃO PRECÁRIA DE ALOJAMENTO DE INDÍGENAS VENEZUELANOS</t>
        </is>
      </c>
      <c r="I310" t="inlineStr">
        <is>
          <t>INDÍGENAS DA ETNIA WARAO FAZEM PARTE DO FLUXO MIGRATÓRIO CAUSADO PELA CRISE ECONÔMICA E CONFLITOS POLÍTICOS NA VENEZUELA.</t>
        </is>
      </c>
      <c r="J310" t="inlineStr"/>
      <c r="K310" t="n">
        <v>0</v>
      </c>
      <c r="L310" t="n">
        <v>2</v>
      </c>
      <c r="M310" t="n">
        <v>1</v>
      </c>
      <c r="N310" t="n">
        <v>0</v>
      </c>
      <c r="O310" t="n">
        <v>5</v>
      </c>
      <c r="P310">
        <f>HYPERLINK("https://g1.globo.com/al/alagoas/noticia/2021/12/16/mpf-pede-esclarecimentos-a-funai-e-prefeitura-de-arapiraca-al-sobre-situacao-precaria-de-alojamento-de-indigenas-venezuelanos.ghtml", "URL")</f>
        <v/>
      </c>
      <c r="Q310">
        <f>HYPERLINK("https://raw.githubusercontent.com/marcosmapl/dataset_imigrantes/main/materias_filtered/g1/venezuelanos/2021/11_dez/html/g1_0ba1e8aa-230d-11ed-b24f-6dbe51e79fca_2664.html", "HTML")</f>
        <v/>
      </c>
      <c r="R310">
        <f>HYPERLINK("https://raw.githubusercontent.com/marcosmapl/dataset_imigrantes/main/materias_filtered/g1/venezuelanos/2021/11_dez/txt/g1_0ba1e8aa-230d-11ed-b24f-6dbe51e79fca_2664.txt", "TXT")</f>
        <v/>
      </c>
    </row>
    <row r="311">
      <c r="A311" s="1" t="n">
        <v>309</v>
      </c>
      <c r="B311" t="n">
        <v>2021</v>
      </c>
      <c r="C311" s="2" t="n">
        <v>44544.76818287037</v>
      </c>
      <c r="D311" t="inlineStr">
        <is>
          <t>A CRITICA</t>
        </is>
      </c>
      <c r="E311" t="inlineStr">
        <is>
          <t>VENEZUELANOS</t>
        </is>
      </c>
      <c r="F311" t="inlineStr">
        <is>
          <t>POLICIA</t>
        </is>
      </c>
      <c r="G311" t="inlineStr">
        <is>
          <t>PORTAL A CRÍTICA</t>
        </is>
      </c>
      <c r="H311" t="inlineStr">
        <is>
          <t>SUSPEITO DE TRÁFICO É PRESO EM FRENTE A HOTEL NO CENTRO DE MANAUS</t>
        </is>
      </c>
      <c r="I311" t="inlineStr">
        <is>
          <t>DURANTE A ABORDAGEM, O VENEZUELANO JOGOU UMA PEQUENA BOLSA NO CHÃO QUE CONTINHA DROGAS, R$ 69 E US$ 5 EM DINHEIRO, ALÉM DE UMA BALANÇA DIGITAL.</t>
        </is>
      </c>
      <c r="J311" t="inlineStr"/>
      <c r="K311" t="n">
        <v>0</v>
      </c>
      <c r="L311" t="n">
        <v>1</v>
      </c>
      <c r="M311" t="n">
        <v>0</v>
      </c>
      <c r="N311" t="n">
        <v>0</v>
      </c>
      <c r="O311" t="n">
        <v>0</v>
      </c>
      <c r="P311">
        <f>HYPERLINK("https://www.acritica.com/policia/suspeito-de-trafico-e-preso-em-frente-a-hotel-no-centro-de-manaus-1.3561", "URL")</f>
        <v/>
      </c>
      <c r="Q311">
        <f>HYPERLINK("https://raw.githubusercontent.com/marcosmapl/dataset_imigrantes/main/materias_filtered/a_critica/venezuelanos/2021/11_dez/html/1.3561_200.html", "HTML")</f>
        <v/>
      </c>
      <c r="R311">
        <f>HYPERLINK("https://raw.githubusercontent.com/marcosmapl/dataset_imigrantes/main/materias_filtered/a_critica/venezuelanos/2021/11_dez/txt/1.3561_200.txt", "TXT")</f>
        <v/>
      </c>
    </row>
    <row r="312">
      <c r="A312" s="1" t="n">
        <v>310</v>
      </c>
      <c r="B312" t="n">
        <v>2021</v>
      </c>
      <c r="C312" s="2" t="n">
        <v>44542.83154443287</v>
      </c>
      <c r="D312" t="inlineStr">
        <is>
          <t>G1</t>
        </is>
      </c>
      <c r="E312" t="inlineStr">
        <is>
          <t>HAITIANOS</t>
        </is>
      </c>
      <c r="F312" t="inlineStr">
        <is>
          <t>MUNDO</t>
        </is>
      </c>
      <c r="G312" t="inlineStr">
        <is>
          <t>REUTERS</t>
        </is>
      </c>
      <c r="H312" t="inlineStr">
        <is>
          <t>PRESIDENTE DO HAITI ESTAVA INVESTIGANDO AUTORIDADES LIGADAS AO TRÁFICO DE DROGAS QUANDO FOI MORTO, DIZ NYT</t>
        </is>
      </c>
      <c r="I312" t="inlineStr">
        <is>
          <t>AUTORIDADES HAITIANAS PRENDERAM 45 PESSOAS, MAS AINDA NÃO ACUSARAM NINGUÉM PELO CRIME.</t>
        </is>
      </c>
      <c r="J312" t="inlineStr"/>
      <c r="K312" t="n">
        <v>0</v>
      </c>
      <c r="L312" t="n">
        <v>1</v>
      </c>
      <c r="M312" t="n">
        <v>0</v>
      </c>
      <c r="N312" t="n">
        <v>0</v>
      </c>
      <c r="O312" t="n">
        <v>2</v>
      </c>
      <c r="P312">
        <f>HYPERLINK("https://g1.globo.com/mundo/noticia/2021/12/12/presidente-do-haiti-estava-investigando-autoridades-ligadas-ao-trafico-de-drogas-quando-foi-morto-diz-nyt.ghtml", "URL")</f>
        <v/>
      </c>
      <c r="Q312">
        <f>HYPERLINK("https://raw.githubusercontent.com/marcosmapl/dataset_imigrantes/main/materias_filtered/g1/haitianos/2021/11_dez/html/g1_a8c9ad9a-22ed-11ed-b24f-6dbe51e79fca_1684.html", "HTML")</f>
        <v/>
      </c>
      <c r="R312">
        <f>HYPERLINK("https://raw.githubusercontent.com/marcosmapl/dataset_imigrantes/main/materias_filtered/g1/haitianos/2021/11_dez/txt/g1_a8c9ad9a-22ed-11ed-b24f-6dbe51e79fca_1684.txt", "TXT")</f>
        <v/>
      </c>
    </row>
    <row r="313">
      <c r="A313" s="1" t="n">
        <v>311</v>
      </c>
      <c r="B313" t="n">
        <v>2021</v>
      </c>
      <c r="C313" s="2" t="n">
        <v>44539.45625</v>
      </c>
      <c r="D313" t="inlineStr">
        <is>
          <t>PORTAL AMAZONIA</t>
        </is>
      </c>
      <c r="E313" t="inlineStr">
        <is>
          <t>VENEZUELANOS</t>
        </is>
      </c>
      <c r="F313" t="inlineStr">
        <is>
          <t>AMAZÔNIA INTERNACIONAL</t>
        </is>
      </c>
      <c r="G313" t="inlineStr">
        <is>
          <t>REDAÇÃO</t>
        </is>
      </c>
      <c r="H313" t="inlineStr">
        <is>
          <t>SELEÇÃO BRASILEIRA FEMININA BATE O CHILE EM MANAUS E VENCE TORNEIO INTERNACIONAL</t>
        </is>
      </c>
      <c r="I313" t="inlineStr">
        <is>
          <t>O ELENCO COMANDADO POR PIA SUNDHAGE CONSEGUIU FURAR A RETRANCA CHILENA E SAGROU-SE CAMPEÃO, APÓS BATER AS ADVERSÁRIAS POR 2 A 0.</t>
        </is>
      </c>
      <c r="J313" t="inlineStr">
        <is>
          <t>AMAZÔNIA, AMAZÔNIA INTERNACIONAL, BRASIL, CHILE, ESPORTE, FUTEBOL, FUTEBOL FEMININO, SELEÇÃO BRASILEIRA, TORNEIO INTERNACIONAL</t>
        </is>
      </c>
      <c r="K313" t="n">
        <v>9</v>
      </c>
      <c r="L313" t="n">
        <v>1</v>
      </c>
      <c r="M313" t="n">
        <v>0</v>
      </c>
      <c r="N313" t="n">
        <v>0</v>
      </c>
      <c r="O313" t="n">
        <v>23</v>
      </c>
      <c r="P313">
        <f>HYPERLINK("https://portalamazonia.com/estados/amazonia-internacional/selecao-brasileira-feminina-bate-o-chile-em-manaus-e-vence-torneio-internacional", "URL")</f>
        <v/>
      </c>
      <c r="Q313">
        <f>HYPERLINK("https://raw.githubusercontent.com/marcosmapl/dataset_imigrantes/main/materias_filtered/portal_amazonia/venezuelanos/2021/11_dez/html/34608.83370_1515.html", "HTML")</f>
        <v/>
      </c>
      <c r="R313">
        <f>HYPERLINK("https://raw.githubusercontent.com/marcosmapl/dataset_imigrantes/main/materias_filtered/portal_amazonia/venezuelanos/2021/11_dez/txt/34608.83370_1515.txt", "TXT")</f>
        <v/>
      </c>
    </row>
    <row r="314">
      <c r="A314" s="1" t="n">
        <v>312</v>
      </c>
      <c r="B314" t="n">
        <v>2021</v>
      </c>
      <c r="C314" s="2" t="n">
        <v>44537.89344244213</v>
      </c>
      <c r="D314" t="inlineStr">
        <is>
          <t>G1</t>
        </is>
      </c>
      <c r="E314" t="inlineStr">
        <is>
          <t>HAITIANOS</t>
        </is>
      </c>
      <c r="F314" t="inlineStr">
        <is>
          <t>MUNDO</t>
        </is>
      </c>
      <c r="G314" t="inlineStr">
        <is>
          <t>BBC</t>
        </is>
      </c>
      <c r="H314" t="inlineStr">
        <is>
          <t>JIMMY 'BARBECUE', O EX-POLICIAL QUE VIROU CRIMINOSO PROMETENDO 'REVOLUÇÃO' NO HAITI</t>
        </is>
      </c>
      <c r="I314" t="inlineStr">
        <is>
          <t>EX-AGENTE É APONTADO COMO RESPONSÁVEL POR UM DOS MAIORES MASSACRES DA HISTÓRIA RECENTE DO PAÍS</t>
        </is>
      </c>
      <c r="J314" t="inlineStr"/>
      <c r="K314" t="n">
        <v>0</v>
      </c>
      <c r="L314" t="n">
        <v>1</v>
      </c>
      <c r="M314" t="n">
        <v>0</v>
      </c>
      <c r="N314" t="n">
        <v>0</v>
      </c>
      <c r="O314" t="n">
        <v>3</v>
      </c>
      <c r="P314">
        <f>HYPERLINK("https://g1.globo.com/mundo/noticia/2021/12/07/jimmy-barbecue-o-ex-policial-que-virou-criminoso-prometendo-revolucao-no-haiti.ghtml", "URL")</f>
        <v/>
      </c>
      <c r="Q314">
        <f>HYPERLINK("https://raw.githubusercontent.com/marcosmapl/dataset_imigrantes/main/materias_filtered/g1/haitianos/2021/11_dez/html/g1_8634e9d6-231d-11ed-b24f-6dbe51e79fca_3506.html", "HTML")</f>
        <v/>
      </c>
      <c r="R314">
        <f>HYPERLINK("https://raw.githubusercontent.com/marcosmapl/dataset_imigrantes/main/materias_filtered/g1/haitianos/2021/11_dez/txt/g1_8634e9d6-231d-11ed-b24f-6dbe51e79fca_3506.txt", "TXT")</f>
        <v/>
      </c>
    </row>
    <row r="315">
      <c r="A315" s="1" t="n">
        <v>313</v>
      </c>
      <c r="B315" t="n">
        <v>2021</v>
      </c>
      <c r="C315" s="2" t="n">
        <v>44536.98185039352</v>
      </c>
      <c r="D315" t="inlineStr">
        <is>
          <t>G1</t>
        </is>
      </c>
      <c r="E315" t="inlineStr">
        <is>
          <t>VENEZUELANOS</t>
        </is>
      </c>
      <c r="F315" t="inlineStr">
        <is>
          <t>MINAS GERAIS</t>
        </is>
      </c>
      <c r="G315" t="inlineStr">
        <is>
          <t>MARIA LÚCIA GONTIJO, G1 MINAS — BELO HORIZONTE</t>
        </is>
      </c>
      <c r="H315" t="inlineStr">
        <is>
          <t>APÓS DENÚNCIA EM ABRIGO, INDÍGENAS VENEZUELANOS SÃO TRANSFERIDOS PARA UNIDADE DE SAÚDE EM BH</t>
        </is>
      </c>
      <c r="I315" t="inlineStr">
        <is>
          <t>UM GRUPO COM 74 PESSOAS CHEGOU A BELO HORIZONTE NO DIA 28 DE SETEMBRO. UMA CRIANÇA MORREU DE COVID-19 ENQUANTO ELES ERAM ABRIGADOS NO ABRIGO SÃO PAULO.</t>
        </is>
      </c>
      <c r="J315" t="inlineStr"/>
      <c r="K315" t="n">
        <v>0</v>
      </c>
      <c r="L315" t="n">
        <v>3</v>
      </c>
      <c r="M315" t="n">
        <v>1</v>
      </c>
      <c r="N315" t="n">
        <v>0</v>
      </c>
      <c r="O315" t="n">
        <v>4</v>
      </c>
      <c r="P315">
        <f>HYPERLINK("https://g1.globo.com/mg/minas-gerais/noticia/2021/12/06/apos-denuncia-em-abrigo-indigenas-venezuelanos-sao-transferidos-para-unidade-de-saude-em-bh.ghtml", "URL")</f>
        <v/>
      </c>
      <c r="Q315">
        <f>HYPERLINK("https://raw.githubusercontent.com/marcosmapl/dataset_imigrantes/main/materias_filtered/g1/venezuelanos/2021/11_dez/html/g1_49769474-231b-11ed-b24f-6dbe51e79fca_3376.html", "HTML")</f>
        <v/>
      </c>
      <c r="R315">
        <f>HYPERLINK("https://raw.githubusercontent.com/marcosmapl/dataset_imigrantes/main/materias_filtered/g1/venezuelanos/2021/11_dez/txt/g1_49769474-231b-11ed-b24f-6dbe51e79fca_3376.txt", "TXT")</f>
        <v/>
      </c>
    </row>
    <row r="316">
      <c r="A316" s="1" t="n">
        <v>314</v>
      </c>
      <c r="B316" t="n">
        <v>2021</v>
      </c>
      <c r="C316" s="2" t="n">
        <v>44536.52271068287</v>
      </c>
      <c r="D316" t="inlineStr">
        <is>
          <t>G1</t>
        </is>
      </c>
      <c r="E316" t="inlineStr">
        <is>
          <t>HAITIANOS</t>
        </is>
      </c>
      <c r="F316" t="inlineStr">
        <is>
          <t>SÃO JOSÉ DO RIO PRETO E ARAÇATUBA</t>
        </is>
      </c>
      <c r="G316" t="inlineStr">
        <is>
          <t>G1 RIO PRETO E ARAÇATUBA</t>
        </is>
      </c>
      <c r="H316" t="inlineStr">
        <is>
          <t>HOMEM MORRE APÓS SE AFOGAR EM CÓRREGO DE ARAÇATUBA</t>
        </is>
      </c>
      <c r="I316" t="inlineStr">
        <is>
          <t>HAITIANO MAKENDY CHARLES, DE 30 ANOS, NADAVA COM A ESPOSA E AMIGOS QUANDO SE AFOGOU NO CÓRREGO; ELE MORREU NO LOCAL.</t>
        </is>
      </c>
      <c r="J316" t="inlineStr"/>
      <c r="K316" t="n">
        <v>0</v>
      </c>
      <c r="L316" t="n">
        <v>3</v>
      </c>
      <c r="M316" t="n">
        <v>0</v>
      </c>
      <c r="N316" t="n">
        <v>0</v>
      </c>
      <c r="O316" t="n">
        <v>2</v>
      </c>
      <c r="P316">
        <f>HYPERLINK("https://g1.globo.com/sp/sao-jose-do-rio-preto-aracatuba/noticia/2021/12/06/homem-morre-apos-se-afogar-em-corrego-de-aracatuba.ghtml", "URL")</f>
        <v/>
      </c>
      <c r="Q316">
        <f>HYPERLINK("https://raw.githubusercontent.com/marcosmapl/dataset_imigrantes/main/materias_filtered/g1/haitianos/2021/11_dez/html/g1_f3ec76e8-22f4-11ed-b24f-6dbe51e79fca_1922.html", "HTML")</f>
        <v/>
      </c>
      <c r="R316">
        <f>HYPERLINK("https://raw.githubusercontent.com/marcosmapl/dataset_imigrantes/main/materias_filtered/g1/haitianos/2021/11_dez/txt/g1_f3ec76e8-22f4-11ed-b24f-6dbe51e79fca_1922.txt", "TXT")</f>
        <v/>
      </c>
    </row>
    <row r="317">
      <c r="A317" s="1" t="n">
        <v>315</v>
      </c>
      <c r="B317" t="n">
        <v>2021</v>
      </c>
      <c r="C317" s="2" t="n">
        <v>44534.77083971065</v>
      </c>
      <c r="D317" t="inlineStr">
        <is>
          <t>G1</t>
        </is>
      </c>
      <c r="E317" t="inlineStr">
        <is>
          <t>HAITIANOS</t>
        </is>
      </c>
      <c r="F317" t="inlineStr">
        <is>
          <t>PERNAMBUCO</t>
        </is>
      </c>
      <c r="G317" t="inlineStr">
        <is>
          <t>G1 PE</t>
        </is>
      </c>
      <c r="H317" t="inlineStr">
        <is>
          <t>RECIFE RECEBE MOSTRA DE FILMES AFRICANOS CLÁSSICOS E CONTEMPORÂNEOS</t>
        </is>
      </c>
      <c r="I317" t="inlineStr">
        <is>
          <t>PROGRAMAÇÃO DO BAOBÁCINE ACONTECE DE SEGUNDA (6) ATÉ A QUARTA-FEIRA (8), NO CINETEATRO DO PARQUE. INGRESSOS CUSTAM R$ 3 (MEIA) E R$ 6 (INTEIRA).</t>
        </is>
      </c>
      <c r="J317" t="inlineStr"/>
      <c r="K317" t="n">
        <v>0</v>
      </c>
      <c r="L317" t="n">
        <v>2</v>
      </c>
      <c r="M317" t="n">
        <v>0</v>
      </c>
      <c r="N317" t="n">
        <v>0</v>
      </c>
      <c r="O317" t="n">
        <v>1</v>
      </c>
      <c r="P317">
        <f>HYPERLINK("https://g1.globo.com/pe/pernambuco/noticia/2021/12/04/recife-recebe-mostra-de-filmes-africanos-classicos-e-contemporaneos.ghtml", "URL")</f>
        <v/>
      </c>
      <c r="Q317">
        <f>HYPERLINK("https://raw.githubusercontent.com/marcosmapl/dataset_imigrantes/main/materias_filtered/g1/haitianos/2021/11_dez/html/g1_ef947ee6-230e-11ed-b24f-6dbe51e79fca_2767.html", "HTML")</f>
        <v/>
      </c>
      <c r="R317">
        <f>HYPERLINK("https://raw.githubusercontent.com/marcosmapl/dataset_imigrantes/main/materias_filtered/g1/haitianos/2021/11_dez/txt/g1_ef947ee6-230e-11ed-b24f-6dbe51e79fca_2767.txt", "TXT")</f>
        <v/>
      </c>
    </row>
    <row r="318">
      <c r="A318" s="1" t="n">
        <v>316</v>
      </c>
      <c r="B318" t="n">
        <v>2021</v>
      </c>
      <c r="C318" s="2" t="n">
        <v>44534.56263689815</v>
      </c>
      <c r="D318" t="inlineStr">
        <is>
          <t>G1</t>
        </is>
      </c>
      <c r="E318" t="inlineStr">
        <is>
          <t>VENEZUELANOS</t>
        </is>
      </c>
      <c r="F318" t="inlineStr">
        <is>
          <t>RORAIMA</t>
        </is>
      </c>
      <c r="G318" t="inlineStr">
        <is>
          <t>G1 RR — BOA VISTA</t>
        </is>
      </c>
      <c r="H318" t="inlineStr">
        <is>
          <t>OPERAÇÃO ACOLHIDA APURA CASO DE MILITAR QUE IMOBILIZOU VENEZUELANO PRÓXIMO A ÁREA DE RECEPÇÃO; VÍDEO</t>
        </is>
      </c>
      <c r="I318" t="inlineStr">
        <is>
          <t>SEGUNDO A OPERAÇÃO ACOLHIDA, VENEZUELANO TENTOU FAZER UMA "ENTRADA FORÇADA" NA ÁREA DE ATENDIMENTO DO POSTO DE RECEPÇÃO E IDENTIFICAÇÃO. CASO ACONTECEU NESSA SEXTA-FEIRA (3), EM PACARAIMA.</t>
        </is>
      </c>
      <c r="J318" t="inlineStr"/>
      <c r="K318" t="n">
        <v>0</v>
      </c>
      <c r="L318" t="n">
        <v>2</v>
      </c>
      <c r="M318" t="n">
        <v>1</v>
      </c>
      <c r="N318" t="n">
        <v>0</v>
      </c>
      <c r="O318" t="n">
        <v>7</v>
      </c>
      <c r="P318">
        <f>HYPERLINK("https://g1.globo.com/rr/roraima/noticia/2021/12/04/operacao-acolhida-apura-caso-de-militar-que-imobilizou-venezuelano-proximo-a-area-de-recepcao-video.ghtml", "URL")</f>
        <v/>
      </c>
      <c r="Q318">
        <f>HYPERLINK("https://raw.githubusercontent.com/marcosmapl/dataset_imigrantes/main/materias_filtered/g1/venezuelanos/2021/11_dez/html/g1_e78ac5aa-2329-11ed-b24f-6dbe51e79fca_4146.html", "HTML")</f>
        <v/>
      </c>
      <c r="R318">
        <f>HYPERLINK("https://raw.githubusercontent.com/marcosmapl/dataset_imigrantes/main/materias_filtered/g1/venezuelanos/2021/11_dez/txt/g1_e78ac5aa-2329-11ed-b24f-6dbe51e79fca_4146.txt", "TXT")</f>
        <v/>
      </c>
    </row>
    <row r="319">
      <c r="A319" s="1" t="n">
        <v>317</v>
      </c>
      <c r="B319" t="n">
        <v>2021</v>
      </c>
      <c r="C319" s="2" t="n">
        <v>44533.75858796296</v>
      </c>
      <c r="D319" t="inlineStr">
        <is>
          <t>A CRITICA</t>
        </is>
      </c>
      <c r="E319" t="inlineStr">
        <is>
          <t>VENEZUELANOS</t>
        </is>
      </c>
      <c r="F319" t="inlineStr"/>
      <c r="G319" t="inlineStr">
        <is>
          <t>PORTAL A CRÍTICA</t>
        </is>
      </c>
      <c r="H319" t="inlineStr">
        <is>
          <t>FLUXO MIGRATÓRIO EM SÃO GABRIEL DA CACHOEIRA ACENDE ALERTA PARA NOVA PORTA DE ENTRADA DE ESTRANGEIROS NO BRASIL</t>
        </is>
      </c>
      <c r="I319" t="inlineStr">
        <is>
          <t>INSTITUIÇÕES ESTIVERAM NO MUNICÍPIO PARA TRAÇAR DIAGNÓSTICO DO CENÁRIO ATUAL E IDENTIFICAR PRINCIPAIS DIFICULDADES DE ESTRANGEIROS PARA ENTRAR E SE REGULARIZAR NO PAÍS</t>
        </is>
      </c>
      <c r="J319" t="inlineStr"/>
      <c r="K319" t="n">
        <v>0</v>
      </c>
      <c r="L319" t="n">
        <v>1</v>
      </c>
      <c r="M319" t="n">
        <v>0</v>
      </c>
      <c r="N319" t="n">
        <v>0</v>
      </c>
      <c r="O319" t="n">
        <v>0</v>
      </c>
      <c r="P319">
        <f>HYPERLINK("https://www.acritica.com/fluxo-migratorio-em-s-o-gabriel-da-cachoeira-acende-alerta-para-nova-porta-de-entrada-de-estrangeiros-no-brasil-1.4507", "URL")</f>
        <v/>
      </c>
      <c r="Q319">
        <f>HYPERLINK("https://raw.githubusercontent.com/marcosmapl/dataset_imigrantes/main/materias_filtered/a_critica/venezuelanos/2021/11_dez/html/1.4507_922.html", "HTML")</f>
        <v/>
      </c>
      <c r="R319">
        <f>HYPERLINK("https://raw.githubusercontent.com/marcosmapl/dataset_imigrantes/main/materias_filtered/a_critica/venezuelanos/2021/11_dez/txt/1.4507_922.txt", "TXT")</f>
        <v/>
      </c>
    </row>
    <row r="320">
      <c r="A320" s="1" t="n">
        <v>318</v>
      </c>
      <c r="B320" t="n">
        <v>2021</v>
      </c>
      <c r="C320" s="2" t="n">
        <v>44533.60040336806</v>
      </c>
      <c r="D320" t="inlineStr">
        <is>
          <t>G1</t>
        </is>
      </c>
      <c r="E320" t="inlineStr">
        <is>
          <t>HAITIANOS</t>
        </is>
      </c>
      <c r="F320" t="inlineStr">
        <is>
          <t>MATO GROSSO DO SUL</t>
        </is>
      </c>
      <c r="G320" t="inlineStr">
        <is>
          <t>G1 MS</t>
        </is>
      </c>
      <c r="H320" t="inlineStr">
        <is>
          <t>PF DESARTICULA GRUPO DE ‘COIOTES’ QUE FACILITAVAM A SAÍDA ILEGAL DE HAITIANOS DO BRASIL PELA FRONTEIRA COM A BOLÍVIA</t>
        </is>
      </c>
      <c r="I320" t="inlineStr">
        <is>
          <t>CINCO PESSOAS SUSPEITAS DE PARTICIPAREM DO GRUPO DE “COIOTES” FORAM PRESAS.</t>
        </is>
      </c>
      <c r="J320" t="inlineStr"/>
      <c r="K320" t="n">
        <v>0</v>
      </c>
      <c r="L320" t="n">
        <v>1</v>
      </c>
      <c r="M320" t="n">
        <v>0</v>
      </c>
      <c r="N320" t="n">
        <v>0</v>
      </c>
      <c r="O320" t="n">
        <v>0</v>
      </c>
      <c r="P320">
        <f>HYPERLINK("https://g1.globo.com/ms/mato-grosso-do-sul/noticia/2021/12/03/pf-desarticula-grupo-de-coiotes-que-facilitavam-a-saida-ilegal-de-haitianos-do-brasil-pela-fronteira-com-a-bolivia.ghtml", "URL")</f>
        <v/>
      </c>
      <c r="Q320">
        <f>HYPERLINK("https://raw.githubusercontent.com/marcosmapl/dataset_imigrantes/main/materias_filtered/g1/haitianos/2021/11_dez/html/g1_ebc45db8-22f5-11ed-b24f-6dbe51e79fca_1981.html", "HTML")</f>
        <v/>
      </c>
      <c r="R320">
        <f>HYPERLINK("https://raw.githubusercontent.com/marcosmapl/dataset_imigrantes/main/materias_filtered/g1/haitianos/2021/11_dez/txt/g1_ebc45db8-22f5-11ed-b24f-6dbe51e79fca_1981.txt", "TXT")</f>
        <v/>
      </c>
    </row>
    <row r="321">
      <c r="A321" s="1" t="n">
        <v>319</v>
      </c>
      <c r="B321" t="n">
        <v>2021</v>
      </c>
      <c r="C321" s="2" t="n">
        <v>44532.85466274306</v>
      </c>
      <c r="D321" t="inlineStr">
        <is>
          <t>G1</t>
        </is>
      </c>
      <c r="E321" t="inlineStr">
        <is>
          <t>VENEZUELANOS</t>
        </is>
      </c>
      <c r="F321" t="inlineStr">
        <is>
          <t>TRIÂNGULO E ALTO PARANAÍBA</t>
        </is>
      </c>
      <c r="G321" t="inlineStr">
        <is>
          <t>G1 TRIÂNGULO E ALTO PARANAÍBA — UBERABA</t>
        </is>
      </c>
      <c r="H321" t="inlineStr">
        <is>
          <t>IMÓVEL DE INDÍGENAS VENEZUELANOS É VISTORIADO PELA PREFEITURA E PELA POLÍCIA FEDERAL EM UBERABA</t>
        </is>
      </c>
      <c r="I321" t="inlineStr">
        <is>
          <t>CONFORME VERIFICADO PELA POLÍCIA, A MAIORIA ESTÁ EM SITUAÇÃO REGULAR; AÇÃO OCORREU APÓS REUNIÃO SOBRE O ATENDIMENTO A ESTRANGEIROS.</t>
        </is>
      </c>
      <c r="J321" t="inlineStr"/>
      <c r="K321" t="n">
        <v>0</v>
      </c>
      <c r="L321" t="n">
        <v>3</v>
      </c>
      <c r="M321" t="n">
        <v>2</v>
      </c>
      <c r="N321" t="n">
        <v>0</v>
      </c>
      <c r="O321" t="n">
        <v>2</v>
      </c>
      <c r="P321">
        <f>HYPERLINK("https://g1.globo.com/mg/triangulo-mineiro/noticia/2021/12/02/imovel-de-indigenas-venezuelanos-e-vistoriado-pela-prefeitura-e-pela-policia-federal-em-uberaba.ghtml", "URL")</f>
        <v/>
      </c>
      <c r="Q321">
        <f>HYPERLINK("https://raw.githubusercontent.com/marcosmapl/dataset_imigrantes/main/materias_filtered/g1/venezuelanos/2021/11_dez/html/g1_19f1c326-2317-11ed-b24f-6dbe51e79fca_3186.html", "HTML")</f>
        <v/>
      </c>
      <c r="R321">
        <f>HYPERLINK("https://raw.githubusercontent.com/marcosmapl/dataset_imigrantes/main/materias_filtered/g1/venezuelanos/2021/11_dez/txt/g1_19f1c326-2317-11ed-b24f-6dbe51e79fca_3186.txt", "TXT")</f>
        <v/>
      </c>
    </row>
    <row r="322">
      <c r="A322" s="1" t="n">
        <v>320</v>
      </c>
      <c r="B322" t="n">
        <v>2021</v>
      </c>
      <c r="C322" s="2" t="n">
        <v>44532.80342592593</v>
      </c>
      <c r="D322" t="inlineStr">
        <is>
          <t>A CRITICA</t>
        </is>
      </c>
      <c r="E322" t="inlineStr">
        <is>
          <t>VENEZUELANOS</t>
        </is>
      </c>
      <c r="F322" t="inlineStr"/>
      <c r="G322" t="inlineStr">
        <is>
          <t>PORTAL A CRÍTICA</t>
        </is>
      </c>
      <c r="H322" t="inlineStr">
        <is>
          <t>DPU AJUÍZA AÇÃO PARA GARANTIR EMISSÃO DE CPF A MIGRANTES</t>
        </is>
      </c>
      <c r="I322" t="inlineStr">
        <is>
          <t>DOCUMENTO DÁ ACESSO A SERVIÇOS BÁSICOS COMO SAÚDE, EDUCAÇÃO E ASSISTÊNCIA SOCIAL</t>
        </is>
      </c>
      <c r="J322" t="inlineStr"/>
      <c r="K322" t="n">
        <v>0</v>
      </c>
      <c r="L322" t="n">
        <v>1</v>
      </c>
      <c r="M322" t="n">
        <v>0</v>
      </c>
      <c r="N322" t="n">
        <v>0</v>
      </c>
      <c r="O322" t="n">
        <v>0</v>
      </c>
      <c r="P322">
        <f>HYPERLINK("https://www.acritica.com/dpu-ajuiza-ac-o-para-garantir-emiss-o-de-cpf-a-migrantes-1.4060", "URL")</f>
        <v/>
      </c>
      <c r="Q322">
        <f>HYPERLINK("https://raw.githubusercontent.com/marcosmapl/dataset_imigrantes/main/materias_filtered/a_critica/venezuelanos/2021/11_dez/html/1.4060_106.html", "HTML")</f>
        <v/>
      </c>
      <c r="R322">
        <f>HYPERLINK("https://raw.githubusercontent.com/marcosmapl/dataset_imigrantes/main/materias_filtered/a_critica/venezuelanos/2021/11_dez/txt/1.4060_106.txt", "TXT")</f>
        <v/>
      </c>
    </row>
    <row r="323">
      <c r="A323" s="1" t="n">
        <v>321</v>
      </c>
      <c r="B323" t="n">
        <v>2021</v>
      </c>
      <c r="C323" s="2" t="n">
        <v>44532.47653137732</v>
      </c>
      <c r="D323" t="inlineStr">
        <is>
          <t>G1</t>
        </is>
      </c>
      <c r="E323" t="inlineStr">
        <is>
          <t>VENEZUELANOS</t>
        </is>
      </c>
      <c r="F323" t="inlineStr">
        <is>
          <t>PARAÍBA</t>
        </is>
      </c>
      <c r="G323" t="inlineStr">
        <is>
          <t>ANA BEATRIZ ROCHA*, G1 PB</t>
        </is>
      </c>
      <c r="H323" t="inlineStr">
        <is>
          <t>VENEZUELANOS QUE MORAVAM NA COMUNIDADE DUBAI BUSCAVAM VIDA MELHOR NO BRASIL: 'SINTO QUE PERDI O POUCO QUE TINHA'</t>
        </is>
      </c>
      <c r="I323" t="inlineStr">
        <is>
          <t>COMUNIDADE ATINGIDA POR AÇÃO DE DESOCUPAÇÃO NO ÚLTIMO DIA 23 DE NOVEMBRO ERA ABRIGO DE MAIS DE 40 FAMÍLIAS VENEZUELANAS.</t>
        </is>
      </c>
      <c r="J323" t="inlineStr"/>
      <c r="K323" t="n">
        <v>0</v>
      </c>
      <c r="L323" t="n">
        <v>1</v>
      </c>
      <c r="M323" t="n">
        <v>0</v>
      </c>
      <c r="N323" t="n">
        <v>0</v>
      </c>
      <c r="O323" t="n">
        <v>7</v>
      </c>
      <c r="P323">
        <f>HYPERLINK("https://g1.globo.com/pb/paraiba/noticia/2021/12/02/venezuelanos-que-moravam-na-comunidade-dubai-buscavam-vida-melhor-no-brasil-sinto-que-perdi-o-pouco-que-tinha.ghtml", "URL")</f>
        <v/>
      </c>
      <c r="Q323">
        <f>HYPERLINK("https://raw.githubusercontent.com/marcosmapl/dataset_imigrantes/main/materias_filtered/g1/venezuelanos/2021/11_dez/html/g1_65668a4a-2307-11ed-b24f-6dbe51e79fca_2315.html", "HTML")</f>
        <v/>
      </c>
      <c r="R323">
        <f>HYPERLINK("https://raw.githubusercontent.com/marcosmapl/dataset_imigrantes/main/materias_filtered/g1/venezuelanos/2021/11_dez/txt/g1_65668a4a-2307-11ed-b24f-6dbe51e79fca_2315.txt", "TXT")</f>
        <v/>
      </c>
    </row>
    <row r="324">
      <c r="A324" s="1" t="n">
        <v>322</v>
      </c>
      <c r="B324" t="n">
        <v>2021</v>
      </c>
      <c r="C324" s="2" t="n">
        <v>44528.53010416667</v>
      </c>
      <c r="D324" t="inlineStr">
        <is>
          <t>A CRITICA</t>
        </is>
      </c>
      <c r="E324" t="inlineStr">
        <is>
          <t>VENEZUELANOS</t>
        </is>
      </c>
      <c r="F324" t="inlineStr">
        <is>
          <t>MANAUS</t>
        </is>
      </c>
      <c r="G324" t="inlineStr">
        <is>
          <t>WALDICK JÚNIOR</t>
        </is>
      </c>
      <c r="H324" t="inlineStr">
        <is>
          <t>'O BRASIL E OS ESTADOS UNIDOS TÊM UMA HISTÓRIA MUITO LONGA DE PARCERIA EM SEGURANÇA'</t>
        </is>
      </c>
      <c r="I324" t="inlineStr">
        <is>
          <t>GENERAL QUATRO ESTRELAS DO COMANDO SUL DOS ESTADOS UNIDOS, LAURA J.  RICHARDSON É A PRIMEIRA MULHER NA CHEFIA, UM DOS POSTOS MAIS IMPORTANTES DAS FORÇAS DO PAÍS NORTE-AMERICANO</t>
        </is>
      </c>
      <c r="J324" t="inlineStr"/>
      <c r="K324" t="n">
        <v>0</v>
      </c>
      <c r="L324" t="n">
        <v>1</v>
      </c>
      <c r="M324" t="n">
        <v>0</v>
      </c>
      <c r="N324" t="n">
        <v>0</v>
      </c>
      <c r="O324" t="n">
        <v>0</v>
      </c>
      <c r="P324">
        <f>HYPERLINK("https://www.acritica.com/manaus/o-brasil-e-os-estados-unidos-tem-uma-historia-muito-longa-de-parceria-em-seguranca-1.4838", "URL")</f>
        <v/>
      </c>
      <c r="Q324">
        <f>HYPERLINK("https://raw.githubusercontent.com/marcosmapl/dataset_imigrantes/main/materias_filtered/a_critica/venezuelanos/2021/10_nov/html/1.4838_442.html", "HTML")</f>
        <v/>
      </c>
      <c r="R324">
        <f>HYPERLINK("https://raw.githubusercontent.com/marcosmapl/dataset_imigrantes/main/materias_filtered/a_critica/venezuelanos/2021/10_nov/txt/1.4838_442.txt", "TXT")</f>
        <v/>
      </c>
    </row>
    <row r="325">
      <c r="A325" s="1" t="n">
        <v>323</v>
      </c>
      <c r="B325" t="n">
        <v>2021</v>
      </c>
      <c r="C325" s="2" t="n">
        <v>44527.69808436342</v>
      </c>
      <c r="D325" t="inlineStr">
        <is>
          <t>G1</t>
        </is>
      </c>
      <c r="E325" t="inlineStr">
        <is>
          <t>VENEZUELANOS</t>
        </is>
      </c>
      <c r="F325" t="inlineStr">
        <is>
          <t>RORAIMA</t>
        </is>
      </c>
      <c r="G325" t="inlineStr">
        <is>
          <t>G1 RR — BOA VISTA</t>
        </is>
      </c>
      <c r="H325" t="inlineStr">
        <is>
          <t>VENEZUELANAS BRIGAM EM POSTO DA OPERAÇÃO ACOLHIDA EM BOA VISTA E SÃO EXPULSAS; VÍDEO</t>
        </is>
      </c>
      <c r="I325" t="inlineStr">
        <is>
          <t>CASO OCORREU EM 25 DE OUTUBRO DESSE ANO, NO POSTO DE RECEPÇÃO E APOIO PRÓXIMO À RODOVIÁRIA DE BOA VISTA. VÍDEO PASSOU A CIRCULAR NESTA SEMANA. POLÍCIA CIVIL DIZ QUE VAI INVESTIGAR.</t>
        </is>
      </c>
      <c r="J325" t="inlineStr"/>
      <c r="K325" t="n">
        <v>0</v>
      </c>
      <c r="L325" t="n">
        <v>2</v>
      </c>
      <c r="M325" t="n">
        <v>1</v>
      </c>
      <c r="N325" t="n">
        <v>0</v>
      </c>
      <c r="O325" t="n">
        <v>11</v>
      </c>
      <c r="P325">
        <f>HYPERLINK("https://g1.globo.com/rr/roraima/noticia/2021/11/27/venezuelanas-brigam-em-posto-da-operacao-acolhida-em-boa-vista-e-sao-expulsas-video.ghtml", "URL")</f>
        <v/>
      </c>
      <c r="Q325">
        <f>HYPERLINK("https://raw.githubusercontent.com/marcosmapl/dataset_imigrantes/main/materias_filtered/g1/venezuelanos/2021/10_nov/html/g1_3c1e2f4a-2329-11ed-b24f-6dbe51e79fca_4104.html", "HTML")</f>
        <v/>
      </c>
      <c r="R325">
        <f>HYPERLINK("https://raw.githubusercontent.com/marcosmapl/dataset_imigrantes/main/materias_filtered/g1/venezuelanos/2021/10_nov/txt/g1_3c1e2f4a-2329-11ed-b24f-6dbe51e79fca_4104.txt", "TXT")</f>
        <v/>
      </c>
    </row>
    <row r="326">
      <c r="A326" s="1" t="n">
        <v>324</v>
      </c>
      <c r="B326" t="n">
        <v>2021</v>
      </c>
      <c r="C326" s="2" t="n">
        <v>44526.65318703704</v>
      </c>
      <c r="D326" t="inlineStr">
        <is>
          <t>G1</t>
        </is>
      </c>
      <c r="E326" t="inlineStr">
        <is>
          <t>VENEZUELANOS</t>
        </is>
      </c>
      <c r="F326" t="inlineStr">
        <is>
          <t>RORAIMA</t>
        </is>
      </c>
      <c r="G326" t="inlineStr">
        <is>
          <t>CAÍQUE RODRIGUES, G1 RR — PACARAIMA</t>
        </is>
      </c>
      <c r="H326" t="inlineStr">
        <is>
          <t>LOCAIS USADOS COMO ABRIGOS POR VENEZUELANOS FICAM VAZIOS APÓS PROTESTO E MORTE DE COMERCIANTE EM PACARAIMA</t>
        </is>
      </c>
      <c r="I326" t="inlineStr">
        <is>
          <t>ÚNICO MOVIMENTO REGISTRADO EM PACARAIMA É EM FRENTE AO POSTO DE TRIAGEM DA OPERAÇÃO ACOLHIDA, ONDE MIGRANTES AGUARDAM NA RUA, PORÉM, ATRÁS DE GRADES DE SEGURANÇA INSTALADAS NA RUA.</t>
        </is>
      </c>
      <c r="J326" t="inlineStr"/>
      <c r="K326" t="n">
        <v>0</v>
      </c>
      <c r="L326" t="n">
        <v>2</v>
      </c>
      <c r="M326" t="n">
        <v>0</v>
      </c>
      <c r="N326" t="n">
        <v>0</v>
      </c>
      <c r="O326" t="n">
        <v>6</v>
      </c>
      <c r="P326">
        <f>HYPERLINK("https://g1.globo.com/rr/roraima/noticia/2021/11/26/venezuelanos-somem-das-ruas-de-pacaraima-e-policiamento-e-reforcado-apos-dia-de-protesto-causado-por-morte-de-comerciante.ghtml", "URL")</f>
        <v/>
      </c>
      <c r="Q326">
        <f>HYPERLINK("https://raw.githubusercontent.com/marcosmapl/dataset_imigrantes/main/materias_filtered/g1/venezuelanos/2021/10_nov/html/g1_219d0694-230d-11ed-b24f-6dbe51e79fca_2668.html", "HTML")</f>
        <v/>
      </c>
      <c r="R326">
        <f>HYPERLINK("https://raw.githubusercontent.com/marcosmapl/dataset_imigrantes/main/materias_filtered/g1/venezuelanos/2021/10_nov/txt/g1_219d0694-230d-11ed-b24f-6dbe51e79fca_2668.txt", "TXT")</f>
        <v/>
      </c>
    </row>
    <row r="327">
      <c r="A327" s="1" t="n">
        <v>325</v>
      </c>
      <c r="B327" t="n">
        <v>2021</v>
      </c>
      <c r="C327" s="2" t="n">
        <v>44525.86095013889</v>
      </c>
      <c r="D327" t="inlineStr">
        <is>
          <t>G1</t>
        </is>
      </c>
      <c r="E327" t="inlineStr">
        <is>
          <t>VENEZUELANOS</t>
        </is>
      </c>
      <c r="F327" t="inlineStr">
        <is>
          <t>RORAIMA</t>
        </is>
      </c>
      <c r="G327" t="inlineStr">
        <is>
          <t>G1 RR — BOA VISTA</t>
        </is>
      </c>
      <c r="H327" t="inlineStr">
        <is>
          <t>APÓS MORTE DE COMERCIANTE EM ASSALTO, PACARAIMA REGISTRA TENSÃO E DISPARO DE FOGOS DE ARTIFÍCIO CONTRA VENEZUELANOS</t>
        </is>
      </c>
      <c r="I327" t="inlineStr">
        <is>
          <t>MORADORES FAZEM PROTESTO PELAS RUAS DA CIDADE. POLÍCIA MILITAR ENVIOU REFORÇO AO MUNICÍPIO PARA EVITAR "QUEBRA DA ORDEM".</t>
        </is>
      </c>
      <c r="J327" t="inlineStr"/>
      <c r="K327" t="n">
        <v>0</v>
      </c>
      <c r="L327" t="n">
        <v>2</v>
      </c>
      <c r="M327" t="n">
        <v>1</v>
      </c>
      <c r="N327" t="n">
        <v>0</v>
      </c>
      <c r="O327" t="n">
        <v>7</v>
      </c>
      <c r="P327">
        <f>HYPERLINK("https://g1.globo.com/rr/roraima/noticia/2021/11/25/apos-morte-de-comerciante-em-assalto-pacaraima-registra-tensao-e-disparo-de-fogos-de-artificio-contra-venezuelanos.ghtml", "URL")</f>
        <v/>
      </c>
      <c r="Q327">
        <f>HYPERLINK("https://raw.githubusercontent.com/marcosmapl/dataset_imigrantes/main/materias_filtered/g1/venezuelanos/2021/10_nov/html/g1_9e3b15e4-2324-11ed-b24f-6dbe51e79fca_3880.html", "HTML")</f>
        <v/>
      </c>
      <c r="R327">
        <f>HYPERLINK("https://raw.githubusercontent.com/marcosmapl/dataset_imigrantes/main/materias_filtered/g1/venezuelanos/2021/10_nov/txt/g1_9e3b15e4-2324-11ed-b24f-6dbe51e79fca_3880.txt", "TXT")</f>
        <v/>
      </c>
    </row>
    <row r="328">
      <c r="A328" s="1" t="n">
        <v>326</v>
      </c>
      <c r="B328" t="n">
        <v>2021</v>
      </c>
      <c r="C328" s="2" t="n">
        <v>44524.37549256944</v>
      </c>
      <c r="D328" t="inlineStr">
        <is>
          <t>G1</t>
        </is>
      </c>
      <c r="E328" t="inlineStr">
        <is>
          <t>VENEZUELANOS</t>
        </is>
      </c>
      <c r="F328" t="inlineStr">
        <is>
          <t>OLHA QUE LEGAL</t>
        </is>
      </c>
      <c r="G328" t="inlineStr">
        <is>
          <t>PATRÍCIA VILAS BOAS, REUTERS</t>
        </is>
      </c>
      <c r="H328" t="inlineStr">
        <is>
          <t>É MÁGICO: CANOS DE PVC SE TRANSFORMAM EM VIOLINOS EM PROJETO EM SP</t>
        </is>
      </c>
      <c r="I328" t="inlineStr">
        <is>
          <t>PROJETO LOCOMOTIVA, INSPIRADO EM UMA INICIATIVA VENEZUELANA DE 1975, OFERECE AULAS GRATUITAS DE MÚSICA PARA CRIANÇAS E ADOLESCENTES DE BAIXA RENDA DA REGIÃO DO GRANDE ABC.</t>
        </is>
      </c>
      <c r="J328" t="inlineStr"/>
      <c r="K328" t="n">
        <v>0</v>
      </c>
      <c r="L328" t="n">
        <v>1</v>
      </c>
      <c r="M328" t="n">
        <v>0</v>
      </c>
      <c r="N328" t="n">
        <v>0</v>
      </c>
      <c r="O328" t="n">
        <v>8</v>
      </c>
      <c r="P328">
        <f>HYPERLINK("https://g1.globo.com/olha-que-legal/noticia/2021/11/24/e-magico-canos-de-pvc-se-transformam-em-violinos-em-projeto-em-sp.ghtml", "URL")</f>
        <v/>
      </c>
      <c r="Q328">
        <f>HYPERLINK("https://raw.githubusercontent.com/marcosmapl/dataset_imigrantes/main/materias_filtered/g1/venezuelanos/2021/10_nov/html/g1_683733ea-231c-11ed-b24f-6dbe51e79fca_3444.html", "HTML")</f>
        <v/>
      </c>
      <c r="R328">
        <f>HYPERLINK("https://raw.githubusercontent.com/marcosmapl/dataset_imigrantes/main/materias_filtered/g1/venezuelanos/2021/10_nov/txt/g1_683733ea-231c-11ed-b24f-6dbe51e79fca_3444.txt", "TXT")</f>
        <v/>
      </c>
    </row>
    <row r="329">
      <c r="A329" s="1" t="n">
        <v>327</v>
      </c>
      <c r="B329" t="n">
        <v>2021</v>
      </c>
      <c r="C329" s="2" t="n">
        <v>44523.62664631945</v>
      </c>
      <c r="D329" t="inlineStr">
        <is>
          <t>G1</t>
        </is>
      </c>
      <c r="E329" t="inlineStr">
        <is>
          <t>VENEZUELANOS</t>
        </is>
      </c>
      <c r="F329" t="inlineStr">
        <is>
          <t>PIAUÍ</t>
        </is>
      </c>
      <c r="G329" t="inlineStr">
        <is>
          <t>LAYZA MOURÃO*, G1 PI</t>
        </is>
      </c>
      <c r="H329" t="inlineStr">
        <is>
          <t>CONSELHO TUTELAR RESGATA TRÊS CRIANÇAS VENEZUELANAS EM SITUAÇÃO DE MENDICÂNCIA NAS RUAS DE TERESINA</t>
        </is>
      </c>
      <c r="I329" t="inlineStr">
        <is>
          <t>AS CRIANÇAS FORAM RECOLHIDAS APÓS DENÚNCIAS RECEBIDAS PELO CONSELHO TUTELAR.</t>
        </is>
      </c>
      <c r="J329" t="inlineStr"/>
      <c r="K329" t="n">
        <v>0</v>
      </c>
      <c r="L329" t="n">
        <v>2</v>
      </c>
      <c r="M329" t="n">
        <v>0</v>
      </c>
      <c r="N329" t="n">
        <v>0</v>
      </c>
      <c r="O329" t="n">
        <v>7</v>
      </c>
      <c r="P329">
        <f>HYPERLINK("https://g1.globo.com/pi/piaui/noticia/2021/11/23/conselho-tutelar-resgata-tres-criancas-venezuelanas-em-situacao-de-mendicancia-nas-ruas-de-teresina.ghtml", "URL")</f>
        <v/>
      </c>
      <c r="Q329">
        <f>HYPERLINK("https://raw.githubusercontent.com/marcosmapl/dataset_imigrantes/main/materias_filtered/g1/venezuelanos/2021/10_nov/html/g1_cfc8e2da-231f-11ed-b24f-6dbe51e79fca_3645.html", "HTML")</f>
        <v/>
      </c>
      <c r="R329">
        <f>HYPERLINK("https://raw.githubusercontent.com/marcosmapl/dataset_imigrantes/main/materias_filtered/g1/venezuelanos/2021/10_nov/txt/g1_cfc8e2da-231f-11ed-b24f-6dbe51e79fca_3645.txt", "TXT")</f>
        <v/>
      </c>
    </row>
    <row r="330">
      <c r="A330" s="1" t="n">
        <v>328</v>
      </c>
      <c r="B330" t="n">
        <v>2021</v>
      </c>
      <c r="C330" s="2" t="n">
        <v>44522.94558744213</v>
      </c>
      <c r="D330" t="inlineStr">
        <is>
          <t>G1</t>
        </is>
      </c>
      <c r="E330" t="inlineStr">
        <is>
          <t>VENEZUELANOS</t>
        </is>
      </c>
      <c r="F330" t="inlineStr">
        <is>
          <t>RIO GRANDE DO SUL</t>
        </is>
      </c>
      <c r="G330" t="inlineStr">
        <is>
          <t>JEFERSON AGEITOS, G1 RS E RBS TV</t>
        </is>
      </c>
      <c r="H330" t="inlineStr">
        <is>
          <t>MUTIRÃO DA POLÍCIA FEDERAL BUSCA REGULARIZAR QUASE 1 MIL IMIGRANTES QUE MORAM NO RS</t>
        </is>
      </c>
      <c r="I330" t="inlineStr">
        <is>
          <t>AÇÃO ACONTECE DESTA SEGUNDA (22) ATÉ SEXTA-FEIRA (26). PRINCIPAL NACIONALIDADE É VENEZUELANA, JÁ QUE, DE ACORDO COM O MINISTÉRIO DO DESENVOLVIMENTO SOCIAL, CERCA DE 9,1 MIL ENTRARAM NO RS ATÉ OUTUBRO.</t>
        </is>
      </c>
      <c r="J330" t="inlineStr"/>
      <c r="K330" t="n">
        <v>0</v>
      </c>
      <c r="L330" t="n">
        <v>2</v>
      </c>
      <c r="M330" t="n">
        <v>1</v>
      </c>
      <c r="N330" t="n">
        <v>0</v>
      </c>
      <c r="O330" t="n">
        <v>5</v>
      </c>
      <c r="P330">
        <f>HYPERLINK("https://g1.globo.com/rs/rio-grande-do-sul/noticia/2021/11/22/mutirao-da-policia-federal-busca-regularizar-quase-1-mil-imigrantes-que-moram-no-rs.ghtml", "URL")</f>
        <v/>
      </c>
      <c r="Q330">
        <f>HYPERLINK("https://raw.githubusercontent.com/marcosmapl/dataset_imigrantes/main/materias_filtered/g1/venezuelanos/2021/10_nov/html/g1_7eced7d6-2306-11ed-b24f-6dbe51e79fca_2261.html", "HTML")</f>
        <v/>
      </c>
      <c r="R330">
        <f>HYPERLINK("https://raw.githubusercontent.com/marcosmapl/dataset_imigrantes/main/materias_filtered/g1/venezuelanos/2021/10_nov/txt/g1_7eced7d6-2306-11ed-b24f-6dbe51e79fca_2261.txt", "TXT")</f>
        <v/>
      </c>
    </row>
    <row r="331">
      <c r="A331" s="1" t="n">
        <v>329</v>
      </c>
      <c r="B331" t="n">
        <v>2021</v>
      </c>
      <c r="C331" s="2" t="n">
        <v>44522.93595020833</v>
      </c>
      <c r="D331" t="inlineStr">
        <is>
          <t>G1</t>
        </is>
      </c>
      <c r="E331" t="inlineStr">
        <is>
          <t>VENEZUELANOS</t>
        </is>
      </c>
      <c r="F331" t="inlineStr">
        <is>
          <t>MUNDO</t>
        </is>
      </c>
      <c r="G331" t="inlineStr">
        <is>
          <t>G1</t>
        </is>
      </c>
      <c r="H331" t="inlineStr">
        <is>
          <t>EUA DIZEM QUE ELEIÇÕES NA VENEZUELA 'NÃO REFLETEM A VONTADE DO POVO'</t>
        </is>
      </c>
      <c r="I331" t="inlineStr">
        <is>
          <t>COMPARECIMENTO ÀS URNAS FOI BAIXO EM VOTAÇÃO QUE DEU AO CHAVISMO 20 DOS 23 GOVERNADORES ESTADUAIS VENEZUELANOS.</t>
        </is>
      </c>
      <c r="J331" t="inlineStr"/>
      <c r="K331" t="n">
        <v>0</v>
      </c>
      <c r="L331" t="n">
        <v>2</v>
      </c>
      <c r="M331" t="n">
        <v>1</v>
      </c>
      <c r="N331" t="n">
        <v>0</v>
      </c>
      <c r="O331" t="n">
        <v>6</v>
      </c>
      <c r="P331">
        <f>HYPERLINK("https://g1.globo.com/mundo/noticia/2021/11/22/eua-dizem-que-eleicoes-na-venezuela-nao-refletem-a-vontade-do-povo.ghtml", "URL")</f>
        <v/>
      </c>
      <c r="Q331">
        <f>HYPERLINK("https://raw.githubusercontent.com/marcosmapl/dataset_imigrantes/main/materias_filtered/g1/venezuelanos/2021/10_nov/html/g1_ca540d54-2327-11ed-b24f-6dbe51e79fca_4048.html", "HTML")</f>
        <v/>
      </c>
      <c r="R331">
        <f>HYPERLINK("https://raw.githubusercontent.com/marcosmapl/dataset_imigrantes/main/materias_filtered/g1/venezuelanos/2021/10_nov/txt/g1_ca540d54-2327-11ed-b24f-6dbe51e79fca_4048.txt", "TXT")</f>
        <v/>
      </c>
    </row>
    <row r="332">
      <c r="A332" s="1" t="n">
        <v>330</v>
      </c>
      <c r="B332" t="n">
        <v>2021</v>
      </c>
      <c r="C332" s="2" t="n">
        <v>44522.44462940972</v>
      </c>
      <c r="D332" t="inlineStr">
        <is>
          <t>G1</t>
        </is>
      </c>
      <c r="E332" t="inlineStr">
        <is>
          <t>HAITIANOS</t>
        </is>
      </c>
      <c r="F332" t="inlineStr">
        <is>
          <t>MUNDO</t>
        </is>
      </c>
      <c r="G332" t="inlineStr">
        <is>
          <t>G1</t>
        </is>
      </c>
      <c r="H332" t="inlineStr">
        <is>
          <t>LIBERTADOS 2 DOS 17 REFÉNS NORTE-AMERICANOS SEQUESTRADOS NO HAITI</t>
        </is>
      </c>
      <c r="I332" t="inlineStr">
        <is>
          <t>MISSIONÁRIOS FORAM SEQUESTRADOS QUANDO FORAM VISITAR UM ORFANATO NA CIDADE DE PORTO PRÍNCIPE. OS CRIMINOSOS EXIGEM UM RESGATE DE US$ 1 MILHÃO POR CADA UM DELES.</t>
        </is>
      </c>
      <c r="J332" t="inlineStr"/>
      <c r="K332" t="n">
        <v>0</v>
      </c>
      <c r="L332" t="n">
        <v>2</v>
      </c>
      <c r="M332" t="n">
        <v>1</v>
      </c>
      <c r="N332" t="n">
        <v>0</v>
      </c>
      <c r="O332" t="n">
        <v>5</v>
      </c>
      <c r="P332">
        <f>HYPERLINK("https://g1.globo.com/mundo/noticia/2021/11/22/libertados-2-dos-17-refens-norte-americanos-sequestrados-no-haiti.ghtml", "URL")</f>
        <v/>
      </c>
      <c r="Q332">
        <f>HYPERLINK("https://raw.githubusercontent.com/marcosmapl/dataset_imigrantes/main/materias_filtered/g1/haitianos/2021/10_nov/html/g1_e36a8d72-2318-11ed-b24f-6dbe51e79fca_3286.html", "HTML")</f>
        <v/>
      </c>
      <c r="R332">
        <f>HYPERLINK("https://raw.githubusercontent.com/marcosmapl/dataset_imigrantes/main/materias_filtered/g1/haitianos/2021/10_nov/txt/g1_e36a8d72-2318-11ed-b24f-6dbe51e79fca_3286.txt", "TXT")</f>
        <v/>
      </c>
    </row>
    <row r="333">
      <c r="A333" s="1" t="n">
        <v>331</v>
      </c>
      <c r="B333" t="n">
        <v>2021</v>
      </c>
      <c r="C333" s="2" t="n">
        <v>44521.6875</v>
      </c>
      <c r="D333" t="inlineStr">
        <is>
          <t>A CRITICA</t>
        </is>
      </c>
      <c r="E333" t="inlineStr">
        <is>
          <t>VENEZUELANOS</t>
        </is>
      </c>
      <c r="F333" t="inlineStr">
        <is>
          <t>ENTRETENIMENTO</t>
        </is>
      </c>
      <c r="G333" t="inlineStr">
        <is>
          <t>PORTAL A CRÍTICA</t>
        </is>
      </c>
      <c r="H333" t="inlineStr">
        <is>
          <t>LIVRO REVELA A HISTÓRIA DOS REFUGIADOS VENEZUELANOS NA CAPITAL AMAZONENSE</t>
        </is>
      </c>
      <c r="I333" t="inlineStr">
        <is>
          <t>OBRA DO MÚSICO LUIS GONZALEZ, A SER LANÇADA NO DIA 27, CONTA VIVÊNCIAS DE SOFRIMENTO E EMPODERAMENTO DOS VENEZUELANOS EM MANAUS</t>
        </is>
      </c>
      <c r="J333" t="inlineStr"/>
      <c r="K333" t="n">
        <v>0</v>
      </c>
      <c r="L333" t="n">
        <v>1</v>
      </c>
      <c r="M333" t="n">
        <v>0</v>
      </c>
      <c r="N333" t="n">
        <v>0</v>
      </c>
      <c r="O333" t="n">
        <v>0</v>
      </c>
      <c r="P333">
        <f>HYPERLINK("https://www.acritica.com/entretenimento/livro-revela-a-historia-dos-refugiados-venezuelanos-na-capital-amazonense-1.5058", "URL")</f>
        <v/>
      </c>
      <c r="Q333">
        <f>HYPERLINK("https://raw.githubusercontent.com/marcosmapl/dataset_imigrantes/main/materias_filtered/a_critica/venezuelanos/2021/10_nov/html/1.5058_557.html", "HTML")</f>
        <v/>
      </c>
      <c r="R333">
        <f>HYPERLINK("https://raw.githubusercontent.com/marcosmapl/dataset_imigrantes/main/materias_filtered/a_critica/venezuelanos/2021/10_nov/txt/1.5058_557.txt", "TXT")</f>
        <v/>
      </c>
    </row>
    <row r="334">
      <c r="A334" s="1" t="n">
        <v>332</v>
      </c>
      <c r="B334" t="n">
        <v>2021</v>
      </c>
      <c r="C334" s="2" t="n">
        <v>44521.65850795139</v>
      </c>
      <c r="D334" t="inlineStr">
        <is>
          <t>G1</t>
        </is>
      </c>
      <c r="E334" t="inlineStr">
        <is>
          <t>VENEZUELANOS</t>
        </is>
      </c>
      <c r="F334" t="inlineStr">
        <is>
          <t>PARAÍBA</t>
        </is>
      </c>
      <c r="G334" t="inlineStr">
        <is>
          <t>BRUNA CAIRO, G1 PB</t>
        </is>
      </c>
      <c r="H334" t="inlineStr">
        <is>
          <t>IRMÃS VENEZUELANAS FAZEM PROVAS DO ENEM NA PB E RELATAM DIFICULDADES PARA ESTUDAR: ‘FOI LUTA’</t>
        </is>
      </c>
      <c r="I334" t="inlineStr">
        <is>
          <t>LUZMARENE TRABALHA COMO DEPILADORA E LUZMAR COMO DOMÉSTICA, EM JOÃO PESSOA. PARA CONCILIAR ESTUDOS E TRABALHO, ELAS SE PREPARARAM PARA O EXAME NO TURNO DA NOITE.</t>
        </is>
      </c>
      <c r="J334" t="inlineStr"/>
      <c r="K334" t="n">
        <v>0</v>
      </c>
      <c r="L334" t="n">
        <v>1</v>
      </c>
      <c r="M334" t="n">
        <v>0</v>
      </c>
      <c r="N334" t="n">
        <v>0</v>
      </c>
      <c r="O334" t="n">
        <v>5</v>
      </c>
      <c r="P334">
        <f>HYPERLINK("https://g1.globo.com/pb/paraiba/la-vem-o-enem/2021/noticia/2021/11/21/irmas-venezuelanas-fazem-provas-do-enem-na-pb-e-relatam-dificuldades-para-estudar-foi-luta.ghtml", "URL")</f>
        <v/>
      </c>
      <c r="Q334">
        <f>HYPERLINK("https://raw.githubusercontent.com/marcosmapl/dataset_imigrantes/main/materias_filtered/g1/venezuelanos/2021/10_nov/html/g1_eb380122-2329-11ed-b24f-6dbe51e79fca_4147.html", "HTML")</f>
        <v/>
      </c>
      <c r="R334">
        <f>HYPERLINK("https://raw.githubusercontent.com/marcosmapl/dataset_imigrantes/main/materias_filtered/g1/venezuelanos/2021/10_nov/txt/g1_eb380122-2329-11ed-b24f-6dbe51e79fca_4147.txt", "TXT")</f>
        <v/>
      </c>
    </row>
    <row r="335">
      <c r="A335" s="1" t="n">
        <v>333</v>
      </c>
      <c r="B335" t="n">
        <v>2021</v>
      </c>
      <c r="C335" s="2" t="n">
        <v>44521.51758010417</v>
      </c>
      <c r="D335" t="inlineStr">
        <is>
          <t>G1</t>
        </is>
      </c>
      <c r="E335" t="inlineStr">
        <is>
          <t>VENEZUELANOS</t>
        </is>
      </c>
      <c r="F335" t="inlineStr">
        <is>
          <t>MUNDO</t>
        </is>
      </c>
      <c r="G335" t="inlineStr">
        <is>
          <t>ASSOCIATED PRESS</t>
        </is>
      </c>
      <c r="H335" t="inlineStr">
        <is>
          <t>VENEZUELANOS VOTAM EM ELEIÇÕES REGIONAIS SOB O OLHAR DA COMUNIDADE INTERNACIONAL</t>
        </is>
      </c>
      <c r="I335" t="inlineStr">
        <is>
          <t>É A 1ª VEZ EM 4 ANOS QUE OS PRINCIPAIS PARTIDOS DA OPOSIÇÃO PARTICIPARÃO DE UMA ELEIÇÃO NA VENEZUELA, APÓS DIVERSOS PLEITOS TEREM SIDO BOICOTADOS EM MEIO A DENÚNCIAS DE FRAUDE.</t>
        </is>
      </c>
      <c r="J335" t="inlineStr"/>
      <c r="K335" t="n">
        <v>0</v>
      </c>
      <c r="L335" t="n">
        <v>1</v>
      </c>
      <c r="M335" t="n">
        <v>0</v>
      </c>
      <c r="N335" t="n">
        <v>0</v>
      </c>
      <c r="O335" t="n">
        <v>2</v>
      </c>
      <c r="P335">
        <f>HYPERLINK("https://g1.globo.com/mundo/noticia/2021/11/21/venezuelanos-votam-em-eleicoes-regionais-sob-o-olhar-da-comunidade-internacional.ghtml", "URL")</f>
        <v/>
      </c>
      <c r="Q335">
        <f>HYPERLINK("https://raw.githubusercontent.com/marcosmapl/dataset_imigrantes/main/materias_filtered/g1/venezuelanos/2021/10_nov/html/g1_17ac7ac8-2328-11ed-b24f-6dbe51e79fca_4064.html", "HTML")</f>
        <v/>
      </c>
      <c r="R335">
        <f>HYPERLINK("https://raw.githubusercontent.com/marcosmapl/dataset_imigrantes/main/materias_filtered/g1/venezuelanos/2021/10_nov/txt/g1_17ac7ac8-2328-11ed-b24f-6dbe51e79fca_4064.txt", "TXT")</f>
        <v/>
      </c>
    </row>
    <row r="336">
      <c r="A336" s="1" t="n">
        <v>334</v>
      </c>
      <c r="B336" t="n">
        <v>2021</v>
      </c>
      <c r="C336" s="2" t="n">
        <v>44520.85968638889</v>
      </c>
      <c r="D336" t="inlineStr">
        <is>
          <t>G1</t>
        </is>
      </c>
      <c r="E336" t="inlineStr">
        <is>
          <t>VENEZUELANOS</t>
        </is>
      </c>
      <c r="F336" t="inlineStr">
        <is>
          <t>MUNDO</t>
        </is>
      </c>
      <c r="G336" t="inlineStr">
        <is>
          <t>RFI</t>
        </is>
      </c>
      <c r="H336" t="inlineStr">
        <is>
          <t>"ESTAMOS NO LIMBO HÁ DOIS ANOS", DIZEM ESTUDANTES NA VÉSPERA DAS ELEIÇÕES NA VENEZUELA</t>
        </is>
      </c>
      <c r="I336" t="inlineStr">
        <is>
          <t>VENEZUELANOS ELEGEM PREFEITOS, GOVERNADORES E CONSELHOS LOCAIS EM ELEIÇÃO NESTE DOMINGO (21) QUE CONTARÁ COM A PARTICIPAÇÃO DA OPOSIÇÃO, DEPOIS DE BOICOTAR PLEITOS DE 2018 E 2020.</t>
        </is>
      </c>
      <c r="J336" t="inlineStr"/>
      <c r="K336" t="n">
        <v>0</v>
      </c>
      <c r="L336" t="n">
        <v>2</v>
      </c>
      <c r="M336" t="n">
        <v>1</v>
      </c>
      <c r="N336" t="n">
        <v>0</v>
      </c>
      <c r="O336" t="n">
        <v>2</v>
      </c>
      <c r="P336">
        <f>HYPERLINK("https://g1.globo.com/mundo/noticia/2021/11/20/estamos-no-limbo-ha-dois-anos-dizem-estudantes-na-vespera-das-eleicoes-na-venezuela.ghtml", "URL")</f>
        <v/>
      </c>
      <c r="Q336">
        <f>HYPERLINK("https://raw.githubusercontent.com/marcosmapl/dataset_imigrantes/main/materias_filtered/g1/venezuelanos/2021/10_nov/html/g1_9eba5172-2326-11ed-b24f-6dbe51e79fca_3987.html", "HTML")</f>
        <v/>
      </c>
      <c r="R336">
        <f>HYPERLINK("https://raw.githubusercontent.com/marcosmapl/dataset_imigrantes/main/materias_filtered/g1/venezuelanos/2021/10_nov/txt/g1_9eba5172-2326-11ed-b24f-6dbe51e79fca_3987.txt", "TXT")</f>
        <v/>
      </c>
    </row>
    <row r="337">
      <c r="A337" s="1" t="n">
        <v>335</v>
      </c>
      <c r="B337" t="n">
        <v>2021</v>
      </c>
      <c r="C337" s="2" t="n">
        <v>44519.92141819445</v>
      </c>
      <c r="D337" t="inlineStr">
        <is>
          <t>G1</t>
        </is>
      </c>
      <c r="E337" t="inlineStr">
        <is>
          <t>VENEZUELANOS</t>
        </is>
      </c>
      <c r="F337" t="inlineStr">
        <is>
          <t>ACRE</t>
        </is>
      </c>
      <c r="G337" t="inlineStr">
        <is>
          <t>ALINE NASCIMENTO E ELDÉRICO SILVA, G1 AC E BOM DIA ACRE — RIO BRANCO</t>
        </is>
      </c>
      <c r="H337" t="inlineStr">
        <is>
          <t>VENEZUELANO CONCILIA TRABALHO VOLUNTÁRIO EM ABRIGO, AULAS DA FACULDADE E 4H DE ESTUDO PARA PASSAR NO ENEM</t>
        </is>
      </c>
      <c r="I337" t="inlineStr">
        <is>
          <t>JOSÉ ANTÔNIO TIRANO MORA NO ACRE HÁ TRÊS ANOS E TENTA CONCILIAR ROTINA INTENSA DE ESTUDOS, TRABALHO EM ABRIGO E AULAS DO CURSO DE DIREITO EM UMA FACULDADE PARTICULAR.</t>
        </is>
      </c>
      <c r="J337" t="inlineStr"/>
      <c r="K337" t="n">
        <v>0</v>
      </c>
      <c r="L337" t="n">
        <v>2</v>
      </c>
      <c r="M337" t="n">
        <v>1</v>
      </c>
      <c r="N337" t="n">
        <v>0</v>
      </c>
      <c r="O337" t="n">
        <v>4</v>
      </c>
      <c r="P337">
        <f>HYPERLINK("https://g1.globo.com/ac/acre/noticia/2021/11/19/venezuelano-concilia-trabalho-voluntario-em-abrigo-aulas-da-faculdade-e-4h-de-estudo-para-passar-no-enem.ghtml", "URL")</f>
        <v/>
      </c>
      <c r="Q337">
        <f>HYPERLINK("https://raw.githubusercontent.com/marcosmapl/dataset_imigrantes/main/materias_filtered/g1/venezuelanos/2021/10_nov/html/g1_ded34664-231d-11ed-b24f-6dbe51e79fca_3525.html", "HTML")</f>
        <v/>
      </c>
      <c r="R337">
        <f>HYPERLINK("https://raw.githubusercontent.com/marcosmapl/dataset_imigrantes/main/materias_filtered/g1/venezuelanos/2021/10_nov/txt/g1_ded34664-231d-11ed-b24f-6dbe51e79fca_3525.txt", "TXT")</f>
        <v/>
      </c>
    </row>
    <row r="338">
      <c r="A338" s="1" t="n">
        <v>336</v>
      </c>
      <c r="B338" t="n">
        <v>2021</v>
      </c>
      <c r="C338" s="2" t="n">
        <v>44519.82709681713</v>
      </c>
      <c r="D338" t="inlineStr">
        <is>
          <t>G1</t>
        </is>
      </c>
      <c r="E338" t="inlineStr">
        <is>
          <t>HAITIANOS</t>
        </is>
      </c>
      <c r="F338" t="inlineStr">
        <is>
          <t>MATO GROSSO</t>
        </is>
      </c>
      <c r="G338" t="inlineStr">
        <is>
          <t>G1 MT</t>
        </is>
      </c>
      <c r="H338" t="inlineStr">
        <is>
          <t>HAITIANA FAZ O ENEM EM MT E DIZ QUE SONHA SER MÉDICA APÓS PERDER AVÓ VÍTIMA DE DESCASO MÉDICO</t>
        </is>
      </c>
      <c r="I338" t="inlineStr">
        <is>
          <t>LOVEDANA DORCIN, 17 ANOS, SE MUDOU PARA O ESTADO DEPOIS QUE A FAMÍLIA TEVE LOJA DESTRUÍDA.</t>
        </is>
      </c>
      <c r="J338" t="inlineStr"/>
      <c r="K338" t="n">
        <v>0</v>
      </c>
      <c r="L338" t="n">
        <v>2</v>
      </c>
      <c r="M338" t="n">
        <v>1</v>
      </c>
      <c r="N338" t="n">
        <v>0</v>
      </c>
      <c r="O338" t="n">
        <v>0</v>
      </c>
      <c r="P338">
        <f>HYPERLINK("https://g1.globo.com/mt/mato-grosso/noticia/2021/11/19/haitiana-faz-o-enem-em-mt-e-diz-que-sonha-ser-medica-apos-perder-avo-vitima-de-descaso-medico.ghtml", "URL")</f>
        <v/>
      </c>
      <c r="Q338">
        <f>HYPERLINK("https://raw.githubusercontent.com/marcosmapl/dataset_imigrantes/main/materias_filtered/g1/haitianos/2021/10_nov/html/g1_baf9fe30-231e-11ed-b24f-6dbe51e79fca_3581.html", "HTML")</f>
        <v/>
      </c>
      <c r="R338">
        <f>HYPERLINK("https://raw.githubusercontent.com/marcosmapl/dataset_imigrantes/main/materias_filtered/g1/haitianos/2021/10_nov/txt/g1_baf9fe30-231e-11ed-b24f-6dbe51e79fca_3581.txt", "TXT")</f>
        <v/>
      </c>
    </row>
    <row r="339">
      <c r="A339" s="1" t="n">
        <v>337</v>
      </c>
      <c r="B339" t="n">
        <v>2021</v>
      </c>
      <c r="C339" s="2" t="n">
        <v>44519.82212131944</v>
      </c>
      <c r="D339" t="inlineStr">
        <is>
          <t>G1</t>
        </is>
      </c>
      <c r="E339" t="inlineStr">
        <is>
          <t>HAITIANOS</t>
        </is>
      </c>
      <c r="F339" t="inlineStr">
        <is>
          <t>ACRE</t>
        </is>
      </c>
      <c r="G339" t="inlineStr">
        <is>
          <t>TÁCITA MUNIZ, G1 AC — RIO BRANCO</t>
        </is>
      </c>
      <c r="H339" t="inlineStr">
        <is>
          <t>HAITIANO QUE FICOU PARAPLÉGICO AO SER OBRIGADO A SE JOGAR DE PONTE NO AC APARECE DANDO PASSOS EM VÍDEO</t>
        </is>
      </c>
      <c r="I339" t="inlineStr">
        <is>
          <t>JACQUENUE BOSQUET, DE 36 ANOS, FOI LEVADO A UM ABRIGO DE RIO BRANCO, MAS TEM APRESENTADO PROBLEMAS PSICOLÓGICOS E AGORA SE RECUSA A CONTINUAR TRATAMENTO.</t>
        </is>
      </c>
      <c r="J339" t="inlineStr"/>
      <c r="K339" t="n">
        <v>0</v>
      </c>
      <c r="L339" t="n">
        <v>4</v>
      </c>
      <c r="M339" t="n">
        <v>3</v>
      </c>
      <c r="N339" t="n">
        <v>0</v>
      </c>
      <c r="O339" t="n">
        <v>12</v>
      </c>
      <c r="P339">
        <f>HYPERLINK("https://g1.globo.com/ac/acre/noticia/2021/11/19/haitiano-que-ficou-paraplegico-ao-ser-obrigado-a-se-jogar-de-ponte-no-ac-aparece-dando-passos-em-video.ghtml", "URL")</f>
        <v/>
      </c>
      <c r="Q339">
        <f>HYPERLINK("https://raw.githubusercontent.com/marcosmapl/dataset_imigrantes/main/materias_filtered/g1/haitianos/2021/10_nov/html/g1_9d8f7a9c-22f0-11ed-b24f-6dbe51e79fca_1712.html", "HTML")</f>
        <v/>
      </c>
      <c r="R339">
        <f>HYPERLINK("https://raw.githubusercontent.com/marcosmapl/dataset_imigrantes/main/materias_filtered/g1/haitianos/2021/10_nov/txt/g1_9d8f7a9c-22f0-11ed-b24f-6dbe51e79fca_1712.txt", "TXT")</f>
        <v/>
      </c>
    </row>
    <row r="340">
      <c r="A340" s="1" t="n">
        <v>338</v>
      </c>
      <c r="B340" t="n">
        <v>2021</v>
      </c>
      <c r="C340" s="2" t="n">
        <v>44519.03986645833</v>
      </c>
      <c r="D340" t="inlineStr">
        <is>
          <t>G1</t>
        </is>
      </c>
      <c r="E340" t="inlineStr">
        <is>
          <t>HAITIANOS</t>
        </is>
      </c>
      <c r="F340" t="inlineStr">
        <is>
          <t>AMAZONAS</t>
        </is>
      </c>
      <c r="G340" t="inlineStr">
        <is>
          <t>DANIELA BRANCHES, REDE AMAZÔNICA</t>
        </is>
      </c>
      <c r="H340" t="inlineStr">
        <is>
          <t>PF INVESTIGA ENTRADA DE HAITIANOS EM MANAUS COM FALSO DOCUMENTO DE RESIDÊNCIA NO PAÍS</t>
        </is>
      </c>
      <c r="I340" t="inlineStr">
        <is>
          <t>VOO FRETADO CHEGOU À CAPITAL DO AMAZONAS TRAZENDO 80 PESSOAS VINDAS DE PORTO PRÍNCIPE, NO HAITI.</t>
        </is>
      </c>
      <c r="J340" t="inlineStr"/>
      <c r="K340" t="n">
        <v>0</v>
      </c>
      <c r="L340" t="n">
        <v>1</v>
      </c>
      <c r="M340" t="n">
        <v>1</v>
      </c>
      <c r="N340" t="n">
        <v>0</v>
      </c>
      <c r="O340" t="n">
        <v>1</v>
      </c>
      <c r="P340">
        <f>HYPERLINK("https://g1.globo.com/am/amazonas/noticia/2021/11/18/pf-investiga-entrada-de-haitianos-em-manaus-com-falso-documento-de-residencia-no-pais.ghtml", "URL")</f>
        <v/>
      </c>
      <c r="Q340">
        <f>HYPERLINK("https://raw.githubusercontent.com/marcosmapl/dataset_imigrantes/main/materias_filtered/g1/haitianos/2021/10_nov/html/g1_e3b45aac-22f4-11ed-b24f-6dbe51e79fca_1917.html", "HTML")</f>
        <v/>
      </c>
      <c r="R340">
        <f>HYPERLINK("https://raw.githubusercontent.com/marcosmapl/dataset_imigrantes/main/materias_filtered/g1/haitianos/2021/10_nov/txt/g1_e3b45aac-22f4-11ed-b24f-6dbe51e79fca_1917.txt", "TXT")</f>
        <v/>
      </c>
    </row>
    <row r="341">
      <c r="A341" s="1" t="n">
        <v>339</v>
      </c>
      <c r="B341" t="n">
        <v>2021</v>
      </c>
      <c r="C341" s="2" t="n">
        <v>44517.56383101852</v>
      </c>
      <c r="D341" t="inlineStr">
        <is>
          <t>A CRITICA</t>
        </is>
      </c>
      <c r="E341" t="inlineStr">
        <is>
          <t>VENEZUELANOS</t>
        </is>
      </c>
      <c r="F341" t="inlineStr"/>
      <c r="G341" t="inlineStr">
        <is>
          <t>PORTAL A CRÍTICA</t>
        </is>
      </c>
      <c r="H341" t="inlineStr">
        <is>
          <t>PROJETO  'ADOTE UM CICLO' DOA MAIS DE 200 MIL ABSORVENTES A INSTITUIÇÕES EM MANAUS</t>
        </is>
      </c>
      <c r="I341" t="inlineStr">
        <is>
          <t>TODA A POPULAÇÃO PODE CONTRIBUIR REALIZANDO DOAÇÕES EM UM DOS PONTOS DE COLETA DA INICIATIVA, ENTRE ELES, O COLÉGIO MARTHA FALCÃO, LOCALIZADO NA RUA SALVADOR, N° 455, NO BAIRRO ADRIANÓPOLIS</t>
        </is>
      </c>
      <c r="J341" t="inlineStr"/>
      <c r="K341" t="n">
        <v>0</v>
      </c>
      <c r="L341" t="n">
        <v>1</v>
      </c>
      <c r="M341" t="n">
        <v>0</v>
      </c>
      <c r="N341" t="n">
        <v>0</v>
      </c>
      <c r="O341" t="n">
        <v>0</v>
      </c>
      <c r="P341">
        <f>HYPERLINK("https://www.acritica.com/projeto-adote-um-ciclo-doa-mais-de-200-mil-absorventes-a-instituic-es-em-manaus-1.6220", "URL")</f>
        <v/>
      </c>
      <c r="Q341">
        <f>HYPERLINK("https://raw.githubusercontent.com/marcosmapl/dataset_imigrantes/main/materias_filtered/a_critica/venezuelanos/2021/10_nov/html/1.6220_990.html", "HTML")</f>
        <v/>
      </c>
      <c r="R341">
        <f>HYPERLINK("https://raw.githubusercontent.com/marcosmapl/dataset_imigrantes/main/materias_filtered/a_critica/venezuelanos/2021/10_nov/txt/1.6220_990.txt", "TXT")</f>
        <v/>
      </c>
    </row>
    <row r="342">
      <c r="A342" s="1" t="n">
        <v>340</v>
      </c>
      <c r="B342" t="n">
        <v>2021</v>
      </c>
      <c r="C342" s="2" t="n">
        <v>44516.8627849537</v>
      </c>
      <c r="D342" t="inlineStr">
        <is>
          <t>G1</t>
        </is>
      </c>
      <c r="E342" t="inlineStr">
        <is>
          <t>VENEZUELANOS</t>
        </is>
      </c>
      <c r="F342" t="inlineStr">
        <is>
          <t>PIAUÍ</t>
        </is>
      </c>
      <c r="G342" t="inlineStr">
        <is>
          <t>KAMILA SARAIVA, LAURA MOURA E CATARINA COSTA, TV CLUBE/G1 PI</t>
        </is>
      </c>
      <c r="H342" t="inlineStr">
        <is>
          <t>LAUDO DO IML APONTA QUE BEBÊ VENEZUELANA MORTA EM TERESINA SOFREU AGRESSÕES E INTOXICAÇÃO</t>
        </is>
      </c>
      <c r="I342" t="inlineStr">
        <is>
          <t>A MORTE DA CRIANÇA SOB SUSPEITA DE MAUS-TRATOS É INVESTIGADA PELA DELEGACIA DE PROTEÇÃO À CRIANÇA E AO ADOLESCENTE VÍTIMA (DPCA).</t>
        </is>
      </c>
      <c r="J342" t="inlineStr"/>
      <c r="K342" t="n">
        <v>0</v>
      </c>
      <c r="L342" t="n">
        <v>2</v>
      </c>
      <c r="M342" t="n">
        <v>0</v>
      </c>
      <c r="N342" t="n">
        <v>0</v>
      </c>
      <c r="O342" t="n">
        <v>6</v>
      </c>
      <c r="P342">
        <f>HYPERLINK("https://g1.globo.com/pi/piaui/noticia/2021/11/16/laudo-do-iml-aponta-que-bebe-venezuelana-morta-em-teresina-sofreu-agressoes-e-intoxicacao-alimentar.ghtml", "URL")</f>
        <v/>
      </c>
      <c r="Q342">
        <f>HYPERLINK("https://raw.githubusercontent.com/marcosmapl/dataset_imigrantes/main/materias_filtered/g1/venezuelanos/2021/10_nov/html/g1_dc504cca-2309-11ed-b24f-6dbe51e79fca_2469.html", "HTML")</f>
        <v/>
      </c>
      <c r="R342">
        <f>HYPERLINK("https://raw.githubusercontent.com/marcosmapl/dataset_imigrantes/main/materias_filtered/g1/venezuelanos/2021/10_nov/txt/g1_dc504cca-2309-11ed-b24f-6dbe51e79fca_2469.txt", "TXT")</f>
        <v/>
      </c>
    </row>
    <row r="343">
      <c r="A343" s="1" t="n">
        <v>341</v>
      </c>
      <c r="B343" t="n">
        <v>2021</v>
      </c>
      <c r="C343" s="2" t="n">
        <v>44516.66541293982</v>
      </c>
      <c r="D343" t="inlineStr">
        <is>
          <t>G1</t>
        </is>
      </c>
      <c r="E343" t="inlineStr">
        <is>
          <t>HAITIANOS</t>
        </is>
      </c>
      <c r="F343" t="inlineStr">
        <is>
          <t>MUNDO</t>
        </is>
      </c>
      <c r="G343" t="inlineStr">
        <is>
          <t>REUTERS</t>
        </is>
      </c>
      <c r="H343" t="inlineStr">
        <is>
          <t>TURQUIA PRENDE SUSPEITO PROCURADO POR RELAÇÃO COM ASSASSINATO DO PRESIDENTE HAITIANO JOVENEL MOISE</t>
        </is>
      </c>
      <c r="I343" t="inlineStr">
        <is>
          <t>SAMIR HANDAL, QUE ESTAVA SENDO PROCURADO COM UM AVISO VERMELHO DA INTERPOL, FOI DETIDO NO AEROPORTO DE ISTAMBUL PELAS AUTORIDADES ENQUANTO FAZIA UM VOO EM TRÂNSITO DOS ESTADOS UNIDOS PARA A JORDÂNIA.</t>
        </is>
      </c>
      <c r="J343" t="inlineStr"/>
      <c r="K343" t="n">
        <v>0</v>
      </c>
      <c r="L343" t="n">
        <v>1</v>
      </c>
      <c r="M343" t="n">
        <v>0</v>
      </c>
      <c r="N343" t="n">
        <v>0</v>
      </c>
      <c r="O343" t="n">
        <v>1</v>
      </c>
      <c r="P343">
        <f>HYPERLINK("https://g1.globo.com/mundo/noticia/2021/11/16/turquia-prende-suspeito-procurado-por-relacao-com-assassinato-do-presidente-haitiano-jovenel-moise.ghtml", "URL")</f>
        <v/>
      </c>
      <c r="Q343">
        <f>HYPERLINK("https://raw.githubusercontent.com/marcosmapl/dataset_imigrantes/main/materias_filtered/g1/haitianos/2021/10_nov/html/g1_a1cdabfe-22ed-11ed-b24f-6dbe51e79fca_1683.html", "HTML")</f>
        <v/>
      </c>
      <c r="R343">
        <f>HYPERLINK("https://raw.githubusercontent.com/marcosmapl/dataset_imigrantes/main/materias_filtered/g1/haitianos/2021/10_nov/txt/g1_a1cdabfe-22ed-11ed-b24f-6dbe51e79fca_1683.txt", "TXT")</f>
        <v/>
      </c>
    </row>
    <row r="344">
      <c r="A344" s="1" t="n">
        <v>342</v>
      </c>
      <c r="B344" t="n">
        <v>2021</v>
      </c>
      <c r="C344" s="2" t="n">
        <v>44515.65828697917</v>
      </c>
      <c r="D344" t="inlineStr">
        <is>
          <t>G1</t>
        </is>
      </c>
      <c r="E344" t="inlineStr">
        <is>
          <t>VENEZUELANOS</t>
        </is>
      </c>
      <c r="F344" t="inlineStr">
        <is>
          <t>POP &amp; ARTE</t>
        </is>
      </c>
      <c r="G344" t="inlineStr">
        <is>
          <t>FRANCE PRESSE</t>
        </is>
      </c>
      <c r="H344" t="inlineStr">
        <is>
          <t>12 MIL MÚSICOS VENEZUELANOS TENTAM BATER O RECORDE DE MAIOR ORQUESTRA DO MUNDO</t>
        </is>
      </c>
      <c r="I344" t="inlineStr">
        <is>
          <t>ATUAL RECORDE, DE 2019, FOI REGISTRADO EM SÃO PETERSBURGO, RÚSSIA, POR UMA ORQUESTRA DE 8.097 MÚSICOS. ORGANIZAÇÃO DO GUINNESS DARÁ O RESULTADO NOS PRÓXIMOS DIAS.</t>
        </is>
      </c>
      <c r="J344" t="inlineStr"/>
      <c r="K344" t="n">
        <v>0</v>
      </c>
      <c r="L344" t="n">
        <v>2</v>
      </c>
      <c r="M344" t="n">
        <v>0</v>
      </c>
      <c r="N344" t="n">
        <v>0</v>
      </c>
      <c r="O344" t="n">
        <v>1</v>
      </c>
      <c r="P344">
        <f>HYPERLINK("https://g1.globo.com/pop-arte/musica/noticia/2021/11/15/12-mil-musicos-venezuelanos-tentam-bater-o-recorde-de-maior-orquestra-do-mundo.ghtml", "URL")</f>
        <v/>
      </c>
      <c r="Q344">
        <f>HYPERLINK("https://raw.githubusercontent.com/marcosmapl/dataset_imigrantes/main/materias_filtered/g1/venezuelanos/2021/10_nov/html/g1_137976fa-230e-11ed-b24f-6dbe51e79fca_2719.html", "HTML")</f>
        <v/>
      </c>
      <c r="R344">
        <f>HYPERLINK("https://raw.githubusercontent.com/marcosmapl/dataset_imigrantes/main/materias_filtered/g1/venezuelanos/2021/10_nov/txt/g1_137976fa-230e-11ed-b24f-6dbe51e79fca_2719.txt", "TXT")</f>
        <v/>
      </c>
    </row>
    <row r="345">
      <c r="A345" s="1" t="n">
        <v>343</v>
      </c>
      <c r="B345" t="n">
        <v>2021</v>
      </c>
      <c r="C345" s="2" t="n">
        <v>44513.79049958333</v>
      </c>
      <c r="D345" t="inlineStr">
        <is>
          <t>G1</t>
        </is>
      </c>
      <c r="E345" t="inlineStr">
        <is>
          <t>VENEZUELANOS</t>
        </is>
      </c>
      <c r="F345" t="inlineStr">
        <is>
          <t>PIAUÍ</t>
        </is>
      </c>
      <c r="G345" t="inlineStr">
        <is>
          <t>CLARA VIANA E CATARINA COSTA, G1 PI</t>
        </is>
      </c>
      <c r="H345" t="inlineStr">
        <is>
          <t>DPCA ASSUME INVESTIGAÇÃO DA MORTE DE BEBÊ VENEZUELANA SOB SUSPEITA DE MAUS-TRATOS EM TERESINA</t>
        </is>
      </c>
      <c r="I345" t="inlineStr">
        <is>
          <t>A MÃE DE 13 ANOS E A AVÓ DA CRIANÇA FORAM OUVIDAS E VOLTARAM PARA O ABRIGO NO CENTRO SOCIAL URBANO DO BUENOS AIRES. EXAME FEITO PELO INSTITUTO MÉDICO LEGAL VAI DEFINIR A CAUSA DA MORTE.</t>
        </is>
      </c>
      <c r="J345" t="inlineStr"/>
      <c r="K345" t="n">
        <v>0</v>
      </c>
      <c r="L345" t="n">
        <v>2</v>
      </c>
      <c r="M345" t="n">
        <v>0</v>
      </c>
      <c r="N345" t="n">
        <v>0</v>
      </c>
      <c r="O345" t="n">
        <v>4</v>
      </c>
      <c r="P345">
        <f>HYPERLINK("https://g1.globo.com/pi/piaui/noticia/2021/11/13/dpca-assume-investigacao-de-morte-de-bebe-venezuelana-sob-suspeita-de-maus-tratos-em-teresina.ghtml", "URL")</f>
        <v/>
      </c>
      <c r="Q345">
        <f>HYPERLINK("https://raw.githubusercontent.com/marcosmapl/dataset_imigrantes/main/materias_filtered/g1/venezuelanos/2021/10_nov/html/g1_ef7ebc82-2327-11ed-b24f-6dbe51e79fca_4056.html", "HTML")</f>
        <v/>
      </c>
      <c r="R345">
        <f>HYPERLINK("https://raw.githubusercontent.com/marcosmapl/dataset_imigrantes/main/materias_filtered/g1/venezuelanos/2021/10_nov/txt/g1_ef7ebc82-2327-11ed-b24f-6dbe51e79fca_4056.txt", "TXT")</f>
        <v/>
      </c>
    </row>
    <row r="346">
      <c r="A346" s="1" t="n">
        <v>344</v>
      </c>
      <c r="B346" t="n">
        <v>2021</v>
      </c>
      <c r="C346" s="2" t="n">
        <v>44513.4910215625</v>
      </c>
      <c r="D346" t="inlineStr">
        <is>
          <t>G1</t>
        </is>
      </c>
      <c r="E346" t="inlineStr">
        <is>
          <t>HAITIANOS</t>
        </is>
      </c>
      <c r="F346" t="inlineStr">
        <is>
          <t>MUNDO</t>
        </is>
      </c>
      <c r="G346" t="inlineStr">
        <is>
          <t>RFI</t>
        </is>
      </c>
      <c r="H346" t="inlineStr">
        <is>
          <t>ORGANIZAÇÃO DOS ESTADOS AMERICANOS CONTESTA 'LEGITIMIDADE DEMOCRÁTICA' DAS ELEIÇÕES NA NICARÁGUA</t>
        </is>
      </c>
      <c r="I346" t="inlineStr">
        <is>
          <t>TEXTO FOI APROVADO POR 25 VOTOS A FAVOR ENTRE OS 34 MEMBROS ATIVOS DO BLOCO; ENTIDADE PEDIU 'AVALIAÇÃO COLETIVA' ATÉ 30 DE NOVEMBRO PARA A ADOÇÃO DE MEDIDAS CABÍVEIS. EM 7 DE NOVEMBRO, DANIEL ORTEGA CONQUISTOU O QUARTO MANDADO NA DISPUTA, QUE NÃO TEVE UMA REAL CONCORRÊNCIA: 7 PRÉ-CANDIDATOS DA OPOSIÇÃO FORAM DETIDOS ANTES DA VOTAÇÃO.</t>
        </is>
      </c>
      <c r="J346" t="inlineStr"/>
      <c r="K346" t="n">
        <v>0</v>
      </c>
      <c r="L346" t="n">
        <v>2</v>
      </c>
      <c r="M346" t="n">
        <v>1</v>
      </c>
      <c r="N346" t="n">
        <v>0</v>
      </c>
      <c r="O346" t="n">
        <v>10</v>
      </c>
      <c r="P346">
        <f>HYPERLINK("https://g1.globo.com/mundo/noticia/2021/11/13/organizacao-dos-estados-americanos-contesta-legitimidade-democratica-das-eleicoes-na-nicaragua.ghtml", "URL")</f>
        <v/>
      </c>
      <c r="Q346">
        <f>HYPERLINK("https://raw.githubusercontent.com/marcosmapl/dataset_imigrantes/main/materias_filtered/g1/haitianos/2021/10_nov/html/g1_6457a3d0-230e-11ed-b24f-6dbe51e79fca_2735.html", "HTML")</f>
        <v/>
      </c>
      <c r="R346">
        <f>HYPERLINK("https://raw.githubusercontent.com/marcosmapl/dataset_imigrantes/main/materias_filtered/g1/haitianos/2021/10_nov/txt/g1_6457a3d0-230e-11ed-b24f-6dbe51e79fca_2735.txt", "TXT")</f>
        <v/>
      </c>
    </row>
    <row r="347">
      <c r="A347" s="1" t="n">
        <v>345</v>
      </c>
      <c r="B347" t="n">
        <v>2021</v>
      </c>
      <c r="C347" s="2" t="n">
        <v>44513.46005168981</v>
      </c>
      <c r="D347" t="inlineStr">
        <is>
          <t>G1</t>
        </is>
      </c>
      <c r="E347" t="inlineStr">
        <is>
          <t>VENEZUELANOS</t>
        </is>
      </c>
      <c r="F347" t="inlineStr">
        <is>
          <t>PIAUÍ</t>
        </is>
      </c>
      <c r="G347" t="inlineStr">
        <is>
          <t>G1 PI</t>
        </is>
      </c>
      <c r="H347" t="inlineStr">
        <is>
          <t>SEIS CRIANÇAS VENEZUELANAS MORRERAM NESTE ANO EM TERESINA, DIZ SEMCASPI</t>
        </is>
      </c>
      <c r="I347" t="inlineStr">
        <is>
          <t>DE ACORDO COM O SECRETÁRIO EXECUTIVO DA SEMCASPI, EDUARDO AGUIAR, EM TODOS OS CASOS, AS CRIANÇAS POSSUÍAM SINAIS DE DESNUTRIÇÃO. ALÉM DISSO, HÁ SUSPEITA DE NEGLIGÊNCIA POR PARTE DAS FAMÍLIAS DAS VÍTIMAS E A NÃO ADESÃO AO TRATAMENTO MEDICAMENTOSO.</t>
        </is>
      </c>
      <c r="J347" t="inlineStr"/>
      <c r="K347" t="n">
        <v>0</v>
      </c>
      <c r="L347" t="n">
        <v>2</v>
      </c>
      <c r="M347" t="n">
        <v>0</v>
      </c>
      <c r="N347" t="n">
        <v>0</v>
      </c>
      <c r="O347" t="n">
        <v>5</v>
      </c>
      <c r="P347">
        <f>HYPERLINK("https://g1.globo.com/pi/piaui/noticia/2021/11/13/seis-criancas-venezuelanas-morreram-neste-ano-em-teresina-diz-semcaspi.ghtml", "URL")</f>
        <v/>
      </c>
      <c r="Q347">
        <f>HYPERLINK("https://raw.githubusercontent.com/marcosmapl/dataset_imigrantes/main/materias_filtered/g1/venezuelanos/2021/10_nov/html/g1_4565577a-232b-11ed-b24f-6dbe51e79fca_4235.html", "HTML")</f>
        <v/>
      </c>
      <c r="R347">
        <f>HYPERLINK("https://raw.githubusercontent.com/marcosmapl/dataset_imigrantes/main/materias_filtered/g1/venezuelanos/2021/10_nov/txt/g1_4565577a-232b-11ed-b24f-6dbe51e79fca_4235.txt", "TXT")</f>
        <v/>
      </c>
    </row>
    <row r="348">
      <c r="A348" s="1" t="n">
        <v>346</v>
      </c>
      <c r="B348" t="n">
        <v>2021</v>
      </c>
      <c r="C348" s="2" t="n">
        <v>44513.45138888889</v>
      </c>
      <c r="D348" t="inlineStr">
        <is>
          <t>A CRITICA</t>
        </is>
      </c>
      <c r="E348" t="inlineStr">
        <is>
          <t>HAITIANOS</t>
        </is>
      </c>
      <c r="F348" t="inlineStr">
        <is>
          <t>OPINIAO</t>
        </is>
      </c>
      <c r="G348" t="inlineStr">
        <is>
          <t>MARCUS LACERDA</t>
        </is>
      </c>
      <c r="H348" t="inlineStr">
        <is>
          <t>AMIGOS</t>
        </is>
      </c>
      <c r="I348" t="inlineStr">
        <is>
          <t>AS RELAÇÕES DE AMIZADE OSCILAM MESMO, MAS NUNCA HOUVE TAMANHA PRESSÃO PARA TANTA INSTABILIDADE.</t>
        </is>
      </c>
      <c r="J348" t="inlineStr">
        <is>
          <t>QUARENTENA-NO-RIO-NEGRO-POR-MARCUS-LACERDA</t>
        </is>
      </c>
      <c r="K348" t="n">
        <v>1</v>
      </c>
      <c r="L348" t="n">
        <v>1</v>
      </c>
      <c r="M348" t="n">
        <v>0</v>
      </c>
      <c r="N348" t="n">
        <v>0</v>
      </c>
      <c r="O348" t="n">
        <v>1</v>
      </c>
      <c r="P348">
        <f>HYPERLINK("https://www.acritica.com/opiniao/amigos-1.215343", "URL")</f>
        <v/>
      </c>
      <c r="Q348">
        <f>HYPERLINK("https://raw.githubusercontent.com/marcosmapl/dataset_imigrantes/main/materias_filtered/a_critica/haitianos/2021/10_nov/html/1.215343_114.html", "HTML")</f>
        <v/>
      </c>
      <c r="R348">
        <f>HYPERLINK("https://raw.githubusercontent.com/marcosmapl/dataset_imigrantes/main/materias_filtered/a_critica/haitianos/2021/10_nov/txt/1.215343_114.txt", "TXT")</f>
        <v/>
      </c>
    </row>
    <row r="349">
      <c r="A349" s="1" t="n">
        <v>347</v>
      </c>
      <c r="B349" t="n">
        <v>2021</v>
      </c>
      <c r="C349" s="2" t="n">
        <v>44512.78971268518</v>
      </c>
      <c r="D349" t="inlineStr">
        <is>
          <t>G1</t>
        </is>
      </c>
      <c r="E349" t="inlineStr">
        <is>
          <t>VENEZUELANOS</t>
        </is>
      </c>
      <c r="F349" t="inlineStr">
        <is>
          <t>PIAUÍ</t>
        </is>
      </c>
      <c r="G349" t="inlineStr">
        <is>
          <t>BÁRBARA RODRIGUES E LIVIA FERREIRA*, G1 PI</t>
        </is>
      </c>
      <c r="H349" t="inlineStr">
        <is>
          <t>BEBÊ VENEZUELANA DE 9 MESES MORRE EM HOSPITAL NA ZONA NORTE DE TERESINA;  CONSELHO TUTELAR SUSPEITA DE MAUS-TRATOS</t>
        </is>
      </c>
      <c r="I349" t="inlineStr">
        <is>
          <t>O CASO ESTÁ SENDO ACOMPANHADO PELO CONSELHO TUTELAR DA ZONA NORTE E PELA SECRETARIA MUNICIPAL DE CIDADANIA, ASSISTÊNCIA SOCIAL E POLÍTICAS INTEGRADAS.</t>
        </is>
      </c>
      <c r="J349" t="inlineStr"/>
      <c r="K349" t="n">
        <v>0</v>
      </c>
      <c r="L349" t="n">
        <v>2</v>
      </c>
      <c r="M349" t="n">
        <v>0</v>
      </c>
      <c r="N349" t="n">
        <v>0</v>
      </c>
      <c r="O349" t="n">
        <v>6</v>
      </c>
      <c r="P349">
        <f>HYPERLINK("https://g1.globo.com/pi/piaui/noticia/2021/11/12/bebe-venezuelana-de-8-meses-morre-em-hospital-na-zona-norte-de-teresina-policia-suspeita-de-maus-tratos.ghtml", "URL")</f>
        <v/>
      </c>
      <c r="Q349">
        <f>HYPERLINK("https://raw.githubusercontent.com/marcosmapl/dataset_imigrantes/main/materias_filtered/g1/venezuelanos/2021/10_nov/html/g1_2fb0685e-2329-11ed-b24f-6dbe51e79fca_4101.html", "HTML")</f>
        <v/>
      </c>
      <c r="R349">
        <f>HYPERLINK("https://raw.githubusercontent.com/marcosmapl/dataset_imigrantes/main/materias_filtered/g1/venezuelanos/2021/10_nov/txt/g1_2fb0685e-2329-11ed-b24f-6dbe51e79fca_4101.txt", "TXT")</f>
        <v/>
      </c>
    </row>
    <row r="350">
      <c r="A350" s="1" t="n">
        <v>348</v>
      </c>
      <c r="B350" t="n">
        <v>2021</v>
      </c>
      <c r="C350" s="2" t="n">
        <v>44512.67981890046</v>
      </c>
      <c r="D350" t="inlineStr">
        <is>
          <t>G1</t>
        </is>
      </c>
      <c r="E350" t="inlineStr">
        <is>
          <t>VENEZUELANOS</t>
        </is>
      </c>
      <c r="F350" t="inlineStr">
        <is>
          <t>MINAS GERAIS</t>
        </is>
      </c>
      <c r="G350" t="inlineStr">
        <is>
          <t>CAMILA FALABELA, TV GLOBO — BELO HORIZONTE</t>
        </is>
      </c>
      <c r="H350" t="inlineStr">
        <is>
          <t>PRAZO PARA PBH APRESENTAR PLANO DE REMANEJAMENTO DE REFUGIADOS INDÍGENAS TERMINA NESTA SEXTA</t>
        </is>
      </c>
      <c r="I350" t="inlineStr">
        <is>
          <t>OS 74 INDÍGENAS VENEZUELANOS ESTÃO NO ABRIGO SÃO PAULO, NA REGIÃO NORTE, DESDE SETEMBRO. PARTE DO GRUPO TEVE COVID-19, E UMA CRIANÇA DE 1 ANO E 7 MESES MORREU POR CAUSA DA DOENÇA.</t>
        </is>
      </c>
      <c r="J350" t="inlineStr"/>
      <c r="K350" t="n">
        <v>0</v>
      </c>
      <c r="L350" t="n">
        <v>2</v>
      </c>
      <c r="M350" t="n">
        <v>1</v>
      </c>
      <c r="N350" t="n">
        <v>0</v>
      </c>
      <c r="O350" t="n">
        <v>8</v>
      </c>
      <c r="P350">
        <f>HYPERLINK("https://g1.globo.com/mg/minas-gerais/noticia/2021/11/12/prazo-para-pbh-apresentar-plano-de-remanejamento-de-refugiados-indigenas-termina-nesta-sexta.ghtml", "URL")</f>
        <v/>
      </c>
      <c r="Q350">
        <f>HYPERLINK("https://raw.githubusercontent.com/marcosmapl/dataset_imigrantes/main/materias_filtered/g1/venezuelanos/2021/10_nov/html/g1_2e85a65a-232a-11ed-b24f-6dbe51e79fca_4162.html", "HTML")</f>
        <v/>
      </c>
      <c r="R350">
        <f>HYPERLINK("https://raw.githubusercontent.com/marcosmapl/dataset_imigrantes/main/materias_filtered/g1/venezuelanos/2021/10_nov/txt/g1_2e85a65a-232a-11ed-b24f-6dbe51e79fca_4162.txt", "TXT")</f>
        <v/>
      </c>
    </row>
    <row r="351">
      <c r="A351" s="1" t="n">
        <v>349</v>
      </c>
      <c r="B351" t="n">
        <v>2021</v>
      </c>
      <c r="C351" s="2" t="n">
        <v>44510.89110721065</v>
      </c>
      <c r="D351" t="inlineStr">
        <is>
          <t>G1</t>
        </is>
      </c>
      <c r="E351" t="inlineStr">
        <is>
          <t>VENEZUELANOS</t>
        </is>
      </c>
      <c r="F351" t="inlineStr">
        <is>
          <t>MATO GROSSO</t>
        </is>
      </c>
      <c r="G351" t="inlineStr">
        <is>
          <t>G1 MT</t>
        </is>
      </c>
      <c r="H351" t="inlineStr">
        <is>
          <t>POLICIAL MILITAR DÁ TAPA NO ROSTO DE VENEZUELANO DURANTE ABORDAGEM EM MT; VEJA VÍDEO</t>
        </is>
      </c>
      <c r="I351" t="inlineStr">
        <is>
          <t>PESSOAS QUE ESTAVAM PRÓXIMO AO LOCAL GRAVARAM O MOMENTO DA AÇÃO. O VENEZUELANO SE IRRITA COM A SITUAÇÃO E DESAFIA O POLICIAL.</t>
        </is>
      </c>
      <c r="J351" t="inlineStr"/>
      <c r="K351" t="n">
        <v>0</v>
      </c>
      <c r="L351" t="n">
        <v>2</v>
      </c>
      <c r="M351" t="n">
        <v>1</v>
      </c>
      <c r="N351" t="n">
        <v>0</v>
      </c>
      <c r="O351" t="n">
        <v>0</v>
      </c>
      <c r="P351">
        <f>HYPERLINK("https://g1.globo.com/mt/mato-grosso/noticia/2021/11/10/policial-militar-da-tapa-no-rosto-de-venezuelano-durante-abordagem-em-barra-do-garcas-mt.ghtml", "URL")</f>
        <v/>
      </c>
      <c r="Q351">
        <f>HYPERLINK("https://raw.githubusercontent.com/marcosmapl/dataset_imigrantes/main/materias_filtered/g1/venezuelanos/2021/10_nov/html/g1_ed615226-231c-11ed-b24f-6dbe51e79fca_3474.html", "HTML")</f>
        <v/>
      </c>
      <c r="R351">
        <f>HYPERLINK("https://raw.githubusercontent.com/marcosmapl/dataset_imigrantes/main/materias_filtered/g1/venezuelanos/2021/10_nov/txt/g1_ed615226-231c-11ed-b24f-6dbe51e79fca_3474.txt", "TXT")</f>
        <v/>
      </c>
    </row>
    <row r="352">
      <c r="A352" s="1" t="n">
        <v>350</v>
      </c>
      <c r="B352" t="n">
        <v>2021</v>
      </c>
      <c r="C352" s="2" t="n">
        <v>44510.42993055555</v>
      </c>
      <c r="D352" t="inlineStr">
        <is>
          <t>A CRITICA</t>
        </is>
      </c>
      <c r="E352" t="inlineStr">
        <is>
          <t>VENEZUELANOS</t>
        </is>
      </c>
      <c r="F352" t="inlineStr"/>
      <c r="G352" t="inlineStr">
        <is>
          <t>PORTAL A CRÍTICA</t>
        </is>
      </c>
      <c r="H352" t="inlineStr">
        <is>
          <t>GRUPO CURUMIM NA LATA COMEMORA 18 ANOS DE ARTE E EDUCAÇÃO COM SHOW EM TEATRO</t>
        </is>
      </c>
      <c r="I352" t="inlineStr">
        <is>
          <t>O PROJETO É EXECUTADO PELA SECRETARIA MUNICIPAL DE EDUCAÇÃO (SEMED), POR MEIO DO CENTRO MUNICIPAL DE ARTE E EDUCAÇÃO (CMAE) ANÍBAL BEÇA, QUE HÁ 19 ANOS DESENVOLVE AÇÕES NA ZONA LESTE</t>
        </is>
      </c>
      <c r="J352" t="inlineStr"/>
      <c r="K352" t="n">
        <v>0</v>
      </c>
      <c r="L352" t="n">
        <v>1</v>
      </c>
      <c r="M352" t="n">
        <v>0</v>
      </c>
      <c r="N352" t="n">
        <v>0</v>
      </c>
      <c r="O352" t="n">
        <v>0</v>
      </c>
      <c r="P352">
        <f>HYPERLINK("https://www.acritica.com/grupo-curumim-na-lata-comemora-18-anos-de-arte-e-educac-o-com-show-em-teatro-1.6357", "URL")</f>
        <v/>
      </c>
      <c r="Q352">
        <f>HYPERLINK("https://raw.githubusercontent.com/marcosmapl/dataset_imigrantes/main/materias_filtered/a_critica/venezuelanos/2021/10_nov/html/1.6357_9.html", "HTML")</f>
        <v/>
      </c>
      <c r="R352">
        <f>HYPERLINK("https://raw.githubusercontent.com/marcosmapl/dataset_imigrantes/main/materias_filtered/a_critica/venezuelanos/2021/10_nov/txt/1.6357_9.txt", "TXT")</f>
        <v/>
      </c>
    </row>
    <row r="353">
      <c r="A353" s="1" t="n">
        <v>351</v>
      </c>
      <c r="B353" t="n">
        <v>2021</v>
      </c>
      <c r="C353" s="2" t="n">
        <v>44506.79049768519</v>
      </c>
      <c r="D353" t="inlineStr">
        <is>
          <t>A CRITICA</t>
        </is>
      </c>
      <c r="E353" t="inlineStr">
        <is>
          <t>VENEZUELANOS</t>
        </is>
      </c>
      <c r="F353" t="inlineStr">
        <is>
          <t>POLICIA</t>
        </is>
      </c>
      <c r="G353" t="inlineStr">
        <is>
          <t>PORTAL A CRÍTICA</t>
        </is>
      </c>
      <c r="H353" t="inlineStr">
        <is>
          <t>VENEZUELANO SUSPEITO DE ASSASSINATO DE FISIOTERAPEUTA É PRESO PELA POLÍCIA CIVIL, EM MANAUS</t>
        </is>
      </c>
      <c r="I353" t="inlineStr">
        <is>
          <t>O CRIME OCORREU EM PORTO VELHO (RO) E O INDIVÍDUO FOI PRESO NA CAPITAL DO ESTADO</t>
        </is>
      </c>
      <c r="J353" t="inlineStr"/>
      <c r="K353" t="n">
        <v>0</v>
      </c>
      <c r="L353" t="n">
        <v>1</v>
      </c>
      <c r="M353" t="n">
        <v>0</v>
      </c>
      <c r="N353" t="n">
        <v>0</v>
      </c>
      <c r="O353" t="n">
        <v>0</v>
      </c>
      <c r="P353">
        <f>HYPERLINK("https://www.acritica.com/policia/venezuelano-suspeito-de-assassinato-de-fisioterapeuta-e-preso-pela-policia-civil-em-manaus-1.7197", "URL")</f>
        <v/>
      </c>
      <c r="Q353">
        <f>HYPERLINK("https://raw.githubusercontent.com/marcosmapl/dataset_imigrantes/main/materias_filtered/a_critica/venezuelanos/2021/10_nov/html/1.7197_551.html", "HTML")</f>
        <v/>
      </c>
      <c r="R353">
        <f>HYPERLINK("https://raw.githubusercontent.com/marcosmapl/dataset_imigrantes/main/materias_filtered/a_critica/venezuelanos/2021/10_nov/txt/1.7197_551.txt", "TXT")</f>
        <v/>
      </c>
    </row>
    <row r="354">
      <c r="A354" s="1" t="n">
        <v>352</v>
      </c>
      <c r="B354" t="n">
        <v>2021</v>
      </c>
      <c r="C354" s="2" t="n">
        <v>44506.74489241898</v>
      </c>
      <c r="D354" t="inlineStr">
        <is>
          <t>G1</t>
        </is>
      </c>
      <c r="E354" t="inlineStr">
        <is>
          <t>VENEZUELANOS</t>
        </is>
      </c>
      <c r="F354" t="inlineStr">
        <is>
          <t>AMAZONAS</t>
        </is>
      </c>
      <c r="G354" t="inlineStr">
        <is>
          <t>G1 AM</t>
        </is>
      </c>
      <c r="H354" t="inlineStr">
        <is>
          <t>VENEZUELANO INVESTIGADO PELA MORTE DE FISIOTERAPEUTA EM PORTO VELHO É PRESO EM MANAUS</t>
        </is>
      </c>
      <c r="I354" t="inlineStr">
        <is>
          <t>O CRIME OCORREU EM PORTO VELHO. SEGUNDO A POLÍCIA, ELE PLANEJAVA FUGIR PARA O EXTERIOR.</t>
        </is>
      </c>
      <c r="J354" t="inlineStr"/>
      <c r="K354" t="n">
        <v>0</v>
      </c>
      <c r="L354" t="n">
        <v>1</v>
      </c>
      <c r="M354" t="n">
        <v>0</v>
      </c>
      <c r="N354" t="n">
        <v>0</v>
      </c>
      <c r="O354" t="n">
        <v>0</v>
      </c>
      <c r="P354">
        <f>HYPERLINK("https://g1.globo.com/am/amazonas/noticia/2021/11/06/venezuelano-investigado-pela-morte-de-fisioterapeuta-em-porto-velho-e-preso-em-manaus.ghtml", "URL")</f>
        <v/>
      </c>
      <c r="Q354">
        <f>HYPERLINK("https://raw.githubusercontent.com/marcosmapl/dataset_imigrantes/main/materias_filtered/g1/venezuelanos/2021/10_nov/html/g1_77f49396-2325-11ed-b24f-6dbe51e79fca_3915.html", "HTML")</f>
        <v/>
      </c>
      <c r="R354">
        <f>HYPERLINK("https://raw.githubusercontent.com/marcosmapl/dataset_imigrantes/main/materias_filtered/g1/venezuelanos/2021/10_nov/txt/g1_77f49396-2325-11ed-b24f-6dbe51e79fca_3915.txt", "TXT")</f>
        <v/>
      </c>
    </row>
    <row r="355">
      <c r="A355" s="1" t="n">
        <v>353</v>
      </c>
      <c r="B355" t="n">
        <v>2021</v>
      </c>
      <c r="C355" s="2" t="n">
        <v>44506.62931940972</v>
      </c>
      <c r="D355" t="inlineStr">
        <is>
          <t>G1</t>
        </is>
      </c>
      <c r="E355" t="inlineStr">
        <is>
          <t>VENEZUELANOS</t>
        </is>
      </c>
      <c r="F355" t="inlineStr">
        <is>
          <t>RONDÔNIA</t>
        </is>
      </c>
      <c r="G355" t="inlineStr">
        <is>
          <t>JHENIFFER NÚBIA, G1 RO</t>
        </is>
      </c>
      <c r="H355" t="inlineStr">
        <is>
          <t>VENEZUELANO É PRESO SUSPEITO DE MATAR FISIOTERAPEUTA A FACADAS EM CAMPO DE FUTEBOL EM PORTO VELHO</t>
        </is>
      </c>
      <c r="I355" t="inlineStr">
        <is>
          <t>VENEZUELANO OSCAR ELOY OROPEZA RUIZ, 22 ANOS, FOI PRESO NA RODOVIÁRIA DE MANAUS. FISIOTERAPEUTA JORGE AUGUSTO BARROSO DA SILVA MORREU APÓS IR URINAR EM CAMPO DE FUTEBOL.</t>
        </is>
      </c>
      <c r="J355" t="inlineStr"/>
      <c r="K355" t="n">
        <v>0</v>
      </c>
      <c r="L355" t="n">
        <v>1</v>
      </c>
      <c r="M355" t="n">
        <v>0</v>
      </c>
      <c r="N355" t="n">
        <v>0</v>
      </c>
      <c r="O355" t="n">
        <v>1</v>
      </c>
      <c r="P355">
        <f>HYPERLINK("https://g1.globo.com/ro/rondonia/noticia/2021/11/06/venezuelano-e-preso-suspeito-de-matar-fisioterapeuta-a-facadas-em-campo-de-futebol-em-porto-velho.ghtml", "URL")</f>
        <v/>
      </c>
      <c r="Q355">
        <f>HYPERLINK("https://raw.githubusercontent.com/marcosmapl/dataset_imigrantes/main/materias_filtered/g1/venezuelanos/2021/10_nov/html/g1_3966073a-2317-11ed-b24f-6dbe51e79fca_3194.html", "HTML")</f>
        <v/>
      </c>
      <c r="R355">
        <f>HYPERLINK("https://raw.githubusercontent.com/marcosmapl/dataset_imigrantes/main/materias_filtered/g1/venezuelanos/2021/10_nov/txt/g1_3966073a-2317-11ed-b24f-6dbe51e79fca_3194.txt", "TXT")</f>
        <v/>
      </c>
    </row>
    <row r="356">
      <c r="A356" s="1" t="n">
        <v>354</v>
      </c>
      <c r="B356" t="n">
        <v>2021</v>
      </c>
      <c r="C356" s="2" t="n">
        <v>44505.90741045139</v>
      </c>
      <c r="D356" t="inlineStr">
        <is>
          <t>G1</t>
        </is>
      </c>
      <c r="E356" t="inlineStr">
        <is>
          <t>HAITIANOS</t>
        </is>
      </c>
      <c r="F356" t="inlineStr">
        <is>
          <t>SÃO PAULO</t>
        </is>
      </c>
      <c r="G356" t="inlineStr">
        <is>
          <t>G1 SP — SÃO PAULO</t>
        </is>
      </c>
      <c r="H356" t="inlineStr">
        <is>
          <t>MOSTRA DE FILMES ESTREIA NESTA SEXTA-FEIRA COM EXIBIÇÃO GRATUITA DE 'LIBÓRIO' NO VÃO LIVRE DO MASP</t>
        </is>
      </c>
      <c r="I356" t="inlineStr">
        <is>
          <t>A MOSTRA NICHO NOVEMBRO TAMBÉM EXIBIRÁ GRATUITAMENTE 15 PRODUÇÕES NACIONAIS E INTERNACIONAIS EM PLATAFORMA DE STREAMING.</t>
        </is>
      </c>
      <c r="J356" t="inlineStr"/>
      <c r="K356" t="n">
        <v>0</v>
      </c>
      <c r="L356" t="n">
        <v>2</v>
      </c>
      <c r="M356" t="n">
        <v>0</v>
      </c>
      <c r="N356" t="n">
        <v>0</v>
      </c>
      <c r="O356" t="n">
        <v>2</v>
      </c>
      <c r="P356">
        <f>HYPERLINK("https://g1.globo.com/sp/sao-paulo/o-que-fazer-em-sao-paulo/noticia/2021/11/05/mostra-de-filmes-estreia-nesta-sexta-feira-com-exibicao-gratuita-de-liborio-no-vao-livre-do-masp.ghtml", "URL")</f>
        <v/>
      </c>
      <c r="Q356">
        <f>HYPERLINK("https://raw.githubusercontent.com/marcosmapl/dataset_imigrantes/main/materias_filtered/g1/haitianos/2021/10_nov/html/g1_cf814510-2306-11ed-b24f-6dbe51e79fca_2279.html", "HTML")</f>
        <v/>
      </c>
      <c r="R356">
        <f>HYPERLINK("https://raw.githubusercontent.com/marcosmapl/dataset_imigrantes/main/materias_filtered/g1/haitianos/2021/10_nov/txt/g1_cf814510-2306-11ed-b24f-6dbe51e79fca_2279.txt", "TXT")</f>
        <v/>
      </c>
    </row>
    <row r="357">
      <c r="A357" s="1" t="n">
        <v>355</v>
      </c>
      <c r="B357" t="n">
        <v>2021</v>
      </c>
      <c r="C357" s="2" t="n">
        <v>44504.48246789352</v>
      </c>
      <c r="D357" t="inlineStr">
        <is>
          <t>G1</t>
        </is>
      </c>
      <c r="E357" t="inlineStr">
        <is>
          <t>VENEZUELANOS</t>
        </is>
      </c>
      <c r="F357" t="inlineStr">
        <is>
          <t>TOCANTINS</t>
        </is>
      </c>
      <c r="G357" t="inlineStr">
        <is>
          <t>EDSON REIS, G1 TOCANTINS</t>
        </is>
      </c>
      <c r="H357" t="inlineStr">
        <is>
          <t>LUTA PELA SOBREVIVÊNCIA E OS DESAFIOS NA EDUCAÇÃO: VEJA COMO VIVEM OS VENEZUELANOS NO TO APÓS DOIS ANOS DE IMIGRAÇÃO</t>
        </is>
      </c>
      <c r="I357" t="inlineStr">
        <is>
          <t>CERCA DE 40 FAMÍLIAS QUE DECIDIRAM FIXAR MORADIA EM PALMAS DIVIDEM ESPAÇO EM LOCAL CEDIDO PELA PREFEITURA. APÓS DOIS ANOS LONGE DAS ESCOLAS, CRIANÇAS FINALMENTE COMEÇARAM A ESTUDAR GRAÇAS A INICIATIVA DO MINISTÉRIO PÚBLICO ESTADUAL.</t>
        </is>
      </c>
      <c r="J357" t="inlineStr"/>
      <c r="K357" t="n">
        <v>0</v>
      </c>
      <c r="L357" t="n">
        <v>3</v>
      </c>
      <c r="M357" t="n">
        <v>2</v>
      </c>
      <c r="N357" t="n">
        <v>0</v>
      </c>
      <c r="O357" t="n">
        <v>10</v>
      </c>
      <c r="P357">
        <f>HYPERLINK("https://g1.globo.com/to/tocantins/noticia/2021/11/04/luta-pela-sobrevivencia-e-os-desafios-na-educacao-veja-como-vivem-os-venezuelanos-no-to-apos-dois-anos-de-imigracao.ghtml", "URL")</f>
        <v/>
      </c>
      <c r="Q357">
        <f>HYPERLINK("https://raw.githubusercontent.com/marcosmapl/dataset_imigrantes/main/materias_filtered/g1/venezuelanos/2021/10_nov/html/g1_8ac19e64-2308-11ed-b24f-6dbe51e79fca_2390.html", "HTML")</f>
        <v/>
      </c>
      <c r="R357">
        <f>HYPERLINK("https://raw.githubusercontent.com/marcosmapl/dataset_imigrantes/main/materias_filtered/g1/venezuelanos/2021/10_nov/txt/g1_8ac19e64-2308-11ed-b24f-6dbe51e79fca_2390.txt", "TXT")</f>
        <v/>
      </c>
    </row>
    <row r="358">
      <c r="A358" s="1" t="n">
        <v>356</v>
      </c>
      <c r="B358" t="n">
        <v>2021</v>
      </c>
      <c r="C358" s="2" t="n">
        <v>44503.95482390047</v>
      </c>
      <c r="D358" t="inlineStr">
        <is>
          <t>G1</t>
        </is>
      </c>
      <c r="E358" t="inlineStr">
        <is>
          <t>VENEZUELANOS</t>
        </is>
      </c>
      <c r="F358" t="inlineStr">
        <is>
          <t>MUNDO</t>
        </is>
      </c>
      <c r="G358" t="inlineStr">
        <is>
          <t>FRANCE PRESSE</t>
        </is>
      </c>
      <c r="H358" t="inlineStr">
        <is>
          <t>TPI ABRE INVESTIGAÇÃO CONTRA VENEZUELA POR CRIMES DE LESA-HUMANIDADE</t>
        </is>
      </c>
      <c r="I358" t="inlineStr">
        <is>
          <t>PROCURADOR DO TRIBUNAL PENAL INTERNACIONAL VISITOU NICOLÁS MADURO EM CARACAS PARA AVALIAR REPRESSÃO A MANIFESTANTES CONTRA O CHAVISMO. PRESIDENTE VENEZUELANO DISSE QUE ENCONTRO FOI CORDIAL E QUE RESPEITA DECISÃO DA CORTE DE HAIA, MAS CRITICA ANÁLISE DE INVESTIGADORES.</t>
        </is>
      </c>
      <c r="J358" t="inlineStr"/>
      <c r="K358" t="n">
        <v>0</v>
      </c>
      <c r="L358" t="n">
        <v>2</v>
      </c>
      <c r="M358" t="n">
        <v>1</v>
      </c>
      <c r="N358" t="n">
        <v>0</v>
      </c>
      <c r="O358" t="n">
        <v>5</v>
      </c>
      <c r="P358">
        <f>HYPERLINK("https://g1.globo.com/mundo/noticia/2021/11/03/tpi-abre-investigacao-contra-venezuela-por-crimes-de-lesa-humanidade.ghtml", "URL")</f>
        <v/>
      </c>
      <c r="Q358">
        <f>HYPERLINK("https://raw.githubusercontent.com/marcosmapl/dataset_imigrantes/main/materias_filtered/g1/venezuelanos/2021/10_nov/html/g1_1a481ddc-230f-11ed-b24f-6dbe51e79fca_2778.html", "HTML")</f>
        <v/>
      </c>
      <c r="R358">
        <f>HYPERLINK("https://raw.githubusercontent.com/marcosmapl/dataset_imigrantes/main/materias_filtered/g1/venezuelanos/2021/10_nov/txt/g1_1a481ddc-230f-11ed-b24f-6dbe51e79fca_2778.txt", "TXT")</f>
        <v/>
      </c>
    </row>
    <row r="359">
      <c r="A359" s="1" t="n">
        <v>357</v>
      </c>
      <c r="B359" t="n">
        <v>2021</v>
      </c>
      <c r="C359" s="2" t="n">
        <v>44503.85404770833</v>
      </c>
      <c r="D359" t="inlineStr">
        <is>
          <t>G1</t>
        </is>
      </c>
      <c r="E359" t="inlineStr">
        <is>
          <t>VENEZUELANOS</t>
        </is>
      </c>
      <c r="F359" t="inlineStr">
        <is>
          <t>RONDÔNIA</t>
        </is>
      </c>
      <c r="G359" t="inlineStr">
        <is>
          <t>G1 RO</t>
        </is>
      </c>
      <c r="H359" t="inlineStr">
        <is>
          <t>MULHERES VENEZUELANAS REALIZAM FEIRA EM PORTO VELHO NA SEXTA (5)</t>
        </is>
      </c>
      <c r="I359" t="inlineStr">
        <is>
          <t>SERÃO VENDIDAS COMIDAS TÍPICAS, DOCES E ARTESANATOS. A FEIRA TAMBÉM VAI CONTAR COM APRESENTAÇÕES DE DANÇA E MÚSICAS.</t>
        </is>
      </c>
      <c r="J359" t="inlineStr"/>
      <c r="K359" t="n">
        <v>0</v>
      </c>
      <c r="L359" t="n">
        <v>4</v>
      </c>
      <c r="M359" t="n">
        <v>0</v>
      </c>
      <c r="N359" t="n">
        <v>0</v>
      </c>
      <c r="O359" t="n">
        <v>1</v>
      </c>
      <c r="P359">
        <f>HYPERLINK("https://g1.globo.com/ro/rondonia/noticia/2021/11/03/mulheres-venezuelanas-realizam-feira-em-porto-velho-na-sexta-5.ghtml", "URL")</f>
        <v/>
      </c>
      <c r="Q359">
        <f>HYPERLINK("https://raw.githubusercontent.com/marcosmapl/dataset_imigrantes/main/materias_filtered/g1/venezuelanos/2021/10_nov/html/g1_af8fa92c-2315-11ed-b24f-6dbe51e79fca_3100.html", "HTML")</f>
        <v/>
      </c>
      <c r="R359">
        <f>HYPERLINK("https://raw.githubusercontent.com/marcosmapl/dataset_imigrantes/main/materias_filtered/g1/venezuelanos/2021/10_nov/txt/g1_af8fa92c-2315-11ed-b24f-6dbe51e79fca_3100.txt", "TXT")</f>
        <v/>
      </c>
    </row>
    <row r="360">
      <c r="A360" s="1" t="n">
        <v>358</v>
      </c>
      <c r="B360" t="n">
        <v>2021</v>
      </c>
      <c r="C360" s="2" t="n">
        <v>44498.95113015046</v>
      </c>
      <c r="D360" t="inlineStr">
        <is>
          <t>G1</t>
        </is>
      </c>
      <c r="E360" t="inlineStr">
        <is>
          <t>VENEZUELANOS</t>
        </is>
      </c>
      <c r="F360" t="inlineStr">
        <is>
          <t>RORAIMA</t>
        </is>
      </c>
      <c r="G360" t="inlineStr">
        <is>
          <t>G1 RR — BOA VISTA</t>
        </is>
      </c>
      <c r="H360" t="inlineStr">
        <is>
          <t>VÍTIMAS DE FACÇÃO VENEZUELANA COM NÚCLEO EM RR FORAM MORTAS EM ACERTOS DE CONTA, DIZ CIVIL</t>
        </is>
      </c>
      <c r="I360" t="inlineStr">
        <is>
          <t>AS CINCO VÍTIMAS, TODAS VENEZUELANAS, TINHAM DÍVIDAS COM A FACÇÃO. UMA DELAS DEIXOU DE PAGAR R$ 10 POR DROGAS. INVESTIGAÇÃO SOBRE AS MORTES MOTIVOU A OPERAÇÃO 'CUCHILLO', DEFLAGRADA NESSA SEXTA-FEIRA (29).</t>
        </is>
      </c>
      <c r="J360" t="inlineStr"/>
      <c r="K360" t="n">
        <v>0</v>
      </c>
      <c r="L360" t="n">
        <v>2</v>
      </c>
      <c r="M360" t="n">
        <v>0</v>
      </c>
      <c r="N360" t="n">
        <v>0</v>
      </c>
      <c r="O360" t="n">
        <v>6</v>
      </c>
      <c r="P360">
        <f>HYPERLINK("https://g1.globo.com/rr/roraima/noticia/2021/10/29/vitimas-de-faccao-venezuelana-com-nucleo-em-rr-foram-mortas-em-acertos-de-conta-diz-civil.ghtml", "URL")</f>
        <v/>
      </c>
      <c r="Q360">
        <f>HYPERLINK("https://raw.githubusercontent.com/marcosmapl/dataset_imigrantes/main/materias_filtered/g1/venezuelanos/2021/09_out/html/g1_13d9a460-2329-11ed-b24f-6dbe51e79fca_4098.html", "HTML")</f>
        <v/>
      </c>
      <c r="R360">
        <f>HYPERLINK("https://raw.githubusercontent.com/marcosmapl/dataset_imigrantes/main/materias_filtered/g1/venezuelanos/2021/09_out/txt/g1_13d9a460-2329-11ed-b24f-6dbe51e79fca_4098.txt", "TXT")</f>
        <v/>
      </c>
    </row>
    <row r="361">
      <c r="A361" s="1" t="n">
        <v>359</v>
      </c>
      <c r="B361" t="n">
        <v>2021</v>
      </c>
      <c r="C361" s="2" t="n">
        <v>44498.65425597222</v>
      </c>
      <c r="D361" t="inlineStr">
        <is>
          <t>G1</t>
        </is>
      </c>
      <c r="E361" t="inlineStr">
        <is>
          <t>VENEZUELANOS</t>
        </is>
      </c>
      <c r="F361" t="inlineStr">
        <is>
          <t>RORAIMA</t>
        </is>
      </c>
      <c r="G361" t="inlineStr">
        <is>
          <t>G1 RR — BOA VISTA</t>
        </is>
      </c>
      <c r="H361" t="inlineStr">
        <is>
          <t>POLÍCIA CIVIL DEFLAGRA OPERAÇÃO CONTRA VENEZUELANOS MEMBROS DE FACÇÃO CRIMINOSA EM RORAIMA</t>
        </is>
      </c>
      <c r="I361" t="inlineStr">
        <is>
          <t>AO TODO, SÃO CUMPRIDOS 17 MANDADOS DE PRISÃO E TRÊS DE BUSCA E APREENSÃO. ALVOS SÃO SUSPEITOS DIRETOS DA EXECUÇÃO DE QUATRO PESSOAS, DAS QUAIS TRÊS DELAS POR ESQUARTEJAMENTO.</t>
        </is>
      </c>
      <c r="J361" t="inlineStr"/>
      <c r="K361" t="n">
        <v>0</v>
      </c>
      <c r="L361" t="n">
        <v>1</v>
      </c>
      <c r="M361" t="n">
        <v>0</v>
      </c>
      <c r="N361" t="n">
        <v>0</v>
      </c>
      <c r="O361" t="n">
        <v>0</v>
      </c>
      <c r="P361">
        <f>HYPERLINK("https://g1.globo.com/rr/roraima/noticia/2021/10/29/policia-civil-deflagra-operacao-contra-venezuelanos-membros-de-faccao-criminosa-em-roraima.ghtml", "URL")</f>
        <v/>
      </c>
      <c r="Q361">
        <f>HYPERLINK("https://raw.githubusercontent.com/marcosmapl/dataset_imigrantes/main/materias_filtered/g1/venezuelanos/2021/09_out/html/g1_359ca276-2312-11ed-b24f-6dbe51e79fca_2956.html", "HTML")</f>
        <v/>
      </c>
      <c r="R361">
        <f>HYPERLINK("https://raw.githubusercontent.com/marcosmapl/dataset_imigrantes/main/materias_filtered/g1/venezuelanos/2021/09_out/txt/g1_359ca276-2312-11ed-b24f-6dbe51e79fca_2956.txt", "TXT")</f>
        <v/>
      </c>
    </row>
    <row r="362">
      <c r="A362" s="1" t="n">
        <v>360</v>
      </c>
      <c r="B362" t="n">
        <v>2021</v>
      </c>
      <c r="C362" s="2" t="n">
        <v>44497.66765267361</v>
      </c>
      <c r="D362" t="inlineStr">
        <is>
          <t>G1</t>
        </is>
      </c>
      <c r="E362" t="inlineStr">
        <is>
          <t>VENEZUELANOS</t>
        </is>
      </c>
      <c r="F362" t="inlineStr">
        <is>
          <t>MINAS GERAIS</t>
        </is>
      </c>
      <c r="G362" t="inlineStr">
        <is>
          <t>ERNANE FIUZA, TV GLOBO — BELO HORIZONTE</t>
        </is>
      </c>
      <c r="H362" t="inlineStr">
        <is>
          <t>MINISTÉRIO PÚBLICO INSPECIONA ABRIGO SÃO PAULO, EM BH, ONDE ESTÁ GRUPO DE INDÍGENAS VENEZUELANOS</t>
        </is>
      </c>
      <c r="I362" t="inlineStr">
        <is>
          <t>INÚMEROS INDÍGENAS ADOECERAM E UMA CRIANÇA DE 1 ANO E 7 MESES MORREU NO ÚLTIMO DIA 22. O MUNICÍPIO VAI TER QUE APRESENTAR UM PLANO DE AÇÃO ATÉ O DIA 12 DE NOVEMBRO.</t>
        </is>
      </c>
      <c r="J362" t="inlineStr"/>
      <c r="K362" t="n">
        <v>0</v>
      </c>
      <c r="L362" t="n">
        <v>2</v>
      </c>
      <c r="M362" t="n">
        <v>1</v>
      </c>
      <c r="N362" t="n">
        <v>0</v>
      </c>
      <c r="O362" t="n">
        <v>6</v>
      </c>
      <c r="P362">
        <f>HYPERLINK("https://g1.globo.com/mg/minas-gerais/noticia/2021/10/28/ministerio-publico-inspeciona-abrigo-sao-paulo-em-bh-onde-esta-grupo-de-indigenas-venezuelanos.ghtml", "URL")</f>
        <v/>
      </c>
      <c r="Q362">
        <f>HYPERLINK("https://raw.githubusercontent.com/marcosmapl/dataset_imigrantes/main/materias_filtered/g1/venezuelanos/2021/09_out/html/g1_54999de6-230d-11ed-b24f-6dbe51e79fca_2681.html", "HTML")</f>
        <v/>
      </c>
      <c r="R362">
        <f>HYPERLINK("https://raw.githubusercontent.com/marcosmapl/dataset_imigrantes/main/materias_filtered/g1/venezuelanos/2021/09_out/txt/g1_54999de6-230d-11ed-b24f-6dbe51e79fca_2681.txt", "TXT")</f>
        <v/>
      </c>
    </row>
    <row r="363">
      <c r="A363" s="1" t="n">
        <v>361</v>
      </c>
      <c r="B363" t="n">
        <v>2021</v>
      </c>
      <c r="C363" s="2" t="n">
        <v>44497.66233796296</v>
      </c>
      <c r="D363" t="inlineStr">
        <is>
          <t>A CRITICA</t>
        </is>
      </c>
      <c r="E363" t="inlineStr">
        <is>
          <t>VENEZUELANOS</t>
        </is>
      </c>
      <c r="F363" t="inlineStr"/>
      <c r="G363" t="inlineStr">
        <is>
          <t>PORTAL A CRÍTICA</t>
        </is>
      </c>
      <c r="H363" t="inlineStr">
        <is>
          <t>HISTÓRIA DE ARTESÃ WARAÓ ESTÁ EM MINIDOCUMENTÁRIO SOBRE OS ARTISTAS DE MOSTRA DE ARTE INDÍGENA</t>
        </is>
      </c>
      <c r="I363" t="inlineStr">
        <is>
          <t>A MOSTRA ACONTECE ATÉ O DIA 29 DE OUTUBRO, NA GALERIA DO PALÁCIO RIO BRANCO, PRAÇA DOM PEDRO II, CENTRO HISTÓRICO</t>
        </is>
      </c>
      <c r="J363" t="inlineStr"/>
      <c r="K363" t="n">
        <v>0</v>
      </c>
      <c r="L363" t="n">
        <v>1</v>
      </c>
      <c r="M363" t="n">
        <v>0</v>
      </c>
      <c r="N363" t="n">
        <v>0</v>
      </c>
      <c r="O363" t="n">
        <v>0</v>
      </c>
      <c r="P363">
        <f>HYPERLINK("https://www.acritica.com/historia-de-artes-warao-esta-em-minidocumentario-sobre-os-artistas-de-mostra-de-arte-indigena-1.7576", "URL")</f>
        <v/>
      </c>
      <c r="Q363">
        <f>HYPERLINK("https://raw.githubusercontent.com/marcosmapl/dataset_imigrantes/main/materias_filtered/a_critica/venezuelanos/2021/09_out/html/1.7576_190.html", "HTML")</f>
        <v/>
      </c>
      <c r="R363">
        <f>HYPERLINK("https://raw.githubusercontent.com/marcosmapl/dataset_imigrantes/main/materias_filtered/a_critica/venezuelanos/2021/09_out/txt/1.7576_190.txt", "TXT")</f>
        <v/>
      </c>
    </row>
    <row r="364">
      <c r="A364" s="1" t="n">
        <v>362</v>
      </c>
      <c r="B364" t="n">
        <v>2021</v>
      </c>
      <c r="C364" s="2" t="n">
        <v>44496.83233957176</v>
      </c>
      <c r="D364" t="inlineStr">
        <is>
          <t>G1</t>
        </is>
      </c>
      <c r="E364" t="inlineStr">
        <is>
          <t>VENEZUELANOS</t>
        </is>
      </c>
      <c r="F364" t="inlineStr">
        <is>
          <t>MUNDO</t>
        </is>
      </c>
      <c r="G364" t="inlineStr">
        <is>
          <t>G1</t>
        </is>
      </c>
      <c r="H364" t="inlineStr">
        <is>
          <t>MADURO CHAMA BOLSONARO DE IMBECIL POR DIZER QUE VACINA PROVOCA AIDS; VEJA VÍDEO</t>
        </is>
      </c>
      <c r="I364" t="inlineStr">
        <is>
          <t>PRESIDENTE VENEZUELANO CRITICOU O BRASILEIRO DURANTE UMA TRANSMISSÃO FEITA PELA TELEVISÃO ESTATAL.</t>
        </is>
      </c>
      <c r="J364" t="inlineStr"/>
      <c r="K364" t="n">
        <v>0</v>
      </c>
      <c r="L364" t="n">
        <v>3</v>
      </c>
      <c r="M364" t="n">
        <v>2</v>
      </c>
      <c r="N364" t="n">
        <v>0</v>
      </c>
      <c r="O364" t="n">
        <v>9</v>
      </c>
      <c r="P364">
        <f>HYPERLINK("https://g1.globo.com/mundo/noticia/2021/10/27/maduro-chama-bolsonaro-de-imbecil-por-dizer-que-vacina-provoca-aids.ghtml", "URL")</f>
        <v/>
      </c>
      <c r="Q364">
        <f>HYPERLINK("https://raw.githubusercontent.com/marcosmapl/dataset_imigrantes/main/materias_filtered/g1/venezuelanos/2021/09_out/html/g1_bf5e7d9e-2313-11ed-b24f-6dbe51e79fca_3023.html", "HTML")</f>
        <v/>
      </c>
      <c r="R364">
        <f>HYPERLINK("https://raw.githubusercontent.com/marcosmapl/dataset_imigrantes/main/materias_filtered/g1/venezuelanos/2021/09_out/txt/g1_bf5e7d9e-2313-11ed-b24f-6dbe51e79fca_3023.txt", "TXT")</f>
        <v/>
      </c>
    </row>
    <row r="365">
      <c r="A365" s="1" t="n">
        <v>363</v>
      </c>
      <c r="B365" t="n">
        <v>2021</v>
      </c>
      <c r="C365" s="2" t="n">
        <v>44496.6936305787</v>
      </c>
      <c r="D365" t="inlineStr">
        <is>
          <t>G1</t>
        </is>
      </c>
      <c r="E365" t="inlineStr">
        <is>
          <t>VENEZUELANOS</t>
        </is>
      </c>
      <c r="F365" t="inlineStr">
        <is>
          <t>MINAS GERAIS</t>
        </is>
      </c>
      <c r="G365" t="inlineStr">
        <is>
          <t>ERNANE FIUZA, TV GLOBO — BELO HORIZONTE</t>
        </is>
      </c>
      <c r="H365" t="inlineStr">
        <is>
          <t>MORTE DE BEBÊ INDÍGENA DE GRUPO VENEZUELANO EM ABRIGO DE BH SERÁ INVESTIGADA, DIZ PREFEITURA</t>
        </is>
      </c>
      <c r="I365" t="inlineStr">
        <is>
          <t>DESDE A CHEGADA DO GRUPO, NO DIA 28 DE SETEMBRO, INÚMEROS INDÍGENAS ADOECERAM. CRIANÇA DE 1 ANO E 7 MESES MORREU NO ÚLTIMO DIA 22. O MUNICÍPIO VAI TER QUE APRESENTAR UM PLANO DE AÇÃO ATÉ O DIA 12 DE NOVEMBRO.</t>
        </is>
      </c>
      <c r="J365" t="inlineStr"/>
      <c r="K365" t="n">
        <v>0</v>
      </c>
      <c r="L365" t="n">
        <v>2</v>
      </c>
      <c r="M365" t="n">
        <v>1</v>
      </c>
      <c r="N365" t="n">
        <v>0</v>
      </c>
      <c r="O365" t="n">
        <v>5</v>
      </c>
      <c r="P365">
        <f>HYPERLINK("https://g1.globo.com/mg/minas-gerais/noticia/2021/10/27/morte-de-bebe-indigena-de-grupo-venezuelano-em-abrigo-de-bh-sera-investigada-diz-prefeitura.ghtml", "URL")</f>
        <v/>
      </c>
      <c r="Q365">
        <f>HYPERLINK("https://raw.githubusercontent.com/marcosmapl/dataset_imigrantes/main/materias_filtered/g1/venezuelanos/2021/09_out/html/g1_6fa8987a-2318-11ed-b24f-6dbe51e79fca_3260.html", "HTML")</f>
        <v/>
      </c>
      <c r="R365">
        <f>HYPERLINK("https://raw.githubusercontent.com/marcosmapl/dataset_imigrantes/main/materias_filtered/g1/venezuelanos/2021/09_out/txt/g1_6fa8987a-2318-11ed-b24f-6dbe51e79fca_3260.txt", "TXT")</f>
        <v/>
      </c>
    </row>
    <row r="366">
      <c r="A366" s="1" t="n">
        <v>364</v>
      </c>
      <c r="B366" t="n">
        <v>2021</v>
      </c>
      <c r="C366" s="2" t="n">
        <v>44495.90396982639</v>
      </c>
      <c r="D366" t="inlineStr">
        <is>
          <t>G1</t>
        </is>
      </c>
      <c r="E366" t="inlineStr">
        <is>
          <t>VENEZUELANOS</t>
        </is>
      </c>
      <c r="F366" t="inlineStr">
        <is>
          <t>MINAS GERAIS</t>
        </is>
      </c>
      <c r="G366" t="inlineStr">
        <is>
          <t>FRED BOTTREL, TV GLOBO — BELO HORIZONTE</t>
        </is>
      </c>
      <c r="H366" t="inlineStr">
        <is>
          <t>BEBÊ INDÍGENA DE GRUPO VENEZUELANO MORRE DE COVID-19 E DEFENSORIA PÚBLICA COBRA PROVIDÊNCIAS</t>
        </is>
      </c>
      <c r="I366" t="inlineStr">
        <is>
          <t>RELATÓRIO DENUNCIA QUE REFUGIADOS ESTÃO "AMONTOADOS EM CONDIÇÕES INSALUBRES". A MAIOR PARTE DO GRUPO É DE MULHERES, GESTANTES E CRIANÇAS. VENEZUELANOS DA ETNIA WARAO ESTÃO EM ABRIGO DESTINADO A PESSOAS SEM-TETO.</t>
        </is>
      </c>
      <c r="J366" t="inlineStr"/>
      <c r="K366" t="n">
        <v>0</v>
      </c>
      <c r="L366" t="n">
        <v>2</v>
      </c>
      <c r="M366" t="n">
        <v>1</v>
      </c>
      <c r="N366" t="n">
        <v>0</v>
      </c>
      <c r="O366" t="n">
        <v>4</v>
      </c>
      <c r="P366">
        <f>HYPERLINK("https://g1.globo.com/mg/minas-gerais/noticia/2021/10/26/bebe-indigena-de-grupo-venezuelano-morre-de-covid-19-e-defensoria-publica-cobra-providencias.ghtml", "URL")</f>
        <v/>
      </c>
      <c r="Q366">
        <f>HYPERLINK("https://raw.githubusercontent.com/marcosmapl/dataset_imigrantes/main/materias_filtered/g1/venezuelanos/2021/09_out/html/g1_dd08b9d8-2311-11ed-b24f-6dbe51e79fca_2938.html", "HTML")</f>
        <v/>
      </c>
      <c r="R366">
        <f>HYPERLINK("https://raw.githubusercontent.com/marcosmapl/dataset_imigrantes/main/materias_filtered/g1/venezuelanos/2021/09_out/txt/g1_dd08b9d8-2311-11ed-b24f-6dbe51e79fca_2938.txt", "TXT")</f>
        <v/>
      </c>
    </row>
    <row r="367">
      <c r="A367" s="1" t="n">
        <v>365</v>
      </c>
      <c r="B367" t="n">
        <v>2021</v>
      </c>
      <c r="C367" s="2" t="n">
        <v>44495.7408431713</v>
      </c>
      <c r="D367" t="inlineStr">
        <is>
          <t>G1</t>
        </is>
      </c>
      <c r="E367" t="inlineStr">
        <is>
          <t>VENEZUELANOS</t>
        </is>
      </c>
      <c r="F367" t="inlineStr">
        <is>
          <t>RORAIMA</t>
        </is>
      </c>
      <c r="G367" t="inlineStr">
        <is>
          <t>G1 RR — BOA VISTA</t>
        </is>
      </c>
      <c r="H367" t="inlineStr">
        <is>
          <t>VENEZUELANO É MORTO A TIROS EM ESTACIONAMENTO DE SUPERMERCADO NA ZONA OESTE DE BOA VISTA</t>
        </is>
      </c>
      <c r="I367" t="inlineStr">
        <is>
          <t>HOLMER EDUARDO CONTRERAS, DE 36 ANOS, FOI MORTO NA NOITE DESSA SEGUNDA-FEIRA (25), NO BAIRRO CARANÃ.</t>
        </is>
      </c>
      <c r="J367" t="inlineStr"/>
      <c r="K367" t="n">
        <v>0</v>
      </c>
      <c r="L367" t="n">
        <v>1</v>
      </c>
      <c r="M367" t="n">
        <v>0</v>
      </c>
      <c r="N367" t="n">
        <v>0</v>
      </c>
      <c r="O367" t="n">
        <v>0</v>
      </c>
      <c r="P367">
        <f>HYPERLINK("https://g1.globo.com/rr/roraima/noticia/2021/10/26/venezuelano-e-morto-a-tiros-em-estacionamento-de-supermercado-na-zona-oeste-de-boa-vista.ghtml", "URL")</f>
        <v/>
      </c>
      <c r="Q367">
        <f>HYPERLINK("https://raw.githubusercontent.com/marcosmapl/dataset_imigrantes/main/materias_filtered/g1/venezuelanos/2021/09_out/html/g1_c278ca40-2311-11ed-b24f-6dbe51e79fca_2933.html", "HTML")</f>
        <v/>
      </c>
      <c r="R367">
        <f>HYPERLINK("https://raw.githubusercontent.com/marcosmapl/dataset_imigrantes/main/materias_filtered/g1/venezuelanos/2021/09_out/txt/g1_c278ca40-2311-11ed-b24f-6dbe51e79fca_2933.txt", "TXT")</f>
        <v/>
      </c>
    </row>
    <row r="368">
      <c r="A368" s="1" t="n">
        <v>366</v>
      </c>
      <c r="B368" t="n">
        <v>2021</v>
      </c>
      <c r="C368" s="2" t="n">
        <v>44495.53451324074</v>
      </c>
      <c r="D368" t="inlineStr">
        <is>
          <t>G1</t>
        </is>
      </c>
      <c r="E368" t="inlineStr">
        <is>
          <t>HAITIANOS</t>
        </is>
      </c>
      <c r="F368" t="inlineStr">
        <is>
          <t>NORTE E NOROESTE</t>
        </is>
      </c>
      <c r="G368" t="inlineStr">
        <is>
          <t>RPC MARINGÁ</t>
        </is>
      </c>
      <c r="H368" t="inlineStr">
        <is>
          <t>EMBAIXADA DO HAITI EM MARINGÁ REALIZA MUTIRÃO PARA REGULARIZAÇÃO DE DOCUMENTOS DE HAITIANOS</t>
        </is>
      </c>
      <c r="I368" t="inlineStr">
        <is>
          <t>AÇÃO OCORRE NESTA TERÇA (26) E TAMBÉM NA QUARTA-FEIRA (27); OBJETIVO É ATENDER COMUNIDADE HAITIANO NA CIDADE E NA REGIÃO QUE PRECISA ATUALIZAR DOCUMENTAÇÃO.</t>
        </is>
      </c>
      <c r="J368" t="inlineStr"/>
      <c r="K368" t="n">
        <v>0</v>
      </c>
      <c r="L368" t="n">
        <v>2</v>
      </c>
      <c r="M368" t="n">
        <v>1</v>
      </c>
      <c r="N368" t="n">
        <v>0</v>
      </c>
      <c r="O368" t="n">
        <v>1</v>
      </c>
      <c r="P368">
        <f>HYPERLINK("https://g1.globo.com/pr/norte-noroeste/noticia/2021/10/26/embaixada-do-haiti-em-maringa-realiza-mutirao-para-regularizacao-de-documentos-de-haitianos.ghtml", "URL")</f>
        <v/>
      </c>
      <c r="Q368">
        <f>HYPERLINK("https://raw.githubusercontent.com/marcosmapl/dataset_imigrantes/main/materias_filtered/g1/haitianos/2021/09_out/html/g1_1f20a064-2322-11ed-b24f-6dbe51e79fca_3735.html", "HTML")</f>
        <v/>
      </c>
      <c r="R368">
        <f>HYPERLINK("https://raw.githubusercontent.com/marcosmapl/dataset_imigrantes/main/materias_filtered/g1/haitianos/2021/09_out/txt/g1_1f20a064-2322-11ed-b24f-6dbe51e79fca_3735.txt", "TXT")</f>
        <v/>
      </c>
    </row>
    <row r="369">
      <c r="A369" s="1" t="n">
        <v>367</v>
      </c>
      <c r="B369" t="n">
        <v>2021</v>
      </c>
      <c r="C369" s="2" t="n">
        <v>44495.33433351852</v>
      </c>
      <c r="D369" t="inlineStr">
        <is>
          <t>G1</t>
        </is>
      </c>
      <c r="E369" t="inlineStr">
        <is>
          <t>VENEZUELANOS</t>
        </is>
      </c>
      <c r="F369" t="inlineStr">
        <is>
          <t>RIO DE JANEIRO</t>
        </is>
      </c>
      <c r="G369" t="inlineStr">
        <is>
          <t>ELIANE SANTOS, G1 RIO</t>
        </is>
      </c>
      <c r="H369" t="inlineStr">
        <is>
          <t>FORAGIDA, VENEZUELANA CASADA COM ‘FARAÓ DOS BITCOINS’ ERA O CÉREBRO POR TRÁS DAS OPERAÇÕES FINANCEIRAS, APONTA DENÚNCIA</t>
        </is>
      </c>
      <c r="I369" t="inlineStr">
        <is>
          <t>MIRELIS YOSELINE DIAZ ZERPA, DE 38 ANOS, ESCAPOU DA PRISÃO NO BRASIL E FUGIU PARA OS EUA. SEGUNDO O MPF, ELA TEM 'AMPLO CONHECIMENTO DO MERCADO DE CRIPTOMOEDAS E ACESSO ÀS CARTEIRAS DE INVESTIMENTO'.</t>
        </is>
      </c>
      <c r="J369" t="inlineStr"/>
      <c r="K369" t="n">
        <v>0</v>
      </c>
      <c r="L369" t="n">
        <v>2</v>
      </c>
      <c r="M369" t="n">
        <v>0</v>
      </c>
      <c r="N369" t="n">
        <v>0</v>
      </c>
      <c r="O369" t="n">
        <v>7</v>
      </c>
      <c r="P369">
        <f>HYPERLINK("https://g1.globo.com/rj/rio-de-janeiro/noticia/2021/10/26/foragida-venezuelana-casada-com-farao-dos-bitcoins-era-o-cerebro-por-tras-das-operacoes-financeiras-aponta-denuncia.ghtml", "URL")</f>
        <v/>
      </c>
      <c r="Q369">
        <f>HYPERLINK("https://raw.githubusercontent.com/marcosmapl/dataset_imigrantes/main/materias_filtered/g1/venezuelanos/2021/09_out/html/g1_baacd2f0-230e-11ed-b24f-6dbe51e79fca_2753.html", "HTML")</f>
        <v/>
      </c>
      <c r="R369">
        <f>HYPERLINK("https://raw.githubusercontent.com/marcosmapl/dataset_imigrantes/main/materias_filtered/g1/venezuelanos/2021/09_out/txt/g1_baacd2f0-230e-11ed-b24f-6dbe51e79fca_2753.txt", "TXT")</f>
        <v/>
      </c>
    </row>
    <row r="370">
      <c r="A370" s="1" t="n">
        <v>368</v>
      </c>
      <c r="B370" t="n">
        <v>2021</v>
      </c>
      <c r="C370" s="2" t="n">
        <v>44494.59140046296</v>
      </c>
      <c r="D370" t="inlineStr">
        <is>
          <t>A CRITICA</t>
        </is>
      </c>
      <c r="E370" t="inlineStr">
        <is>
          <t>VENEZUELANOS</t>
        </is>
      </c>
      <c r="F370" t="inlineStr"/>
      <c r="G370" t="inlineStr">
        <is>
          <t>FILIPE TÁVORA</t>
        </is>
      </c>
      <c r="H370" t="inlineStr">
        <is>
          <t>CORPO DE VENEZUELANO DE 20 ANOS É ENCONTRADO NO CACAU PIRÊRA</t>
        </is>
      </c>
      <c r="I370" t="inlineStr">
        <is>
          <t>SEGUNDO A POLÍCIA CIVIL, CADÁVER DO JOVEM FOI ENCONTRADO COM AS MÃOS E PÉS AMARRADOS. PC ACREDITA EM ACERTO DE CONTAS</t>
        </is>
      </c>
      <c r="J370" t="inlineStr"/>
      <c r="K370" t="n">
        <v>0</v>
      </c>
      <c r="L370" t="n">
        <v>1</v>
      </c>
      <c r="M370" t="n">
        <v>0</v>
      </c>
      <c r="N370" t="n">
        <v>0</v>
      </c>
      <c r="O370" t="n">
        <v>0</v>
      </c>
      <c r="P370">
        <f>HYPERLINK("https://www.acritica.com/corpo-de-venezuelano-de-20-anos-e-encontrado-no-cacau-pirera-1.7735", "URL")</f>
        <v/>
      </c>
      <c r="Q370">
        <f>HYPERLINK("https://raw.githubusercontent.com/marcosmapl/dataset_imigrantes/main/materias_filtered/a_critica/venezuelanos/2021/09_out/html/1.7735_388.html", "HTML")</f>
        <v/>
      </c>
      <c r="R370">
        <f>HYPERLINK("https://raw.githubusercontent.com/marcosmapl/dataset_imigrantes/main/materias_filtered/a_critica/venezuelanos/2021/09_out/txt/1.7735_388.txt", "TXT")</f>
        <v/>
      </c>
    </row>
    <row r="371">
      <c r="A371" s="1" t="n">
        <v>369</v>
      </c>
      <c r="B371" t="n">
        <v>2021</v>
      </c>
      <c r="C371" s="2" t="n">
        <v>44494.41723901621</v>
      </c>
      <c r="D371" t="inlineStr">
        <is>
          <t>G1</t>
        </is>
      </c>
      <c r="E371" t="inlineStr">
        <is>
          <t>VENEZUELANOS</t>
        </is>
      </c>
      <c r="F371" t="inlineStr">
        <is>
          <t>RORAIMA</t>
        </is>
      </c>
      <c r="G371" t="inlineStr">
        <is>
          <t>CAÍQUE RODRIGUES, G1 RR — BOA VISTA</t>
        </is>
      </c>
      <c r="H371" t="inlineStr">
        <is>
          <t>VENEZUELANO PEDALA DO ALASCA ATÉ RORAIMA PARA ARRECADAR FUNDOS PARA INSTITUIÇÃO: 'VIAJAR É MINHA VIDA'</t>
        </is>
      </c>
      <c r="I371" t="inlineStr">
        <is>
          <t>RÓMULO PIZZICA, DE 56 ANOS, JÁ CONHECEU OS SEIS CONTINENTES E MAIS DE 50 PAÍSES APENAS COM SUA BICICLETA. A CAMPANHA DO CICLISTA BUSCA ARRECADAR FUNDOS PARA A FUNDAÇÃO "ALDEAS INFANTILES SOS VENEZUELA", QUE AJUDA CRIANÇAS NO PAÍS.</t>
        </is>
      </c>
      <c r="J371" t="inlineStr"/>
      <c r="K371" t="n">
        <v>0</v>
      </c>
      <c r="L371" t="n">
        <v>2</v>
      </c>
      <c r="M371" t="n">
        <v>1</v>
      </c>
      <c r="N371" t="n">
        <v>0</v>
      </c>
      <c r="O371" t="n">
        <v>2</v>
      </c>
      <c r="P371">
        <f>HYPERLINK("https://g1.globo.com/rr/roraima/noticia/2021/10/25/venezuelano-pedala-do-alasca-ate-roraima-para-arrecadar-fundos-para-instituicao-viajar-e-minha-vida.ghtml", "URL")</f>
        <v/>
      </c>
      <c r="Q371">
        <f>HYPERLINK("https://raw.githubusercontent.com/marcosmapl/dataset_imigrantes/main/materias_filtered/g1/venezuelanos/2021/09_out/html/g1_4595bf70-2315-11ed-b24f-6dbe51e79fca_3076.html", "HTML")</f>
        <v/>
      </c>
      <c r="R371">
        <f>HYPERLINK("https://raw.githubusercontent.com/marcosmapl/dataset_imigrantes/main/materias_filtered/g1/venezuelanos/2021/09_out/txt/g1_4595bf70-2315-11ed-b24f-6dbe51e79fca_3076.txt", "TXT")</f>
        <v/>
      </c>
    </row>
    <row r="372">
      <c r="A372" s="1" t="n">
        <v>370</v>
      </c>
      <c r="B372" t="n">
        <v>2021</v>
      </c>
      <c r="C372" s="2" t="n">
        <v>44492.95738049768</v>
      </c>
      <c r="D372" t="inlineStr">
        <is>
          <t>G1</t>
        </is>
      </c>
      <c r="E372" t="inlineStr">
        <is>
          <t>VENEZUELANOS</t>
        </is>
      </c>
      <c r="F372" t="inlineStr">
        <is>
          <t>MINAS GERAIS</t>
        </is>
      </c>
      <c r="G372" t="inlineStr">
        <is>
          <t>MG2 — BELO HORIZONTE</t>
        </is>
      </c>
      <c r="H372" t="inlineStr">
        <is>
          <t>EM TRÊS ANOS, QUASE 300 REFUGIADOS VENEZUELANOS SÃO ACOLHIDOS EM BELO HORIZONTE</t>
        </is>
      </c>
      <c r="I372" t="inlineStr">
        <is>
          <t>NESTE DOMINGO, UM GRUPO COM 21 HOMENS CHEGA À CAPITAL.</t>
        </is>
      </c>
      <c r="J372" t="inlineStr"/>
      <c r="K372" t="n">
        <v>0</v>
      </c>
      <c r="L372" t="n">
        <v>2</v>
      </c>
      <c r="M372" t="n">
        <v>1</v>
      </c>
      <c r="N372" t="n">
        <v>0</v>
      </c>
      <c r="O372" t="n">
        <v>4</v>
      </c>
      <c r="P372">
        <f>HYPERLINK("https://g1.globo.com/mg/minas-gerais/noticia/2021/10/23/em-tres-anos-quase-300-refugiados-venezuelanos-sao-acolhidos-em-belo-horizonte.ghtml", "URL")</f>
        <v/>
      </c>
      <c r="Q372">
        <f>HYPERLINK("https://raw.githubusercontent.com/marcosmapl/dataset_imigrantes/main/materias_filtered/g1/venezuelanos/2021/09_out/html/g1_2d6219b4-2322-11ed-b24f-6dbe51e79fca_3739.html", "HTML")</f>
        <v/>
      </c>
      <c r="R372">
        <f>HYPERLINK("https://raw.githubusercontent.com/marcosmapl/dataset_imigrantes/main/materias_filtered/g1/venezuelanos/2021/09_out/txt/g1_2d6219b4-2322-11ed-b24f-6dbe51e79fca_3739.txt", "TXT")</f>
        <v/>
      </c>
    </row>
    <row r="373">
      <c r="A373" s="1" t="n">
        <v>371</v>
      </c>
      <c r="B373" t="n">
        <v>2021</v>
      </c>
      <c r="C373" s="2" t="n">
        <v>44492.7195775</v>
      </c>
      <c r="D373" t="inlineStr">
        <is>
          <t>G1</t>
        </is>
      </c>
      <c r="E373" t="inlineStr">
        <is>
          <t>VENEZUELANOS</t>
        </is>
      </c>
      <c r="F373" t="inlineStr">
        <is>
          <t>RONDÔNIA</t>
        </is>
      </c>
      <c r="G373" t="inlineStr">
        <is>
          <t>G1 RO</t>
        </is>
      </c>
      <c r="H373" t="inlineStr">
        <is>
          <t>TRAFICANTE QUE SE PASSAVA POR MONTADOR DE MÓVEIS ACABA PRESO EM OPERAÇÃO POLICIAL EM NOVA MAMORÉ, RO</t>
        </is>
      </c>
      <c r="I373" t="inlineStr">
        <is>
          <t>HOMEM DE 28 ANOS ERA CONSIDERADO UM DOS MAIORES VENDEDORES DE DROGAS NA CIDADE. POLÍCIA CIVIL PRENDEU UM VENEZUELANO POR TRÁFICO NA MESMA AÇÃO.</t>
        </is>
      </c>
      <c r="J373" t="inlineStr"/>
      <c r="K373" t="n">
        <v>0</v>
      </c>
      <c r="L373" t="n">
        <v>2</v>
      </c>
      <c r="M373" t="n">
        <v>0</v>
      </c>
      <c r="N373" t="n">
        <v>0</v>
      </c>
      <c r="O373" t="n">
        <v>0</v>
      </c>
      <c r="P373">
        <f>HYPERLINK("https://g1.globo.com/ro/rondonia/noticia/2021/10/23/traficante-que-se-passava-por-montador-de-moveis-acaba-preso-em-operacao-policial-em-nova-mamore-ro.ghtml", "URL")</f>
        <v/>
      </c>
      <c r="Q373">
        <f>HYPERLINK("https://raw.githubusercontent.com/marcosmapl/dataset_imigrantes/main/materias_filtered/g1/venezuelanos/2021/09_out/html/g1_f5c21a38-231f-11ed-b24f-6dbe51e79fca_3654.html", "HTML")</f>
        <v/>
      </c>
      <c r="R373">
        <f>HYPERLINK("https://raw.githubusercontent.com/marcosmapl/dataset_imigrantes/main/materias_filtered/g1/venezuelanos/2021/09_out/txt/g1_f5c21a38-231f-11ed-b24f-6dbe51e79fca_3654.txt", "TXT")</f>
        <v/>
      </c>
    </row>
    <row r="374">
      <c r="A374" s="1" t="n">
        <v>372</v>
      </c>
      <c r="B374" t="n">
        <v>2021</v>
      </c>
      <c r="C374" s="2" t="n">
        <v>44492.58888888889</v>
      </c>
      <c r="D374" t="inlineStr">
        <is>
          <t>A CRITICA</t>
        </is>
      </c>
      <c r="E374" t="inlineStr">
        <is>
          <t>VENEZUELANOS</t>
        </is>
      </c>
      <c r="F374" t="inlineStr"/>
      <c r="G374" t="inlineStr">
        <is>
          <t>LUCAS VASCONCELOS</t>
        </is>
      </c>
      <c r="H374" t="inlineStr">
        <is>
          <t>'ACOLHEDORA E CHEIA DE OPORTUNIDADES', AFIRMA ADVOGADO IMIGRANTE VENEZUELANO SOBRE MANAUS</t>
        </is>
      </c>
      <c r="I374" t="inlineStr">
        <is>
          <t>MAIS DE 5 MILHÕES DE REFUGIADOS VENEZUELANOS ESTÃO ESPALHADOS AO REDOR DO MUNDO, SEGUNDO DADOS DA AGÊNCIA DE NAÇÕES UNIDAS PARA OS REFUGIADOS (ACNUR)</t>
        </is>
      </c>
      <c r="J374" t="inlineStr"/>
      <c r="K374" t="n">
        <v>0</v>
      </c>
      <c r="L374" t="n">
        <v>1</v>
      </c>
      <c r="M374" t="n">
        <v>0</v>
      </c>
      <c r="N374" t="n">
        <v>0</v>
      </c>
      <c r="O374" t="n">
        <v>0</v>
      </c>
      <c r="P374">
        <f>HYPERLINK("https://www.acritica.com/acolhedora-e-cheia-de-oportunidades-afirma-advogado-imigrante-venezuelano-sobre-manaus-1.5962", "URL")</f>
        <v/>
      </c>
      <c r="Q374">
        <f>HYPERLINK("https://raw.githubusercontent.com/marcosmapl/dataset_imigrantes/main/materias_filtered/a_critica/venezuelanos/2021/09_out/html/1.5962_1261.html", "HTML")</f>
        <v/>
      </c>
      <c r="R374">
        <f>HYPERLINK("https://raw.githubusercontent.com/marcosmapl/dataset_imigrantes/main/materias_filtered/a_critica/venezuelanos/2021/09_out/txt/1.5962_1261.txt", "TXT")</f>
        <v/>
      </c>
    </row>
    <row r="375">
      <c r="A375" s="1" t="n">
        <v>373</v>
      </c>
      <c r="B375" t="n">
        <v>2021</v>
      </c>
      <c r="C375" s="2" t="n">
        <v>44490.55380637731</v>
      </c>
      <c r="D375" t="inlineStr">
        <is>
          <t>G1</t>
        </is>
      </c>
      <c r="E375" t="inlineStr">
        <is>
          <t>HAITIANOS</t>
        </is>
      </c>
      <c r="F375" t="inlineStr">
        <is>
          <t>MUNDO</t>
        </is>
      </c>
      <c r="G375" t="inlineStr">
        <is>
          <t>BBC</t>
        </is>
      </c>
      <c r="H375" t="inlineStr">
        <is>
          <t>'FORAM 4 DIAS SÓ COM LEITE E ÁGUA': O DRAMA DAS CRIANÇAS BRASILEIRAS DEPORTADAS AO HAITI QUE O BRASIL QUER REPATRIAR</t>
        </is>
      </c>
      <c r="I375" t="inlineStr">
        <is>
          <t>84 CRIANÇAS BRASILEIRAS FORAM ENVIADAS PARA O HAITI PELOS EUA, E GOVERNO BRASILEIRO QUER TRAZÊ-LAS AO BRASIL EM DEZ DIAS. NO MÉXICO, HÁ OUTRAS 1,7 MIL CRIANÇAS HAITIANO-BRASILEIRAS QUE PODEM CRUZAR A FRONTEIRA COM OS EUA A QUALQUER MOMENTO.</t>
        </is>
      </c>
      <c r="J375" t="inlineStr"/>
      <c r="K375" t="n">
        <v>0</v>
      </c>
      <c r="L375" t="n">
        <v>2</v>
      </c>
      <c r="M375" t="n">
        <v>0</v>
      </c>
      <c r="N375" t="n">
        <v>0</v>
      </c>
      <c r="O375" t="n">
        <v>13</v>
      </c>
      <c r="P375">
        <f>HYPERLINK("https://g1.globo.com/mundo/noticia/2021/10/21/foram-4-dias-so-com-leite-e-agua-o-drama-das-criancas-brasileiras-deportadas-ao-haiti-que-o-brasil-quer-repatriar.ghtml", "URL")</f>
        <v/>
      </c>
      <c r="Q375">
        <f>HYPERLINK("https://raw.githubusercontent.com/marcosmapl/dataset_imigrantes/main/materias_filtered/g1/haitianos/2021/09_out/html/g1_cfa16aec-22f8-11ed-b24f-6dbe51e79fca_2159.html", "HTML")</f>
        <v/>
      </c>
      <c r="R375">
        <f>HYPERLINK("https://raw.githubusercontent.com/marcosmapl/dataset_imigrantes/main/materias_filtered/g1/haitianos/2021/09_out/txt/g1_cfa16aec-22f8-11ed-b24f-6dbe51e79fca_2159.txt", "TXT")</f>
        <v/>
      </c>
    </row>
    <row r="376">
      <c r="A376" s="1" t="n">
        <v>374</v>
      </c>
      <c r="B376" t="n">
        <v>2021</v>
      </c>
      <c r="C376" s="2" t="n">
        <v>44489.71593805555</v>
      </c>
      <c r="D376" t="inlineStr">
        <is>
          <t>G1</t>
        </is>
      </c>
      <c r="E376" t="inlineStr">
        <is>
          <t>HAITIANOS</t>
        </is>
      </c>
      <c r="F376" t="inlineStr">
        <is>
          <t>SANTA CATARINA</t>
        </is>
      </c>
      <c r="G376" t="inlineStr">
        <is>
          <t>CAROLINE BORGES, SABRINA QUARINIRI E GULHERME BARBOSA, G1 SC, NSC E NSC TV</t>
        </is>
      </c>
      <c r="H376" t="inlineStr">
        <is>
          <t>DENÚNCIA DE XENOFOBIA CONTRA FUNCIONÁRIO HAITIANO DE INDÚSTRIA EM SC É INVESTIGADA PELA POLÍCIA</t>
        </is>
      </c>
      <c r="I376" t="inlineStr">
        <is>
          <t>MAKENDRO LOUTE, 30 ANOS, DISSE QUE FOI VÍTIMA DE PRECONCEITO NA INDÚSTRIA EM QUE TRABALHA, NO DIA 6 DE OUTUBRO. ELE FEZ UM BOLETIM DE OCORRÊNCIA.</t>
        </is>
      </c>
      <c r="J376" t="inlineStr"/>
      <c r="K376" t="n">
        <v>0</v>
      </c>
      <c r="L376" t="n">
        <v>2</v>
      </c>
      <c r="M376" t="n">
        <v>1</v>
      </c>
      <c r="N376" t="n">
        <v>0</v>
      </c>
      <c r="O376" t="n">
        <v>5</v>
      </c>
      <c r="P376">
        <f>HYPERLINK("https://g1.globo.com/sc/santa-catarina/noticia/2021/10/20/denuncia-de-xenofobia-contra-funcionario-haitiano-de-industria-em-joinville-e-investigada-pela-policia.ghtml", "URL")</f>
        <v/>
      </c>
      <c r="Q376">
        <f>HYPERLINK("https://raw.githubusercontent.com/marcosmapl/dataset_imigrantes/main/materias_filtered/g1/haitianos/2021/09_out/html/g1_7f97285e-22f6-11ed-b24f-6dbe51e79fca_2017.html", "HTML")</f>
        <v/>
      </c>
      <c r="R376">
        <f>HYPERLINK("https://raw.githubusercontent.com/marcosmapl/dataset_imigrantes/main/materias_filtered/g1/haitianos/2021/09_out/txt/g1_7f97285e-22f6-11ed-b24f-6dbe51e79fca_2017.txt", "TXT")</f>
        <v/>
      </c>
    </row>
    <row r="377">
      <c r="A377" s="1" t="n">
        <v>375</v>
      </c>
      <c r="B377" t="n">
        <v>2021</v>
      </c>
      <c r="C377" s="2" t="n">
        <v>44489.04352521991</v>
      </c>
      <c r="D377" t="inlineStr">
        <is>
          <t>G1</t>
        </is>
      </c>
      <c r="E377" t="inlineStr">
        <is>
          <t>VENEZUELANOS</t>
        </is>
      </c>
      <c r="F377" t="inlineStr">
        <is>
          <t>MUNDO</t>
        </is>
      </c>
      <c r="G377" t="inlineStr">
        <is>
          <t>G1</t>
        </is>
      </c>
      <c r="H377" t="inlineStr">
        <is>
          <t>SELEÇÃO BRASILEIRA VOOU COM EMPRESA AÉREA DE CAPITAL VENEZUELANO MONITORADA POR AUTORIDADES, DIZ JORNAL</t>
        </is>
      </c>
      <c r="I377" t="inlineStr">
        <is>
          <t>A GCA AIRLINES TEM HISTÓRICO DE FALTA DE PAGAMENTO A FUNCIONÁRIOS, SEGUNDO APUROU O 'EL TIEMPO'. COMPANHIA É AFILIADA DE EMPRESA VENEZUELANA EM 'LISTA NEGRA' DOS EUA E DA UNIÃO EUROPEIA POR FALTA DE SEGURANÇA E POR LIGAÇÕES COM O GOVERNO DE NICOLÁS MADURO.</t>
        </is>
      </c>
      <c r="J377" t="inlineStr"/>
      <c r="K377" t="n">
        <v>0</v>
      </c>
      <c r="L377" t="n">
        <v>2</v>
      </c>
      <c r="M377" t="n">
        <v>1</v>
      </c>
      <c r="N377" t="n">
        <v>0</v>
      </c>
      <c r="O377" t="n">
        <v>6</v>
      </c>
      <c r="P377">
        <f>HYPERLINK("https://g1.globo.com/mundo/noticia/2021/10/19/selecao-brasileira-voou-com-empresa-aerea-de-capital-venezuelano-monitorada-por-autoridades-diz-jornal.ghtml", "URL")</f>
        <v/>
      </c>
      <c r="Q377">
        <f>HYPERLINK("https://raw.githubusercontent.com/marcosmapl/dataset_imigrantes/main/materias_filtered/g1/venezuelanos/2021/09_out/html/g1_ac382f00-230c-11ed-b24f-6dbe51e79fca_2640.html", "HTML")</f>
        <v/>
      </c>
      <c r="R377">
        <f>HYPERLINK("https://raw.githubusercontent.com/marcosmapl/dataset_imigrantes/main/materias_filtered/g1/venezuelanos/2021/09_out/txt/g1_ac382f00-230c-11ed-b24f-6dbe51e79fca_2640.txt", "TXT")</f>
        <v/>
      </c>
    </row>
    <row r="378">
      <c r="A378" s="1" t="n">
        <v>376</v>
      </c>
      <c r="B378" t="n">
        <v>2021</v>
      </c>
      <c r="C378" s="2" t="n">
        <v>44488.93081018519</v>
      </c>
      <c r="D378" t="inlineStr">
        <is>
          <t>A CRITICA</t>
        </is>
      </c>
      <c r="E378" t="inlineStr">
        <is>
          <t>HAITIANOS</t>
        </is>
      </c>
      <c r="F378" t="inlineStr"/>
      <c r="G378" t="inlineStr">
        <is>
          <t>AFP</t>
        </is>
      </c>
      <c r="H378" t="inlineStr">
        <is>
          <t>GANGUE EXIGE R$ 95 MILHÕES PARA LIBERAÇÃO DE MISSIONÁRIOS SEQUESTRADOS NO HAITI</t>
        </is>
      </c>
      <c r="I378" t="inlineStr">
        <is>
          <t>AS GANGUES ASSUMIRAM O CONTROLE DE BOA PARTE DE PORTO PRÍNCIPE, QUE TAMBÉM SOFRE COM UMA CRISE POLÍTICA CRESCENTE, AMPLIFICADA PELO ASSASSINATO DO PRESIDENTE JOVENEL MOISE</t>
        </is>
      </c>
      <c r="J378" t="inlineStr"/>
      <c r="K378" t="n">
        <v>0</v>
      </c>
      <c r="L378" t="n">
        <v>1</v>
      </c>
      <c r="M378" t="n">
        <v>0</v>
      </c>
      <c r="N378" t="n">
        <v>0</v>
      </c>
      <c r="O378" t="n">
        <v>0</v>
      </c>
      <c r="P378">
        <f>HYPERLINK("https://www.acritica.com/gangue-exige-r-95-milh-es-para-liberac-o-de-missionarios-sequestrados-no-haiti-1.6629", "URL")</f>
        <v/>
      </c>
      <c r="Q378">
        <f>HYPERLINK("https://raw.githubusercontent.com/marcosmapl/dataset_imigrantes/main/materias_filtered/a_critica/haitianos/2021/09_out/html/1.6629_1211.html", "HTML")</f>
        <v/>
      </c>
      <c r="R378">
        <f>HYPERLINK("https://raw.githubusercontent.com/marcosmapl/dataset_imigrantes/main/materias_filtered/a_critica/haitianos/2021/09_out/txt/1.6629_1211.txt", "TXT")</f>
        <v/>
      </c>
    </row>
    <row r="379">
      <c r="A379" s="1" t="n">
        <v>377</v>
      </c>
      <c r="B379" t="n">
        <v>2021</v>
      </c>
      <c r="C379" s="2" t="n">
        <v>44487.04243847222</v>
      </c>
      <c r="D379" t="inlineStr">
        <is>
          <t>G1</t>
        </is>
      </c>
      <c r="E379" t="inlineStr">
        <is>
          <t>HAITIANOS</t>
        </is>
      </c>
      <c r="F379" t="inlineStr">
        <is>
          <t>MUNDO</t>
        </is>
      </c>
      <c r="G379" t="inlineStr">
        <is>
          <t>FRANCE PRESSE</t>
        </is>
      </c>
      <c r="H379" t="inlineStr">
        <is>
          <t>MISSIONÁRIOS AMERICANOS SÃO SEQUESTRADOS NO HAITI</t>
        </is>
      </c>
      <c r="I379" t="inlineStr">
        <is>
          <t>MISSIONÁRIOS FORAM CAPTURADOS COM FAMILIARES QUANDO RETORNAVAM DA VISITA A UM ORFANATO. SEQUESTRO OCORREU PERTO DA CAPITAL E TAMBÉM TEM CRIANÇAS COMO VÍTIMAS.</t>
        </is>
      </c>
      <c r="J379" t="inlineStr"/>
      <c r="K379" t="n">
        <v>0</v>
      </c>
      <c r="L379" t="n">
        <v>1</v>
      </c>
      <c r="M379" t="n">
        <v>1</v>
      </c>
      <c r="N379" t="n">
        <v>0</v>
      </c>
      <c r="O379" t="n">
        <v>0</v>
      </c>
      <c r="P379">
        <f>HYPERLINK("https://g1.globo.com/mundo/noticia/2021/10/17/17-missionarios-americanos-sao-sequestrados-no-haiti.ghtml", "URL")</f>
        <v/>
      </c>
      <c r="Q379">
        <f>HYPERLINK("https://raw.githubusercontent.com/marcosmapl/dataset_imigrantes/main/materias_filtered/g1/haitianos/2021/09_out/html/g1_8b5262ec-2316-11ed-b24f-6dbe51e79fca_3154.html", "HTML")</f>
        <v/>
      </c>
      <c r="R379">
        <f>HYPERLINK("https://raw.githubusercontent.com/marcosmapl/dataset_imigrantes/main/materias_filtered/g1/haitianos/2021/09_out/txt/g1_8b5262ec-2316-11ed-b24f-6dbe51e79fca_3154.txt", "TXT")</f>
        <v/>
      </c>
    </row>
    <row r="380">
      <c r="A380" s="1" t="n">
        <v>378</v>
      </c>
      <c r="B380" t="n">
        <v>2021</v>
      </c>
      <c r="C380" s="2" t="n">
        <v>44486.88477892361</v>
      </c>
      <c r="D380" t="inlineStr">
        <is>
          <t>G1</t>
        </is>
      </c>
      <c r="E380" t="inlineStr">
        <is>
          <t>VENEZUELANOS</t>
        </is>
      </c>
      <c r="F380" t="inlineStr">
        <is>
          <t>RORAIMA</t>
        </is>
      </c>
      <c r="G380" t="inlineStr">
        <is>
          <t>G1 RR — BOA VISTA</t>
        </is>
      </c>
      <c r="H380" t="inlineStr">
        <is>
          <t>OPERAÇÃO DA PF EM RR CONTRA CONTRABANDO DE OURO PRENDEU VENEZUELANO NA LISTA DA INTERPOL</t>
        </is>
      </c>
      <c r="I380" t="inlineStr">
        <is>
          <t>SEGUNDO A PF, ANTÔNIO FERNANDEZ SOTO É CHEFE DO GRUPO QUE IMPORTOU 100 KG DE OURO E USAVA TERRAS INDÍGENAS DE RORAIMA COMO ROTA PARA COMERCIALIZAR O METAL.</t>
        </is>
      </c>
      <c r="J380" t="inlineStr"/>
      <c r="K380" t="n">
        <v>0</v>
      </c>
      <c r="L380" t="n">
        <v>2</v>
      </c>
      <c r="M380" t="n">
        <v>1</v>
      </c>
      <c r="N380" t="n">
        <v>0</v>
      </c>
      <c r="O380" t="n">
        <v>1</v>
      </c>
      <c r="P380">
        <f>HYPERLINK("https://g1.globo.com/rr/roraima/noticia/2021/10/17/operacao-da-pf-em-rr-contra-contrabando-de-ouro-prendeu-venezuelano-na-lista-da-interpol.ghtml", "URL")</f>
        <v/>
      </c>
      <c r="Q380">
        <f>HYPERLINK("https://raw.githubusercontent.com/marcosmapl/dataset_imigrantes/main/materias_filtered/g1/venezuelanos/2021/09_out/html/g1_fa285d2e-2308-11ed-b24f-6dbe51e79fca_2417.html", "HTML")</f>
        <v/>
      </c>
      <c r="R380">
        <f>HYPERLINK("https://raw.githubusercontent.com/marcosmapl/dataset_imigrantes/main/materias_filtered/g1/venezuelanos/2021/09_out/txt/g1_fa285d2e-2308-11ed-b24f-6dbe51e79fca_2417.txt", "TXT")</f>
        <v/>
      </c>
    </row>
    <row r="381">
      <c r="A381" s="1" t="n">
        <v>379</v>
      </c>
      <c r="B381" t="n">
        <v>2021</v>
      </c>
      <c r="C381" s="2" t="n">
        <v>44486.35339327547</v>
      </c>
      <c r="D381" t="inlineStr">
        <is>
          <t>G1</t>
        </is>
      </c>
      <c r="E381" t="inlineStr">
        <is>
          <t>HAITIANOS</t>
        </is>
      </c>
      <c r="F381" t="inlineStr">
        <is>
          <t>MUNDO</t>
        </is>
      </c>
      <c r="G381" t="inlineStr">
        <is>
          <t>G1</t>
        </is>
      </c>
      <c r="H381" t="inlineStr">
        <is>
          <t>MISSIONÁRIOS AMERICANOS SÃO SEQUESTRADOS POR GANGUE NO HAITI</t>
        </is>
      </c>
      <c r="I381" t="inlineStr">
        <is>
          <t>17 CRISTÃOS, ENTRE HOMENS, MULHERES E CRIANÇAS (3), FORAM LEVADOS APÓS GRUPO DEIXAR UM ORFANATO NAS IMEDIAÇÕES DA CAPITAL PORTO PRÍNCIPE.</t>
        </is>
      </c>
      <c r="J381" t="inlineStr"/>
      <c r="K381" t="n">
        <v>0</v>
      </c>
      <c r="L381" t="n">
        <v>1</v>
      </c>
      <c r="M381" t="n">
        <v>0</v>
      </c>
      <c r="N381" t="n">
        <v>0</v>
      </c>
      <c r="O381" t="n">
        <v>5</v>
      </c>
      <c r="P381">
        <f>HYPERLINK("https://g1.globo.com/mundo/noticia/2021/10/17/missionarios-americanos-sao-sequestrados-por-gangue-no-haiti.ghtml", "URL")</f>
        <v/>
      </c>
      <c r="Q381">
        <f>HYPERLINK("https://raw.githubusercontent.com/marcosmapl/dataset_imigrantes/main/materias_filtered/g1/haitianos/2021/09_out/html/g1_d708752c-2308-11ed-b24f-6dbe51e79fca_2407.html", "HTML")</f>
        <v/>
      </c>
      <c r="R381">
        <f>HYPERLINK("https://raw.githubusercontent.com/marcosmapl/dataset_imigrantes/main/materias_filtered/g1/haitianos/2021/09_out/txt/g1_d708752c-2308-11ed-b24f-6dbe51e79fca_2407.txt", "TXT")</f>
        <v/>
      </c>
    </row>
    <row r="382">
      <c r="A382" s="1" t="n">
        <v>380</v>
      </c>
      <c r="B382" t="n">
        <v>2021</v>
      </c>
      <c r="C382" s="2" t="n">
        <v>44484.74661739583</v>
      </c>
      <c r="D382" t="inlineStr">
        <is>
          <t>G1</t>
        </is>
      </c>
      <c r="E382" t="inlineStr">
        <is>
          <t>HAITIANOS</t>
        </is>
      </c>
      <c r="F382" t="inlineStr">
        <is>
          <t>CAMPINAS E REGIÃO</t>
        </is>
      </c>
      <c r="G382" t="inlineStr">
        <is>
          <t>EPTV 1</t>
        </is>
      </c>
      <c r="H382" t="inlineStr">
        <is>
          <t>HAITIANA QUE MORA NO BRASIL REENCONTRA FILHO DE 11 ANOS APÓS PERMISSÃO JUDICIAL PARA ADOLESCENTE VIAJAR AO PAÍS; VÍDEO</t>
        </is>
      </c>
      <c r="I382" t="inlineStr">
        <is>
          <t>GRUPO DE CERCA DE 170 MORADORES DO HAITI DESEMBARCARAM EM CAMPINAS APÓS OBTER DECISÃO FAVORÁVEL PARA ENTRAREM NO PAÍS MESMO SEM VISTO. JUSTIÇA CONSIDEROU CRISE HUMANITÁRIA.</t>
        </is>
      </c>
      <c r="J382" t="inlineStr"/>
      <c r="K382" t="n">
        <v>0</v>
      </c>
      <c r="L382" t="n">
        <v>3</v>
      </c>
      <c r="M382" t="n">
        <v>1</v>
      </c>
      <c r="N382" t="n">
        <v>0</v>
      </c>
      <c r="O382" t="n">
        <v>4</v>
      </c>
      <c r="P382">
        <f>HYPERLINK("https://g1.globo.com/sp/campinas-regiao/noticia/2021/10/15/haitiana-que-mora-no-brasil-reencontra-filho-de-11-anos-apos-permissao-judicial-para-adolescente-viajar-ao-pais-video.ghtml", "URL")</f>
        <v/>
      </c>
      <c r="Q382">
        <f>HYPERLINK("https://raw.githubusercontent.com/marcosmapl/dataset_imigrantes/main/materias_filtered/g1/haitianos/2021/09_out/html/g1_1a433eee-2318-11ed-b24f-6dbe51e79fca_3243.html", "HTML")</f>
        <v/>
      </c>
      <c r="R382">
        <f>HYPERLINK("https://raw.githubusercontent.com/marcosmapl/dataset_imigrantes/main/materias_filtered/g1/haitianos/2021/09_out/txt/g1_1a433eee-2318-11ed-b24f-6dbe51e79fca_3243.txt", "TXT")</f>
        <v/>
      </c>
    </row>
    <row r="383">
      <c r="A383" s="1" t="n">
        <v>381</v>
      </c>
      <c r="B383" t="n">
        <v>2021</v>
      </c>
      <c r="C383" s="2" t="n">
        <v>44484.56071449074</v>
      </c>
      <c r="D383" t="inlineStr">
        <is>
          <t>G1</t>
        </is>
      </c>
      <c r="E383" t="inlineStr">
        <is>
          <t>HAITIANOS</t>
        </is>
      </c>
      <c r="F383" t="inlineStr">
        <is>
          <t>CAMPINAS E REGIÃO</t>
        </is>
      </c>
      <c r="G383" t="inlineStr">
        <is>
          <t>G1 CAMPINAS E REGIÃO</t>
        </is>
      </c>
      <c r="H383" t="inlineStr">
        <is>
          <t>CERCA DE 170 HAITIANOS COM PERMISSÃO JUDICIAL PARA INGRESSAR SEM VISTO NO BRASIL DESEMBARCAM EM VIRACOPOS</t>
        </is>
      </c>
      <c r="I383" t="inlineStr">
        <is>
          <t>GRUPO OBTEVE DECISÃO PORQUE POSSUI FAMILIARES NO PAÍS, E JUSTIÇA CONSIDEROU CRISE HUMANITÁRIA DO HAITI, ALÉM DE DIFICULDADES PARA CONSEGUIR O DOCUMENTO. CRIANÇAS VIVEM SOB CONDIÇÕES PRECÁRIAS.</t>
        </is>
      </c>
      <c r="J383" t="inlineStr"/>
      <c r="K383" t="n">
        <v>0</v>
      </c>
      <c r="L383" t="n">
        <v>3</v>
      </c>
      <c r="M383" t="n">
        <v>0</v>
      </c>
      <c r="N383" t="n">
        <v>0</v>
      </c>
      <c r="O383" t="n">
        <v>9</v>
      </c>
      <c r="P383">
        <f>HYPERLINK("https://g1.globo.com/sp/campinas-regiao/noticia/2021/10/15/haitianos-com-permissao-judicial-para-ingressar-no-brasil-sem-visto-desembarcam-em-viracopos.ghtml", "URL")</f>
        <v/>
      </c>
      <c r="Q383">
        <f>HYPERLINK("https://raw.githubusercontent.com/marcosmapl/dataset_imigrantes/main/materias_filtered/g1/haitianos/2021/09_out/html/g1_8c6bcf52-22b1-11ed-b24f-6dbe51e79fca_1635.html", "HTML")</f>
        <v/>
      </c>
      <c r="R383">
        <f>HYPERLINK("https://raw.githubusercontent.com/marcosmapl/dataset_imigrantes/main/materias_filtered/g1/haitianos/2021/09_out/txt/g1_8c6bcf52-22b1-11ed-b24f-6dbe51e79fca_1635.txt", "TXT")</f>
        <v/>
      </c>
    </row>
    <row r="384">
      <c r="A384" s="1" t="n">
        <v>382</v>
      </c>
      <c r="B384" t="n">
        <v>2021</v>
      </c>
      <c r="C384" s="2" t="n">
        <v>44483.83085645833</v>
      </c>
      <c r="D384" t="inlineStr">
        <is>
          <t>G1</t>
        </is>
      </c>
      <c r="E384" t="inlineStr">
        <is>
          <t>VENEZUELANOS</t>
        </is>
      </c>
      <c r="F384" t="inlineStr">
        <is>
          <t>MINAS GERAIS</t>
        </is>
      </c>
      <c r="G384" t="inlineStr">
        <is>
          <t>G1 MINAS — BELO HORIZONTE</t>
        </is>
      </c>
      <c r="H384" t="inlineStr">
        <is>
          <t>MP VAI ACOMPANHAR DENÚNCIA DE MÁS CONDIÇÕES EM ABRIGO COM REFUGIADOS INDÍGENAS EM BH</t>
        </is>
      </c>
      <c r="I384" t="inlineStr">
        <is>
          <t>VENEZUELANOS ESTÃO EM PÉSSIMAS CONDIÇÕES EM BH E ALGUNS TESTARAM POSITIVO PARA COVID-19.</t>
        </is>
      </c>
      <c r="J384" t="inlineStr"/>
      <c r="K384" t="n">
        <v>0</v>
      </c>
      <c r="L384" t="n">
        <v>2</v>
      </c>
      <c r="M384" t="n">
        <v>1</v>
      </c>
      <c r="N384" t="n">
        <v>0</v>
      </c>
      <c r="O384" t="n">
        <v>3</v>
      </c>
      <c r="P384">
        <f>HYPERLINK("https://g1.globo.com/mg/minas-gerais/noticia/2021/10/14/mp-vai-acompanhar-denuncia-de-mas-condicoes-em-abrigo-com-refugiados-indigenas-em-bh.ghtml", "URL")</f>
        <v/>
      </c>
      <c r="Q384">
        <f>HYPERLINK("https://raw.githubusercontent.com/marcosmapl/dataset_imigrantes/main/materias_filtered/g1/venezuelanos/2021/09_out/html/g1_3ef44e0a-232b-11ed-b24f-6dbe51e79fca_4233.html", "HTML")</f>
        <v/>
      </c>
      <c r="R384">
        <f>HYPERLINK("https://raw.githubusercontent.com/marcosmapl/dataset_imigrantes/main/materias_filtered/g1/venezuelanos/2021/09_out/txt/g1_3ef44e0a-232b-11ed-b24f-6dbe51e79fca_4233.txt", "TXT")</f>
        <v/>
      </c>
    </row>
    <row r="385">
      <c r="A385" s="1" t="n">
        <v>383</v>
      </c>
      <c r="B385" t="n">
        <v>2021</v>
      </c>
      <c r="C385" s="2" t="n">
        <v>44483.45423637731</v>
      </c>
      <c r="D385" t="inlineStr">
        <is>
          <t>G1</t>
        </is>
      </c>
      <c r="E385" t="inlineStr">
        <is>
          <t>VENEZUELANOS</t>
        </is>
      </c>
      <c r="F385" t="inlineStr">
        <is>
          <t>POP &amp; ARTE</t>
        </is>
      </c>
      <c r="G385" t="inlineStr">
        <is>
          <t>BBC</t>
        </is>
      </c>
      <c r="H385" t="inlineStr">
        <is>
          <t>A IMIGRANTE VENEZUELANA QUE CANTAVA DEBAIXO DE PONTE NA ESPANHA E FOI DESCOBERTA POR PROGRAMA DE TV</t>
        </is>
      </c>
      <c r="I385" t="inlineStr">
        <is>
          <t>ROSA MARÍA MARTÍNEZ É UMA ENFERMEIRA DE 30 ANOS QUE PARTICIPOU DE AUDIÇÃO DE COMPETIÇÃO MUSICAL NA ESPANHA E CONQUISTOU O PÚBLICO E OS JURADOS.</t>
        </is>
      </c>
      <c r="J385" t="inlineStr"/>
      <c r="K385" t="n">
        <v>0</v>
      </c>
      <c r="L385" t="n">
        <v>2</v>
      </c>
      <c r="M385" t="n">
        <v>0</v>
      </c>
      <c r="N385" t="n">
        <v>0</v>
      </c>
      <c r="O385" t="n">
        <v>1</v>
      </c>
      <c r="P385">
        <f>HYPERLINK("https://g1.globo.com/pop-arte/noticia/2021/10/14/a-imigrante-venezuelana-que-cantava-debaixo-de-ponte-na-espanha-e-foi-descoberta-por-programa-de-tv.ghtml", "URL")</f>
        <v/>
      </c>
      <c r="Q385">
        <f>HYPERLINK("https://raw.githubusercontent.com/marcosmapl/dataset_imigrantes/main/materias_filtered/g1/venezuelanos/2021/09_out/html/g1_c7e4766e-2307-11ed-b24f-6dbe51e79fca_2341.html", "HTML")</f>
        <v/>
      </c>
      <c r="R385">
        <f>HYPERLINK("https://raw.githubusercontent.com/marcosmapl/dataset_imigrantes/main/materias_filtered/g1/venezuelanos/2021/09_out/txt/g1_c7e4766e-2307-11ed-b24f-6dbe51e79fca_2341.txt", "TXT")</f>
        <v/>
      </c>
    </row>
    <row r="386">
      <c r="A386" s="1" t="n">
        <v>384</v>
      </c>
      <c r="B386" t="n">
        <v>2021</v>
      </c>
      <c r="C386" s="2" t="n">
        <v>44482.70833333334</v>
      </c>
      <c r="D386" t="inlineStr">
        <is>
          <t>PORTAL AMAZONIA</t>
        </is>
      </c>
      <c r="E386" t="inlineStr">
        <is>
          <t>VENEZUELANOS</t>
        </is>
      </c>
      <c r="F386" t="inlineStr">
        <is>
          <t>AMAZÔNIA,MEIO AMBIENTE</t>
        </is>
      </c>
      <c r="G386" t="inlineStr">
        <is>
          <t>PORTAL AMAZÔNIA, COM INFORMAÇÕES DA AFP</t>
        </is>
      </c>
      <c r="H386" t="inlineStr">
        <is>
          <t>LÍDER INDÍGENA ALERTA SOBRE A DESTRUIÇÃO DA AMAZÔNIA COMO &amp;QUOT;APOCALIPSE MUNDIAL&amp;QUOT;</t>
        </is>
      </c>
      <c r="I386" t="inlineStr">
        <is>
          <t>PARA O ATIVISTA, GREGÓRIO MIRABAL, O FUTURO DA AMAZÔNIA PODE SER DIVIDIDO EM DOIS CENÁRIOS CATASTRÓFICOS</t>
        </is>
      </c>
      <c r="J386" t="inlineStr">
        <is>
          <t>AMAZÔNIA, APOCALIPSE MUNDIAL, COP26, DESTRUICAO DA AMAZONIA, GREGÓRIO MIRABAL, LIDER INDÍGENA, MEIO AMBIENTE</t>
        </is>
      </c>
      <c r="K386" t="n">
        <v>7</v>
      </c>
      <c r="L386" t="n">
        <v>1</v>
      </c>
      <c r="M386" t="n">
        <v>0</v>
      </c>
      <c r="N386" t="n">
        <v>0</v>
      </c>
      <c r="O386" t="n">
        <v>18</v>
      </c>
      <c r="P386">
        <f>HYPERLINK("https://portalamazonia.com/amazonia/lider-indigena-alerta-a-destruicao-da-amazonia-como-apocalipse-mundial", "URL")</f>
        <v/>
      </c>
      <c r="Q386">
        <f>HYPERLINK("https://raw.githubusercontent.com/marcosmapl/dataset_imigrantes/main/materias_filtered/portal_amazonia/venezuelanos/2021/09_out/html/34254.82137_1406.html", "HTML")</f>
        <v/>
      </c>
      <c r="R386">
        <f>HYPERLINK("https://raw.githubusercontent.com/marcosmapl/dataset_imigrantes/main/materias_filtered/portal_amazonia/venezuelanos/2021/09_out/txt/34254.82137_1406.txt", "TXT")</f>
        <v/>
      </c>
    </row>
    <row r="387">
      <c r="A387" s="1" t="n">
        <v>385</v>
      </c>
      <c r="B387" t="n">
        <v>2021</v>
      </c>
      <c r="C387" s="2" t="n">
        <v>44482.65373918982</v>
      </c>
      <c r="D387" t="inlineStr">
        <is>
          <t>G1</t>
        </is>
      </c>
      <c r="E387" t="inlineStr">
        <is>
          <t>VENEZUELANOS</t>
        </is>
      </c>
      <c r="F387" t="inlineStr">
        <is>
          <t>MINAS GERAIS</t>
        </is>
      </c>
      <c r="G387" t="inlineStr">
        <is>
          <t>FLÁVIA AYER, TV GLOBO — BELO HORIZONTE</t>
        </is>
      </c>
      <c r="H387" t="inlineStr">
        <is>
          <t>COMISSÃO DA ALMG RECEBE DENÚNCIAS DE MÁS CONDIÇÕES EM ABRIGO COM REFUGIADOS INDÍGENAS</t>
        </is>
      </c>
      <c r="I387" t="inlineStr">
        <is>
          <t>VENEZUELANOS ESTÃO EM PÉSSIMAS CONDIÇÕES EM BH E ALGUNS TESTARAM POSITIVO PARA COVID-19.</t>
        </is>
      </c>
      <c r="J387" t="inlineStr"/>
      <c r="K387" t="n">
        <v>0</v>
      </c>
      <c r="L387" t="n">
        <v>3</v>
      </c>
      <c r="M387" t="n">
        <v>2</v>
      </c>
      <c r="N387" t="n">
        <v>0</v>
      </c>
      <c r="O387" t="n">
        <v>2</v>
      </c>
      <c r="P387">
        <f>HYPERLINK("https://g1.globo.com/mg/minas-gerais/noticia/2021/10/13/comissao-da-almg-recebe-denuncias-de-mas-condicoes-em-abrigo-com-refugiados-indigenas.ghtml", "URL")</f>
        <v/>
      </c>
      <c r="Q387">
        <f>HYPERLINK("https://raw.githubusercontent.com/marcosmapl/dataset_imigrantes/main/materias_filtered/g1/venezuelanos/2021/09_out/html/g1_6bc29ff8-2318-11ed-b24f-6dbe51e79fca_3259.html", "HTML")</f>
        <v/>
      </c>
      <c r="R387">
        <f>HYPERLINK("https://raw.githubusercontent.com/marcosmapl/dataset_imigrantes/main/materias_filtered/g1/venezuelanos/2021/09_out/txt/g1_6bc29ff8-2318-11ed-b24f-6dbe51e79fca_3259.txt", "TXT")</f>
        <v/>
      </c>
    </row>
    <row r="388">
      <c r="A388" s="1" t="n">
        <v>386</v>
      </c>
      <c r="B388" t="n">
        <v>2021</v>
      </c>
      <c r="C388" s="2" t="n">
        <v>44480.99437438657</v>
      </c>
      <c r="D388" t="inlineStr">
        <is>
          <t>G1</t>
        </is>
      </c>
      <c r="E388" t="inlineStr">
        <is>
          <t>VENEZUELANOS</t>
        </is>
      </c>
      <c r="F388" t="inlineStr">
        <is>
          <t>MINAS GERAIS</t>
        </is>
      </c>
      <c r="G388" t="inlineStr">
        <is>
          <t>FERNANDO ZUBA, FRED BOTTREL E LARISSA CARVALHO, TV GLOBO — BELO HORIZONTE</t>
        </is>
      </c>
      <c r="H388" t="inlineStr">
        <is>
          <t>VENEZUELANOS ACOLHIDOS EM ABRIGO DE BELO HORIZONTE TESTAM POSITIVO PARA COVID-19</t>
        </is>
      </c>
      <c r="I388" t="inlineStr">
        <is>
          <t>TESTEMUNHAS RELATAM QUE OS REFUGIADOS ESTÃO EM 'PÉSSIMAS CONDIÇÕES' NO ABRIGO SÃO PAULO.</t>
        </is>
      </c>
      <c r="J388" t="inlineStr"/>
      <c r="K388" t="n">
        <v>0</v>
      </c>
      <c r="L388" t="n">
        <v>3</v>
      </c>
      <c r="M388" t="n">
        <v>1</v>
      </c>
      <c r="N388" t="n">
        <v>0</v>
      </c>
      <c r="O388" t="n">
        <v>1</v>
      </c>
      <c r="P388">
        <f>HYPERLINK("https://g1.globo.com/mg/minas-gerais/noticia/2021/10/11/venezuelanos-acolhidos-em-abrigo-de-bh-tiveram-teste-positivo-para-covid-19.ghtml", "URL")</f>
        <v/>
      </c>
      <c r="Q388">
        <f>HYPERLINK("https://raw.githubusercontent.com/marcosmapl/dataset_imigrantes/main/materias_filtered/g1/venezuelanos/2021/09_out/html/g1_049ad260-2308-11ed-b24f-6dbe51e79fca_2359.html", "HTML")</f>
        <v/>
      </c>
      <c r="R388">
        <f>HYPERLINK("https://raw.githubusercontent.com/marcosmapl/dataset_imigrantes/main/materias_filtered/g1/venezuelanos/2021/09_out/txt/g1_049ad260-2308-11ed-b24f-6dbe51e79fca_2359.txt", "TXT")</f>
        <v/>
      </c>
    </row>
    <row r="389">
      <c r="A389" s="1" t="n">
        <v>387</v>
      </c>
      <c r="B389" t="n">
        <v>2021</v>
      </c>
      <c r="C389" s="2" t="n">
        <v>44480.79654587963</v>
      </c>
      <c r="D389" t="inlineStr">
        <is>
          <t>G1</t>
        </is>
      </c>
      <c r="E389" t="inlineStr">
        <is>
          <t>HAITIANOS</t>
        </is>
      </c>
      <c r="F389" t="inlineStr">
        <is>
          <t>SOROCABA E JUNDIAÍ</t>
        </is>
      </c>
      <c r="G389" t="inlineStr">
        <is>
          <t>TV TEM</t>
        </is>
      </c>
      <c r="H389" t="inlineStr">
        <is>
          <t>ESCOLA NO INTERIOR DE SP IMPLANTA CARTILHA EM PORTUGUÊS E CRIOULO PARA INTEGRAR ALUNOS HAITIANOS</t>
        </is>
      </c>
      <c r="I389" t="inlineStr">
        <is>
          <t>CARTILHA TEM INFORMAÇÕES IMPORTANTES SOBRE SISTEMA DE SAÚDE, LEGISLAÇÃO, SEGURANÇA E EDUCAÇÃO. REGIÃO DE SOROCABA (SP) REÚNE CERCA DE 500 FAMÍLIAS HAITIANAS.</t>
        </is>
      </c>
      <c r="J389" t="inlineStr"/>
      <c r="K389" t="n">
        <v>0</v>
      </c>
      <c r="L389" t="n">
        <v>3</v>
      </c>
      <c r="M389" t="n">
        <v>1</v>
      </c>
      <c r="N389" t="n">
        <v>0</v>
      </c>
      <c r="O389" t="n">
        <v>2</v>
      </c>
      <c r="P389">
        <f>HYPERLINK("https://g1.globo.com/sp/sorocaba-jundiai/noticia/2021/10/11/escola-no-interior-de-sp-implanta-cartilha-em-portugues-e-crioulo-para-integrar-alunos-haitianos.ghtml", "URL")</f>
        <v/>
      </c>
      <c r="Q389">
        <f>HYPERLINK("https://raw.githubusercontent.com/marcosmapl/dataset_imigrantes/main/materias_filtered/g1/haitianos/2021/09_out/html/g1_209e048c-22f4-11ed-b24f-6dbe51e79fca_1875.html", "HTML")</f>
        <v/>
      </c>
      <c r="R389">
        <f>HYPERLINK("https://raw.githubusercontent.com/marcosmapl/dataset_imigrantes/main/materias_filtered/g1/haitianos/2021/09_out/txt/g1_209e048c-22f4-11ed-b24f-6dbe51e79fca_1875.txt", "TXT")</f>
        <v/>
      </c>
    </row>
    <row r="390">
      <c r="A390" s="1" t="n">
        <v>388</v>
      </c>
      <c r="B390" t="n">
        <v>2021</v>
      </c>
      <c r="C390" s="2" t="n">
        <v>44480.62932931713</v>
      </c>
      <c r="D390" t="inlineStr">
        <is>
          <t>G1</t>
        </is>
      </c>
      <c r="E390" t="inlineStr">
        <is>
          <t>HAITIANOS</t>
        </is>
      </c>
      <c r="F390" t="inlineStr">
        <is>
          <t>MUNDO</t>
        </is>
      </c>
      <c r="G390" t="inlineStr">
        <is>
          <t>FRANCE PRESSE</t>
        </is>
      </c>
      <c r="H390" t="inlineStr">
        <is>
          <t>CERCA DE 19 MIL CRIANÇAS CRUZARAM A SELVA ENTRE COLÔMBIA E PANAMÁ RUMO AOS EUA ESTE ANO</t>
        </is>
      </c>
      <c r="I390" t="inlineStr">
        <is>
          <t>SEGUNDO O UNICEF, UM EM CADA CINCO DESSES MIGRANTES SÃO CRIANÇAS, PRINCIPALMENTE DO HAITI OU DE PAIS HAITIANOS QUE OS TIVERAM DURANTE ESTADAS NO CHILE OU NO BRASIL. METADE DOS 19 MIL TEM MENOS DE CINCO ANOS.</t>
        </is>
      </c>
      <c r="J390" t="inlineStr"/>
      <c r="K390" t="n">
        <v>0</v>
      </c>
      <c r="L390" t="n">
        <v>0</v>
      </c>
      <c r="M390" t="n">
        <v>0</v>
      </c>
      <c r="N390" t="n">
        <v>0</v>
      </c>
      <c r="O390" t="n">
        <v>13</v>
      </c>
      <c r="P390">
        <f>HYPERLINK("https://g1.globo.com/mundo/noticia/2021/10/11/cerca-de-19-mil-criancas-cruzaram-a-selva-entre-colombia-e-panama-rumo-aos-eua-este-ano.ghtml", "URL")</f>
        <v/>
      </c>
      <c r="Q390">
        <f>HYPERLINK("https://raw.githubusercontent.com/marcosmapl/dataset_imigrantes/main/materias_filtered/g1/haitianos/2021/09_out/html/g1_397d3010-42cd-49c0-9d30-8314acb0df12_1625.html", "HTML")</f>
        <v/>
      </c>
      <c r="R390">
        <f>HYPERLINK("https://raw.githubusercontent.com/marcosmapl/dataset_imigrantes/main/materias_filtered/g1/haitianos/2021/09_out/txt/g1_397d3010-42cd-49c0-9d30-8314acb0df12_1625.txt", "TXT")</f>
        <v/>
      </c>
    </row>
    <row r="391">
      <c r="A391" s="1" t="n">
        <v>389</v>
      </c>
      <c r="B391" t="n">
        <v>2021</v>
      </c>
      <c r="C391" s="2" t="n">
        <v>44480.62932931713</v>
      </c>
      <c r="D391" t="inlineStr">
        <is>
          <t>G1</t>
        </is>
      </c>
      <c r="E391" t="inlineStr">
        <is>
          <t>HAITIANOS</t>
        </is>
      </c>
      <c r="F391" t="inlineStr">
        <is>
          <t>MUNDO</t>
        </is>
      </c>
      <c r="G391" t="inlineStr">
        <is>
          <t>FRANCE PRESSE</t>
        </is>
      </c>
      <c r="H391" t="inlineStr">
        <is>
          <t>CERCA DE 19 MIL CRIANÇAS CRUZARAM A SELVA ENTRE COLÔMBIA E PANAMÁ RUMO AOS EUA ESTE ANO</t>
        </is>
      </c>
      <c r="I391" t="inlineStr">
        <is>
          <t>SEGUNDO O UNICEF, UM EM CADA CINCO DESSES MIGRANTES SÃO CRIANÇAS, PRINCIPALMENTE DO HAITI OU DE PAIS HAITIANOS QUE OS TIVERAM DURANTE ESTADAS NO CHILE OU NO BRASIL. METADE DOS 19 MIL TEM MENOS DE CINCO ANOS.</t>
        </is>
      </c>
      <c r="J391" t="inlineStr"/>
      <c r="K391" t="n">
        <v>0</v>
      </c>
      <c r="L391" t="n">
        <v>3</v>
      </c>
      <c r="M391" t="n">
        <v>1</v>
      </c>
      <c r="N391" t="n">
        <v>0</v>
      </c>
      <c r="O391" t="n">
        <v>13</v>
      </c>
      <c r="P391">
        <f>HYPERLINK("https://g1.globo.com/mundo/noticia/2021/10/11/cerca-de-19-mil-criancas-cruzaram-a-selva-entre-colombia-e-panama-rumo-aos-eua-este-ano.ghtml", "URL")</f>
        <v/>
      </c>
      <c r="Q391">
        <f>HYPERLINK("https://raw.githubusercontent.com/marcosmapl/dataset_imigrantes/main/materias_filtered/g1/haitianos/2021/09_out/html/g1_8d640aa8-22b3-11ed-b24f-6dbe51e79fca_1641.html", "HTML")</f>
        <v/>
      </c>
      <c r="R391">
        <f>HYPERLINK("https://raw.githubusercontent.com/marcosmapl/dataset_imigrantes/main/materias_filtered/g1/haitianos/2021/09_out/txt/g1_8d640aa8-22b3-11ed-b24f-6dbe51e79fca_1641.txt", "TXT")</f>
        <v/>
      </c>
    </row>
    <row r="392">
      <c r="A392" s="1" t="n">
        <v>390</v>
      </c>
      <c r="B392" t="n">
        <v>2021</v>
      </c>
      <c r="C392" s="2" t="n">
        <v>44480.51085739584</v>
      </c>
      <c r="D392" t="inlineStr">
        <is>
          <t>G1</t>
        </is>
      </c>
      <c r="E392" t="inlineStr">
        <is>
          <t>HAITIANOS</t>
        </is>
      </c>
      <c r="F392" t="inlineStr">
        <is>
          <t>CAMPINAS E REGIÃO</t>
        </is>
      </c>
      <c r="G392" t="inlineStr">
        <is>
          <t>G1 CAMPINAS E REGIÃO</t>
        </is>
      </c>
      <c r="H392" t="inlineStr">
        <is>
          <t>MOTORISTA DE TRANSPORTE POR APLICATIVO É ENCONTRADO MORTO EM CANAVIAL DE PAULÍNIA</t>
        </is>
      </c>
      <c r="I392" t="inlineStr">
        <is>
          <t>RONY PAULIME, QUE É HAITIANO, FOI ACHADO COM TRÊS FERIMENTOS NA CABEÇA AO LADO DO VEÍCULO. CASO FOI REGISTRADO COMO HOMICÍDIO, MAS PODE MUDAR PARA LATROCÍNIO PORQUE A CARTEIRA E O CELULAR NÃO FORAM LOCALIZADOS.</t>
        </is>
      </c>
      <c r="J392" t="inlineStr"/>
      <c r="K392" t="n">
        <v>0</v>
      </c>
      <c r="L392" t="n">
        <v>2</v>
      </c>
      <c r="M392" t="n">
        <v>1</v>
      </c>
      <c r="N392" t="n">
        <v>0</v>
      </c>
      <c r="O392" t="n">
        <v>2</v>
      </c>
      <c r="P392">
        <f>HYPERLINK("https://g1.globo.com/sp/campinas-regiao/noticia/2021/10/11/motorista-de-transporte-por-aplicativo-e-encontrado-morto-em-canavial-de-paulinia.ghtml", "URL")</f>
        <v/>
      </c>
      <c r="Q392">
        <f>HYPERLINK("https://raw.githubusercontent.com/marcosmapl/dataset_imigrantes/main/materias_filtered/g1/haitianos/2021/09_out/html/g1_cd093f84-22f9-11ed-b24f-6dbe51e79fca_2184.html", "HTML")</f>
        <v/>
      </c>
      <c r="R392">
        <f>HYPERLINK("https://raw.githubusercontent.com/marcosmapl/dataset_imigrantes/main/materias_filtered/g1/haitianos/2021/09_out/txt/g1_cd093f84-22f9-11ed-b24f-6dbe51e79fca_2184.txt", "TXT")</f>
        <v/>
      </c>
    </row>
    <row r="393">
      <c r="A393" s="1" t="n">
        <v>391</v>
      </c>
      <c r="B393" t="n">
        <v>2021</v>
      </c>
      <c r="C393" s="2" t="n">
        <v>44479.75534722222</v>
      </c>
      <c r="D393" t="inlineStr">
        <is>
          <t>A CRITICA</t>
        </is>
      </c>
      <c r="E393" t="inlineStr">
        <is>
          <t>VENEZUELANOS</t>
        </is>
      </c>
      <c r="F393" t="inlineStr"/>
      <c r="G393" t="inlineStr">
        <is>
          <t>AGÊNCIA BRASIL</t>
        </is>
      </c>
      <c r="H393" t="inlineStr">
        <is>
          <t>CARTILHAS AUXILIAM NO APOIO A INDÍGENAS VENEZUELANOS NO BRASIL</t>
        </is>
      </c>
      <c r="I393" t="inlineStr">
        <is>
          <t>COM CONCEITOS DE PROTEÇÃO COMUNITÁRIA E LISTAGEM DE DIREITOS E SERVIÇOS NECESSÁRIOS, O MATERIAL VISA IMPULSIONAR ESTRATÉGIAS DE INTEGRAÇÃO E ATENDIMENTO SOCIAL</t>
        </is>
      </c>
      <c r="J393" t="inlineStr"/>
      <c r="K393" t="n">
        <v>0</v>
      </c>
      <c r="L393" t="n">
        <v>1</v>
      </c>
      <c r="M393" t="n">
        <v>0</v>
      </c>
      <c r="N393" t="n">
        <v>0</v>
      </c>
      <c r="O393" t="n">
        <v>1</v>
      </c>
      <c r="P393">
        <f>HYPERLINK("https://www.acritica.com/cartilhas-auxiliam-no-apoio-a-indigenas-venezuelanos-no-brasil-1.7884", "URL")</f>
        <v/>
      </c>
      <c r="Q393">
        <f>HYPERLINK("https://raw.githubusercontent.com/marcosmapl/dataset_imigrantes/main/materias_filtered/a_critica/venezuelanos/2021/09_out/html/1.7884_625.html", "HTML")</f>
        <v/>
      </c>
      <c r="R393">
        <f>HYPERLINK("https://raw.githubusercontent.com/marcosmapl/dataset_imigrantes/main/materias_filtered/a_critica/venezuelanos/2021/09_out/txt/1.7884_625.txt", "TXT")</f>
        <v/>
      </c>
    </row>
    <row r="394">
      <c r="A394" s="1" t="n">
        <v>392</v>
      </c>
      <c r="B394" t="n">
        <v>2021</v>
      </c>
      <c r="C394" s="2" t="n">
        <v>44479.73756172453</v>
      </c>
      <c r="D394" t="inlineStr">
        <is>
          <t>G1</t>
        </is>
      </c>
      <c r="E394" t="inlineStr">
        <is>
          <t>HAITIANOS</t>
        </is>
      </c>
      <c r="F394" t="inlineStr">
        <is>
          <t>MUNDO</t>
        </is>
      </c>
      <c r="G394" t="inlineStr">
        <is>
          <t>BBC</t>
        </is>
      </c>
      <c r="H394" t="inlineStr">
        <is>
          <t>100 IMIGRANTES SÃO DESCOBERTOS EM CONTÊINER ABANDONADO</t>
        </is>
      </c>
      <c r="I394" t="inlineStr">
        <is>
          <t>A POLÍCIA AFIRMA QUE A MAIORIA DOS IMIGRANTES HAITIANOS FORAM DEIXADOS POR CONTRABANDISTAS PAGOS PARA LEVÁ-LOS AOS ESTADOS UNIDOS.</t>
        </is>
      </c>
      <c r="J394" t="inlineStr"/>
      <c r="K394" t="n">
        <v>0</v>
      </c>
      <c r="L394" t="n">
        <v>2</v>
      </c>
      <c r="M394" t="n">
        <v>1</v>
      </c>
      <c r="N394" t="n">
        <v>0</v>
      </c>
      <c r="O394" t="n">
        <v>0</v>
      </c>
      <c r="P394">
        <f>HYPERLINK("https://g1.globo.com/mundo/noticia/2021/10/10/100-imigrantes-sao-descobertos-em-conteiner-abandonado.ghtml", "URL")</f>
        <v/>
      </c>
      <c r="Q394">
        <f>HYPERLINK("https://raw.githubusercontent.com/marcosmapl/dataset_imigrantes/main/materias_filtered/g1/haitianos/2021/09_out/html/g1_3371e076-22f7-11ed-b24f-6dbe51e79fca_2065.html", "HTML")</f>
        <v/>
      </c>
      <c r="R394">
        <f>HYPERLINK("https://raw.githubusercontent.com/marcosmapl/dataset_imigrantes/main/materias_filtered/g1/haitianos/2021/09_out/txt/g1_3371e076-22f7-11ed-b24f-6dbe51e79fca_2065.txt", "TXT")</f>
        <v/>
      </c>
    </row>
    <row r="395">
      <c r="A395" s="1" t="n">
        <v>393</v>
      </c>
      <c r="B395" t="n">
        <v>2021</v>
      </c>
      <c r="C395" s="2" t="n">
        <v>44479.63778627315</v>
      </c>
      <c r="D395" t="inlineStr">
        <is>
          <t>G1</t>
        </is>
      </c>
      <c r="E395" t="inlineStr">
        <is>
          <t>VENEZUELANOS</t>
        </is>
      </c>
      <c r="F395" t="inlineStr">
        <is>
          <t>RORAIMA</t>
        </is>
      </c>
      <c r="G395" t="inlineStr">
        <is>
          <t>G1 RR — BOA VISTA</t>
        </is>
      </c>
      <c r="H395" t="inlineStr">
        <is>
          <t>OPERAÇÃO ACOLHIDA RETIRA BARRACAS MONTADAS POR VENEZUELANOS EM PACARAIMA, AO NORTE DE RORAIMA</t>
        </is>
      </c>
      <c r="I395" t="inlineStr">
        <is>
          <t>AÇÃO OCORREU NESSE SÁBADO (9) EM FRENTE À BASE MILITAR DO MUNICÍPIO. OPERAÇÃO ACOLHIDA ALEGOU QUESTÕES DE SEGURANÇA E, INFORMOU AINDA, NÃO TER RETIRADO VENEZUELANOS DO LOCAL.</t>
        </is>
      </c>
      <c r="J395" t="inlineStr"/>
      <c r="K395" t="n">
        <v>0</v>
      </c>
      <c r="L395" t="n">
        <v>2</v>
      </c>
      <c r="M395" t="n">
        <v>0</v>
      </c>
      <c r="N395" t="n">
        <v>0</v>
      </c>
      <c r="O395" t="n">
        <v>2</v>
      </c>
      <c r="P395">
        <f>HYPERLINK("https://g1.globo.com/rr/roraima/noticia/2021/10/10/operacao-acolhida-retira-barracas-montadas-por-venezuelanos-em-pacaraima-ao-norte-de-roraima.ghtml", "URL")</f>
        <v/>
      </c>
      <c r="Q395">
        <f>HYPERLINK("https://raw.githubusercontent.com/marcosmapl/dataset_imigrantes/main/materias_filtered/g1/venezuelanos/2021/09_out/html/g1_6bfefb1a-230e-11ed-b24f-6dbe51e79fca_2737.html", "HTML")</f>
        <v/>
      </c>
      <c r="R395">
        <f>HYPERLINK("https://raw.githubusercontent.com/marcosmapl/dataset_imigrantes/main/materias_filtered/g1/venezuelanos/2021/09_out/txt/g1_6bfefb1a-230e-11ed-b24f-6dbe51e79fca_2737.txt", "TXT")</f>
        <v/>
      </c>
    </row>
    <row r="396">
      <c r="A396" s="1" t="n">
        <v>394</v>
      </c>
      <c r="B396" t="n">
        <v>2021</v>
      </c>
      <c r="C396" s="2" t="n">
        <v>44479.54924768519</v>
      </c>
      <c r="D396" t="inlineStr">
        <is>
          <t>A CRITICA</t>
        </is>
      </c>
      <c r="E396" t="inlineStr">
        <is>
          <t>VENEZUELANOS</t>
        </is>
      </c>
      <c r="F396" t="inlineStr">
        <is>
          <t>ESPORTES</t>
        </is>
      </c>
      <c r="G396" t="inlineStr">
        <is>
          <t>AGÊNCIA BRASIL</t>
        </is>
      </c>
      <c r="H396" t="inlineStr">
        <is>
          <t>COM O RETORNO DE NEYMAR, SELEÇÃO ENCARA A COLÔMBIA, EM BARRANQUILLA</t>
        </is>
      </c>
      <c r="I396" t="inlineStr">
        <is>
          <t>COM 100% DE APROVEITAMENTO, COMANDADOS DO TÉCNICO TITE TÊM A PRESSÃO DE APRESENTAR UM FUTEBOL MELHOR DO QUE VISTO CONTRA A VENEZUELA</t>
        </is>
      </c>
      <c r="J396" t="inlineStr"/>
      <c r="K396" t="n">
        <v>0</v>
      </c>
      <c r="L396" t="n">
        <v>1</v>
      </c>
      <c r="M396" t="n">
        <v>0</v>
      </c>
      <c r="N396" t="n">
        <v>0</v>
      </c>
      <c r="O396" t="n">
        <v>0</v>
      </c>
      <c r="P396">
        <f>HYPERLINK("https://www.acritica.com/esportes/com-o-retorno-de-neymar-selec-o-encara-a-colombia-em-barranquilla-1.7917", "URL")</f>
        <v/>
      </c>
      <c r="Q396">
        <f>HYPERLINK("https://raw.githubusercontent.com/marcosmapl/dataset_imigrantes/main/materias_filtered/a_critica/venezuelanos/2021/09_out/html/1.7917_309.html", "HTML")</f>
        <v/>
      </c>
      <c r="R396">
        <f>HYPERLINK("https://raw.githubusercontent.com/marcosmapl/dataset_imigrantes/main/materias_filtered/a_critica/venezuelanos/2021/09_out/txt/1.7917_309.txt", "TXT")</f>
        <v/>
      </c>
    </row>
    <row r="397">
      <c r="A397" s="1" t="n">
        <v>395</v>
      </c>
      <c r="B397" t="n">
        <v>2021</v>
      </c>
      <c r="C397" s="2" t="n">
        <v>44478.75030125</v>
      </c>
      <c r="D397" t="inlineStr">
        <is>
          <t>G1</t>
        </is>
      </c>
      <c r="E397" t="inlineStr">
        <is>
          <t>HAITIANOS</t>
        </is>
      </c>
      <c r="F397" t="inlineStr">
        <is>
          <t>MUNDO</t>
        </is>
      </c>
      <c r="G397" t="inlineStr">
        <is>
          <t>FRANCE PRESSE</t>
        </is>
      </c>
      <c r="H397" t="inlineStr">
        <is>
          <t>HAITI CONDENA AS DECLARAÇÕES 'RACISTAS' DE TRUMP</t>
        </is>
      </c>
      <c r="I397" t="inlineStr">
        <is>
          <t>EM MENOS DE TRÊS SEMANAS, MAIS DE 7.500 MIGRANTES HAITIANOS, 20% DELES CRIANÇAS, FORAM EXPULSOS PELOS SERVIÇOS DE MIGRAÇÃO DOS ESTADOS UNIDOS.</t>
        </is>
      </c>
      <c r="J397" t="inlineStr"/>
      <c r="K397" t="n">
        <v>0</v>
      </c>
      <c r="L397" t="n">
        <v>2</v>
      </c>
      <c r="M397" t="n">
        <v>1</v>
      </c>
      <c r="N397" t="n">
        <v>0</v>
      </c>
      <c r="O397" t="n">
        <v>11</v>
      </c>
      <c r="P397">
        <f>HYPERLINK("https://g1.globo.com/mundo/noticia/2021/10/09/haiti-condena-as-declaracoes-racistas-de-trump.ghtml", "URL")</f>
        <v/>
      </c>
      <c r="Q397">
        <f>HYPERLINK("https://raw.githubusercontent.com/marcosmapl/dataset_imigrantes/main/materias_filtered/g1/haitianos/2021/09_out/html/g1_f0f1e338-22ae-11ed-b24f-6dbe51e79fca_1630.html", "HTML")</f>
        <v/>
      </c>
      <c r="R397">
        <f>HYPERLINK("https://raw.githubusercontent.com/marcosmapl/dataset_imigrantes/main/materias_filtered/g1/haitianos/2021/09_out/txt/g1_f0f1e338-22ae-11ed-b24f-6dbe51e79fca_1630.txt", "TXT")</f>
        <v/>
      </c>
    </row>
    <row r="398">
      <c r="A398" s="1" t="n">
        <v>396</v>
      </c>
      <c r="B398" t="n">
        <v>2021</v>
      </c>
      <c r="C398" s="2" t="n">
        <v>44476.69513888889</v>
      </c>
      <c r="D398" t="inlineStr">
        <is>
          <t>A CRITICA</t>
        </is>
      </c>
      <c r="E398" t="inlineStr">
        <is>
          <t>VENEZUELANOS</t>
        </is>
      </c>
      <c r="F398" t="inlineStr">
        <is>
          <t>MANAUS</t>
        </is>
      </c>
      <c r="G398" t="inlineStr">
        <is>
          <t>FILIPE TÁVORA</t>
        </is>
      </c>
      <c r="H398" t="inlineStr">
        <is>
          <t>SUPOSTA GOLPISTA DO FACEBOOK É PRESA EM EMPRESA DO CENTRO DE MANAUS</t>
        </is>
      </c>
      <c r="I398" t="inlineStr">
        <is>
          <t>FERNANDA DA SILVA E SILVA, 21, É SUSPEITA DE APLICAR GOLPES DE ESTELIONATO POR MEIO DE ANÚNCIOS DE VEÍCULOS NO FACEBOOK</t>
        </is>
      </c>
      <c r="J398" t="inlineStr"/>
      <c r="K398" t="n">
        <v>0</v>
      </c>
      <c r="L398" t="n">
        <v>1</v>
      </c>
      <c r="M398" t="n">
        <v>0</v>
      </c>
      <c r="N398" t="n">
        <v>0</v>
      </c>
      <c r="O398" t="n">
        <v>0</v>
      </c>
      <c r="P398">
        <f>HYPERLINK("https://www.acritica.com/manaus/suposta-golpista-do-facebook-e-presa-em-empresa-do-centro-de-manaus-1.6998", "URL")</f>
        <v/>
      </c>
      <c r="Q398">
        <f>HYPERLINK("https://raw.githubusercontent.com/marcosmapl/dataset_imigrantes/main/materias_filtered/a_critica/venezuelanos/2021/09_out/html/1.6998_492.html", "HTML")</f>
        <v/>
      </c>
      <c r="R398">
        <f>HYPERLINK("https://raw.githubusercontent.com/marcosmapl/dataset_imigrantes/main/materias_filtered/a_critica/venezuelanos/2021/09_out/txt/1.6998_492.txt", "TXT")</f>
        <v/>
      </c>
    </row>
    <row r="399">
      <c r="A399" s="1" t="n">
        <v>397</v>
      </c>
      <c r="B399" t="n">
        <v>2021</v>
      </c>
      <c r="C399" s="2" t="n">
        <v>44476.61469953704</v>
      </c>
      <c r="D399" t="inlineStr">
        <is>
          <t>G1</t>
        </is>
      </c>
      <c r="E399" t="inlineStr">
        <is>
          <t>HAITIANOS</t>
        </is>
      </c>
      <c r="F399" t="inlineStr">
        <is>
          <t>MUNDO</t>
        </is>
      </c>
      <c r="G399" t="inlineStr">
        <is>
          <t>THOMAS MILZ, DEUTSCHE WELLE</t>
        </is>
      </c>
      <c r="H399" t="inlineStr">
        <is>
          <t>O DRAMA DAS CRIANÇAS BRASILEIRAS DEPORTADAS DOS EUA PARA O HAITI</t>
        </is>
      </c>
      <c r="I399" t="inlineStr">
        <is>
          <t>PARTE DOS HAITIANOS DEPORTADOS DO TEXAS SÃO CRIANÇAS NASCIDAS NO BRASIL – E TÊM DIREITO, PORTANTO, DE SEREM ASSISTIDAS PELO GOVERNO BRASILEIRO.</t>
        </is>
      </c>
      <c r="J399" t="inlineStr"/>
      <c r="K399" t="n">
        <v>0</v>
      </c>
      <c r="L399" t="n">
        <v>2</v>
      </c>
      <c r="M399" t="n">
        <v>0</v>
      </c>
      <c r="N399" t="n">
        <v>0</v>
      </c>
      <c r="O399" t="n">
        <v>9</v>
      </c>
      <c r="P399">
        <f>HYPERLINK("https://g1.globo.com/mundo/noticia/2021/10/07/o-drama-das-criancas-brasileiras-deportadas-dos-eua-para-o-haiti.ghtml", "URL")</f>
        <v/>
      </c>
      <c r="Q399">
        <f>HYPERLINK("https://raw.githubusercontent.com/marcosmapl/dataset_imigrantes/main/materias_filtered/g1/haitianos/2021/09_out/html/g1_737984b4-22f5-11ed-b24f-6dbe51e79fca_1950.html", "HTML")</f>
        <v/>
      </c>
      <c r="R399">
        <f>HYPERLINK("https://raw.githubusercontent.com/marcosmapl/dataset_imigrantes/main/materias_filtered/g1/haitianos/2021/09_out/txt/g1_737984b4-22f5-11ed-b24f-6dbe51e79fca_1950.txt", "TXT")</f>
        <v/>
      </c>
    </row>
    <row r="400">
      <c r="A400" s="1" t="n">
        <v>398</v>
      </c>
      <c r="B400" t="n">
        <v>2021</v>
      </c>
      <c r="C400" s="2" t="n">
        <v>44475.33462423611</v>
      </c>
      <c r="D400" t="inlineStr">
        <is>
          <t>G1</t>
        </is>
      </c>
      <c r="E400" t="inlineStr">
        <is>
          <t>HAITIANOS</t>
        </is>
      </c>
      <c r="F400" t="inlineStr">
        <is>
          <t>MUNDO</t>
        </is>
      </c>
      <c r="G400" t="inlineStr">
        <is>
          <t>FELIPE GUTIERREZ, G1</t>
        </is>
      </c>
      <c r="H400" t="inlineStr">
        <is>
          <t>CERCA DE 24% DOS HAITIANOS QUE TENTAM MIGRAR POR TERRA PARA OS EUA PARTIRAM DO BRASIL, APONTAM DADOS DA ONU</t>
        </is>
      </c>
      <c r="I400" t="inlineStr">
        <is>
          <t>ESTADOS UNIDOS COMEÇARAM A DEPORTAR IMIGRANTES HAITIANOS QUE CHEGAM AO TEXAS ATRAVESSANDO A FRONTEIRA COM O MÉXICO. UMA PARTE DELES TEM AUTORIZAÇÃO DE RESIDÊNCIA NO BRASIL.</t>
        </is>
      </c>
      <c r="J400" t="inlineStr"/>
      <c r="K400" t="n">
        <v>0</v>
      </c>
      <c r="L400" t="n">
        <v>3</v>
      </c>
      <c r="M400" t="n">
        <v>1</v>
      </c>
      <c r="N400" t="n">
        <v>0</v>
      </c>
      <c r="O400" t="n">
        <v>9</v>
      </c>
      <c r="P400">
        <f>HYPERLINK("https://g1.globo.com/mundo/noticia/2021/10/06/cerca-de-24percent-dos-haitianos-que-tentam-migrar-por-terra-para-os-eua-partiram-do-brasil-apontam-dados-da-onu.ghtml", "URL")</f>
        <v/>
      </c>
      <c r="Q400">
        <f>HYPERLINK("https://raw.githubusercontent.com/marcosmapl/dataset_imigrantes/main/materias_filtered/g1/haitianos/2021/09_out/html/g1_90897828-22f2-11ed-b24f-6dbe51e79fca_1804.html", "HTML")</f>
        <v/>
      </c>
      <c r="R400">
        <f>HYPERLINK("https://raw.githubusercontent.com/marcosmapl/dataset_imigrantes/main/materias_filtered/g1/haitianos/2021/09_out/txt/g1_90897828-22f2-11ed-b24f-6dbe51e79fca_1804.txt", "TXT")</f>
        <v/>
      </c>
    </row>
    <row r="401">
      <c r="A401" s="1" t="n">
        <v>399</v>
      </c>
      <c r="B401" t="n">
        <v>2021</v>
      </c>
      <c r="C401" s="2" t="n">
        <v>44474.52697188657</v>
      </c>
      <c r="D401" t="inlineStr">
        <is>
          <t>G1</t>
        </is>
      </c>
      <c r="E401" t="inlineStr">
        <is>
          <t>HAITIANOS</t>
        </is>
      </c>
      <c r="F401" t="inlineStr">
        <is>
          <t>MATO GROSSO</t>
        </is>
      </c>
      <c r="G401" t="inlineStr">
        <is>
          <t>DENISE SOARES, G1 MT</t>
        </is>
      </c>
      <c r="H401" t="inlineStr">
        <is>
          <t>CRIANÇA HAITIANA DE 7 ANOS MORRE ATROPELADA POR CARRETA A CAMINHO DA ESCOLA EM MT</t>
        </is>
      </c>
      <c r="I401" t="inlineStr">
        <is>
          <t>ACIDENTE OCORREU QUANDO MOTORISTA DA CARRETA FEZ CONVERSÃO EM CRUZAMENTO. ELE DISSE À POLÍCIA QUE VIU DUAS CRIANÇAS NA CALÇADA E QUE DEPOIS DISSO NÃO VISUALIZOU MAIS PELO RETROVISOR.</t>
        </is>
      </c>
      <c r="J401" t="inlineStr"/>
      <c r="K401" t="n">
        <v>0</v>
      </c>
      <c r="L401" t="n">
        <v>2</v>
      </c>
      <c r="M401" t="n">
        <v>0</v>
      </c>
      <c r="N401" t="n">
        <v>0</v>
      </c>
      <c r="O401" t="n">
        <v>0</v>
      </c>
      <c r="P401">
        <f>HYPERLINK("https://g1.globo.com/mt/mato-grosso/noticia/2021/10/05/crianca-haitiana-de-7-anos-morre-atropelada-por-carreta-a-caminho-da-escola-em-mt.ghtml", "URL")</f>
        <v/>
      </c>
      <c r="Q401">
        <f>HYPERLINK("https://raw.githubusercontent.com/marcosmapl/dataset_imigrantes/main/materias_filtered/g1/haitianos/2021/09_out/html/g1_acee70b4-2323-11ed-b24f-6dbe51e79fca_3821.html", "HTML")</f>
        <v/>
      </c>
      <c r="R401">
        <f>HYPERLINK("https://raw.githubusercontent.com/marcosmapl/dataset_imigrantes/main/materias_filtered/g1/haitianos/2021/09_out/txt/g1_acee70b4-2323-11ed-b24f-6dbe51e79fca_3821.txt", "TXT")</f>
        <v/>
      </c>
    </row>
    <row r="402">
      <c r="A402" s="1" t="n">
        <v>400</v>
      </c>
      <c r="B402" t="n">
        <v>2021</v>
      </c>
      <c r="C402" s="2" t="n">
        <v>44473.93962645833</v>
      </c>
      <c r="D402" t="inlineStr">
        <is>
          <t>G1</t>
        </is>
      </c>
      <c r="E402" t="inlineStr">
        <is>
          <t>HAITIANOS</t>
        </is>
      </c>
      <c r="F402" t="inlineStr">
        <is>
          <t>MUNDO</t>
        </is>
      </c>
      <c r="G402" t="inlineStr">
        <is>
          <t>FRANCE PRESSE</t>
        </is>
      </c>
      <c r="H402" t="inlineStr">
        <is>
          <t>POLÍCIA DESMONTA QUADRILHA QUE LEVAVA HAITIANOS ILEGALMENTE DO CHILE PARA OS EUA</t>
        </is>
      </c>
      <c r="I402" t="inlineStr">
        <is>
          <t>NOVE PESSOAS ACUSADAS DE TRÁFICO DE PESSOAS FORAM PRESAS EM OPERAÇÃO CONJUNTA COM A INTERPOL. HAITIANOS QUE RESIDIAM NO CHILE SAÍAM POR ROTAS CLANDESTINAS MUITAS VEZES LEVANDO CRIANÇAS NASCIDAS EM TERRITÓRIOS CHILENOS.</t>
        </is>
      </c>
      <c r="J402" t="inlineStr"/>
      <c r="K402" t="n">
        <v>0</v>
      </c>
      <c r="L402" t="n">
        <v>2</v>
      </c>
      <c r="M402" t="n">
        <v>1</v>
      </c>
      <c r="N402" t="n">
        <v>0</v>
      </c>
      <c r="O402" t="n">
        <v>10</v>
      </c>
      <c r="P402">
        <f>HYPERLINK("https://g1.globo.com/mundo/noticia/2021/10/04/policia-desmonta-quadrilha-que-levava-haitianos-ilegalmente-do-chile-para-os-eua.ghtml", "URL")</f>
        <v/>
      </c>
      <c r="Q402">
        <f>HYPERLINK("https://raw.githubusercontent.com/marcosmapl/dataset_imigrantes/main/materias_filtered/g1/haitianos/2021/09_out/html/g1_d9cefcf6-22f7-11ed-b24f-6dbe51e79fca_2100.html", "HTML")</f>
        <v/>
      </c>
      <c r="R402">
        <f>HYPERLINK("https://raw.githubusercontent.com/marcosmapl/dataset_imigrantes/main/materias_filtered/g1/haitianos/2021/09_out/txt/g1_d9cefcf6-22f7-11ed-b24f-6dbe51e79fca_2100.txt", "TXT")</f>
        <v/>
      </c>
    </row>
    <row r="403">
      <c r="A403" s="1" t="n">
        <v>401</v>
      </c>
      <c r="B403" t="n">
        <v>2021</v>
      </c>
      <c r="C403" s="2" t="n">
        <v>44473.86625302083</v>
      </c>
      <c r="D403" t="inlineStr">
        <is>
          <t>G1</t>
        </is>
      </c>
      <c r="E403" t="inlineStr">
        <is>
          <t>VENEZUELANOS</t>
        </is>
      </c>
      <c r="F403" t="inlineStr">
        <is>
          <t>MUNDO</t>
        </is>
      </c>
      <c r="G403" t="inlineStr">
        <is>
          <t>FRANCE PRESSE</t>
        </is>
      </c>
      <c r="H403" t="inlineStr">
        <is>
          <t>APÓS DOIS ANOS, VENEZUELA REABRE FRONTEIRA COM COLÔMBIA PARA O COMÉRCIO</t>
        </is>
      </c>
      <c r="I403" t="inlineStr">
        <is>
          <t>PONTE QUE LIGA OS DOIS PAÍSES ESTAVA BLOQUEADA DESDE QUE O GOVERNO BOLIVIANO RECONHECEU JUAN GUAIDÓ COMO PRESIDENTE INTERINO VENEZUELANO EM 2019, IRRITANDO NICOLÁS MADURO.</t>
        </is>
      </c>
      <c r="J403" t="inlineStr"/>
      <c r="K403" t="n">
        <v>0</v>
      </c>
      <c r="L403" t="n">
        <v>3</v>
      </c>
      <c r="M403" t="n">
        <v>1</v>
      </c>
      <c r="N403" t="n">
        <v>0</v>
      </c>
      <c r="O403" t="n">
        <v>7</v>
      </c>
      <c r="P403">
        <f>HYPERLINK("https://g1.globo.com/mundo/noticia/2021/10/04/apos-dois-anos-venezuela-reabre-fronteira-com-colombia-para-o-comercio.ghtml", "URL")</f>
        <v/>
      </c>
      <c r="Q403">
        <f>HYPERLINK("https://raw.githubusercontent.com/marcosmapl/dataset_imigrantes/main/materias_filtered/g1/venezuelanos/2021/09_out/html/g1_4b88f4d0-2327-11ed-b24f-6dbe51e79fca_4026.html", "HTML")</f>
        <v/>
      </c>
      <c r="R403">
        <f>HYPERLINK("https://raw.githubusercontent.com/marcosmapl/dataset_imigrantes/main/materias_filtered/g1/venezuelanos/2021/09_out/txt/g1_4b88f4d0-2327-11ed-b24f-6dbe51e79fca_4026.txt", "TXT")</f>
        <v/>
      </c>
    </row>
    <row r="404">
      <c r="A404" s="1" t="n">
        <v>402</v>
      </c>
      <c r="B404" t="n">
        <v>2021</v>
      </c>
      <c r="C404" s="2" t="n">
        <v>44470.96868520833</v>
      </c>
      <c r="D404" t="inlineStr">
        <is>
          <t>G1</t>
        </is>
      </c>
      <c r="E404" t="inlineStr">
        <is>
          <t>VENEZUELANOS</t>
        </is>
      </c>
      <c r="F404" t="inlineStr">
        <is>
          <t>TOCANTINS</t>
        </is>
      </c>
      <c r="G404" t="inlineStr">
        <is>
          <t>G1 TOCANTINS</t>
        </is>
      </c>
      <c r="H404" t="inlineStr">
        <is>
          <t>JUSTIÇA DETERMINA QUE PREFEITURA DE ARAGUAÍNA CONTRATE VENEZUELANOS REFUGIADOS NA CIDADE</t>
        </is>
      </c>
      <c r="I404" t="inlineStr">
        <is>
          <t>A SENTENÇA É PARA QUE 13 CHEFES DE FAMÍLIAS QUE FUGIRAM PARA A CIDADE POR CAUSA DA CRISE HUMANITÁRIA NA VENEZUELA SEJAM CHAMADOS PARA EMPREGOS TEMPORÁRIOS. MUNICÍPIO TAMBÉM É OBRIGADO A PAGAR CONTAS DE ÁGUA E LUZ ATRASADAS DO IMÓVEL ONDE ELES ESTÃO ABRIGADOS.</t>
        </is>
      </c>
      <c r="J404" t="inlineStr"/>
      <c r="K404" t="n">
        <v>0</v>
      </c>
      <c r="L404" t="n">
        <v>1</v>
      </c>
      <c r="M404" t="n">
        <v>0</v>
      </c>
      <c r="N404" t="n">
        <v>0</v>
      </c>
      <c r="O404" t="n">
        <v>1</v>
      </c>
      <c r="P404">
        <f>HYPERLINK("https://g1.globo.com/to/tocantins/noticia/2021/10/01/justica-determina-que-prefeitura-de-araguaina-contrate-venezuelanos-refugiados-na-cidade.ghtml", "URL")</f>
        <v/>
      </c>
      <c r="Q404">
        <f>HYPERLINK("https://raw.githubusercontent.com/marcosmapl/dataset_imigrantes/main/materias_filtered/g1/venezuelanos/2021/09_out/html/g1_5d8e64fe-2326-11ed-b24f-6dbe51e79fca_3972.html", "HTML")</f>
        <v/>
      </c>
      <c r="R404">
        <f>HYPERLINK("https://raw.githubusercontent.com/marcosmapl/dataset_imigrantes/main/materias_filtered/g1/venezuelanos/2021/09_out/txt/g1_5d8e64fe-2326-11ed-b24f-6dbe51e79fca_3972.txt", "TXT")</f>
        <v/>
      </c>
    </row>
    <row r="405">
      <c r="A405" s="1" t="n">
        <v>403</v>
      </c>
      <c r="B405" t="n">
        <v>2021</v>
      </c>
      <c r="C405" s="2" t="n">
        <v>44470.85694444444</v>
      </c>
      <c r="D405" t="inlineStr">
        <is>
          <t>A CRITICA</t>
        </is>
      </c>
      <c r="E405" t="inlineStr">
        <is>
          <t>VENEZUELANOS</t>
        </is>
      </c>
      <c r="F405" t="inlineStr"/>
      <c r="G405" t="inlineStr">
        <is>
          <t>AFP</t>
        </is>
      </c>
      <c r="H405" t="inlineStr">
        <is>
          <t>DESVALORIZADO, DINHEIRO VENEZUELANO VIRA BRINQUEDO NAS MÃOS DE CRIANÇAS</t>
        </is>
      </c>
      <c r="I405" t="inlineStr">
        <is>
          <t>NOTA DE 1 MILHÃO DE BOLÍVAR VENEZUELANO VALE O EQUIVALENTE A DOIS TEMPEROS EM UMA LOJA DE PUERTO CONCHA, NA VENEZUELA, QUE SOFRE COM CRISE ECONÔMICA</t>
        </is>
      </c>
      <c r="J405" t="inlineStr"/>
      <c r="K405" t="n">
        <v>0</v>
      </c>
      <c r="L405" t="n">
        <v>1</v>
      </c>
      <c r="M405" t="n">
        <v>0</v>
      </c>
      <c r="N405" t="n">
        <v>0</v>
      </c>
      <c r="O405" t="n">
        <v>0</v>
      </c>
      <c r="P405">
        <f>HYPERLINK("https://www.acritica.com/desvalorizado-dinheiro-venezuelano-vira-brinquedo-nas-m-os-de-criancas-1.8281", "URL")</f>
        <v/>
      </c>
      <c r="Q405">
        <f>HYPERLINK("https://raw.githubusercontent.com/marcosmapl/dataset_imigrantes/main/materias_filtered/a_critica/venezuelanos/2021/09_out/html/1.8281_384.html", "HTML")</f>
        <v/>
      </c>
      <c r="R405">
        <f>HYPERLINK("https://raw.githubusercontent.com/marcosmapl/dataset_imigrantes/main/materias_filtered/a_critica/venezuelanos/2021/09_out/txt/1.8281_384.txt", "TXT")</f>
        <v/>
      </c>
    </row>
    <row r="406">
      <c r="A406" s="1" t="n">
        <v>404</v>
      </c>
      <c r="B406" t="n">
        <v>2021</v>
      </c>
      <c r="C406" s="2" t="n">
        <v>44469.78519548611</v>
      </c>
      <c r="D406" t="inlineStr">
        <is>
          <t>G1</t>
        </is>
      </c>
      <c r="E406" t="inlineStr">
        <is>
          <t>VENEZUELANOS</t>
        </is>
      </c>
      <c r="F406" t="inlineStr">
        <is>
          <t>ECONOMIA</t>
        </is>
      </c>
      <c r="G406" t="inlineStr">
        <is>
          <t>FRANCE PRESSE</t>
        </is>
      </c>
      <c r="H406" t="inlineStr">
        <is>
          <t>CÉDULAS EM DESUSO VIRAM BRINQUEDO NAS MÃOS DE CRIANÇAS EM POVOADO VENEZUELANO</t>
        </is>
      </c>
      <c r="I406" t="inlineStr">
        <is>
          <t>BOLÍVAR SE DESVALORIZOU 72,54% EM 2021 E NA SEXTA-FEIRA PASSARÁ POR UMA NOVA RECONVERSÃO NA QUAL VAI PERDER SEIS ZEROS.</t>
        </is>
      </c>
      <c r="J406" t="inlineStr"/>
      <c r="K406" t="n">
        <v>0</v>
      </c>
      <c r="L406" t="n">
        <v>2</v>
      </c>
      <c r="M406" t="n">
        <v>0</v>
      </c>
      <c r="N406" t="n">
        <v>0</v>
      </c>
      <c r="O406" t="n">
        <v>2</v>
      </c>
      <c r="P406">
        <f>HYPERLINK("https://g1.globo.com/economia/noticia/2021/09/30/cedulas-em-desuso-viram-brinquedo-nas-maos-de-criancas-em-povoado-venezuelano.ghtml", "URL")</f>
        <v/>
      </c>
      <c r="Q406">
        <f>HYPERLINK("https://raw.githubusercontent.com/marcosmapl/dataset_imigrantes/main/materias_filtered/g1/venezuelanos/2021/08_set/html/g1_9f46762e-231d-11ed-b24f-6dbe51e79fca_3510.html", "HTML")</f>
        <v/>
      </c>
      <c r="R406">
        <f>HYPERLINK("https://raw.githubusercontent.com/marcosmapl/dataset_imigrantes/main/materias_filtered/g1/venezuelanos/2021/08_set/txt/g1_9f46762e-231d-11ed-b24f-6dbe51e79fca_3510.txt", "TXT")</f>
        <v/>
      </c>
    </row>
    <row r="407">
      <c r="A407" s="1" t="n">
        <v>405</v>
      </c>
      <c r="B407" t="n">
        <v>2021</v>
      </c>
      <c r="C407" s="2" t="n">
        <v>44469.73127554398</v>
      </c>
      <c r="D407" t="inlineStr">
        <is>
          <t>G1</t>
        </is>
      </c>
      <c r="E407" t="inlineStr">
        <is>
          <t>VENEZUELANOS</t>
        </is>
      </c>
      <c r="F407" t="inlineStr">
        <is>
          <t>RORAIMA</t>
        </is>
      </c>
      <c r="G407" t="inlineStr">
        <is>
          <t>G1 RR — BOA VISTA</t>
        </is>
      </c>
      <c r="H407" t="inlineStr">
        <is>
          <t>JOVEM VENEZUELANO É MORTO COM TIROS NAS COSTAS E OUVIDO EM BOA VISTA</t>
        </is>
      </c>
      <c r="I407" t="inlineStr">
        <is>
          <t>ANGEL RAFAEL URBAEZ GONZALEZ, DE 23 ANOS, ESTAVA EM UMA BICICLETA QUANDO FOI ATINGIDO PELOS TIROS.</t>
        </is>
      </c>
      <c r="J407" t="inlineStr"/>
      <c r="K407" t="n">
        <v>0</v>
      </c>
      <c r="L407" t="n">
        <v>1</v>
      </c>
      <c r="M407" t="n">
        <v>0</v>
      </c>
      <c r="N407" t="n">
        <v>0</v>
      </c>
      <c r="O407" t="n">
        <v>0</v>
      </c>
      <c r="P407">
        <f>HYPERLINK("https://g1.globo.com/rr/roraima/noticia/2021/09/30/jovem-venezuelano-e-morto-com-tiros-nas-costas-e-ouvido-em-boa-vista.ghtml", "URL")</f>
        <v/>
      </c>
      <c r="Q407">
        <f>HYPERLINK("https://raw.githubusercontent.com/marcosmapl/dataset_imigrantes/main/materias_filtered/g1/venezuelanos/2021/08_set/html/g1_b037670a-231c-11ed-b24f-6dbe51e79fca_3460.html", "HTML")</f>
        <v/>
      </c>
      <c r="R407">
        <f>HYPERLINK("https://raw.githubusercontent.com/marcosmapl/dataset_imigrantes/main/materias_filtered/g1/venezuelanos/2021/08_set/txt/g1_b037670a-231c-11ed-b24f-6dbe51e79fca_3460.txt", "TXT")</f>
        <v/>
      </c>
    </row>
    <row r="408">
      <c r="A408" s="1" t="n">
        <v>406</v>
      </c>
      <c r="B408" t="n">
        <v>2021</v>
      </c>
      <c r="C408" s="2" t="n">
        <v>44468.91649305556</v>
      </c>
      <c r="D408" t="inlineStr">
        <is>
          <t>A CRITICA</t>
        </is>
      </c>
      <c r="E408" t="inlineStr">
        <is>
          <t>HAITIANOS</t>
        </is>
      </c>
      <c r="F408" t="inlineStr">
        <is>
          <t>MANAUS</t>
        </is>
      </c>
      <c r="G408" t="inlineStr">
        <is>
          <t>PORTAL A CRÍTICA</t>
        </is>
      </c>
      <c r="H408" t="inlineStr">
        <is>
          <t>HAITIANOS POSSIVELMENTE VÍTIMAS DE TRÁFICO HUMANO SÃO ABRIGADOS EM MANAUS</t>
        </is>
      </c>
      <c r="I408" t="inlineStr">
        <is>
          <t>GRUPO DESEMBARCOU EM MANAUS NO DOMINGO (29). OS HAITIANOS FORAM DIVIDIDOS EM GRUPOS E ESTÃO HOSPEDADOS EM DOIS HOTÉIS DA CAPITAL</t>
        </is>
      </c>
      <c r="J408" t="inlineStr"/>
      <c r="K408" t="n">
        <v>0</v>
      </c>
      <c r="L408" t="n">
        <v>1</v>
      </c>
      <c r="M408" t="n">
        <v>0</v>
      </c>
      <c r="N408" t="n">
        <v>0</v>
      </c>
      <c r="O408" t="n">
        <v>0</v>
      </c>
      <c r="P408">
        <f>HYPERLINK("https://www.acritica.com/manaus/haitianos-possivelmente-vitimas-de-trafico-humano-s-o-abrigados-em-manaus-1.8423", "URL")</f>
        <v/>
      </c>
      <c r="Q408">
        <f>HYPERLINK("https://raw.githubusercontent.com/marcosmapl/dataset_imigrantes/main/materias_filtered/a_critica/haitianos/2021/08_set/html/1.8423_1097.html", "HTML")</f>
        <v/>
      </c>
      <c r="R408">
        <f>HYPERLINK("https://raw.githubusercontent.com/marcosmapl/dataset_imigrantes/main/materias_filtered/a_critica/haitianos/2021/08_set/txt/1.8423_1097.txt", "TXT")</f>
        <v/>
      </c>
    </row>
    <row r="409">
      <c r="A409" s="1" t="n">
        <v>407</v>
      </c>
      <c r="B409" t="n">
        <v>2021</v>
      </c>
      <c r="C409" s="2" t="n">
        <v>44468.81678841435</v>
      </c>
      <c r="D409" t="inlineStr">
        <is>
          <t>G1</t>
        </is>
      </c>
      <c r="E409" t="inlineStr">
        <is>
          <t>VENEZUELANOS</t>
        </is>
      </c>
      <c r="F409" t="inlineStr">
        <is>
          <t>DISTRITO FEDERAL</t>
        </is>
      </c>
      <c r="G409" t="inlineStr">
        <is>
          <t>MILENA CASTRO*, G1 DF</t>
        </is>
      </c>
      <c r="H409" t="inlineStr">
        <is>
          <t>FOTOS: TRAJETÓRIA DE REFUGIADOS VENEZUELANOS NO BRASIL É TEMA DE EXPOSIÇÃO NO CCBB BRASÍLIA</t>
        </is>
      </c>
      <c r="I409" t="inlineStr">
        <is>
          <t>EXPOSIÇÃO FICA EM CARTAZ ATÉ 31 DE OUTUBRO. ENTRADA É GRATUITA.</t>
        </is>
      </c>
      <c r="J409" t="inlineStr"/>
      <c r="K409" t="n">
        <v>0</v>
      </c>
      <c r="L409" t="n">
        <v>2</v>
      </c>
      <c r="M409" t="n">
        <v>0</v>
      </c>
      <c r="N409" t="n">
        <v>0</v>
      </c>
      <c r="O409" t="n">
        <v>18</v>
      </c>
      <c r="P409">
        <f>HYPERLINK("https://g1.globo.com/df/distrito-federal/o-que-fazer-no-distrito-federal/noticia/2021/09/29/fotos-trajetoria-de-refugiados-venezuelanos-no-brasil-e-tema-de-exposicao-no-ccbb-brasilia.ghtml", "URL")</f>
        <v/>
      </c>
      <c r="Q409">
        <f>HYPERLINK("https://raw.githubusercontent.com/marcosmapl/dataset_imigrantes/main/materias_filtered/g1/venezuelanos/2021/08_set/html/g1_8479f128-2321-11ed-b24f-6dbe51e79fca_3705.html", "HTML")</f>
        <v/>
      </c>
      <c r="R409">
        <f>HYPERLINK("https://raw.githubusercontent.com/marcosmapl/dataset_imigrantes/main/materias_filtered/g1/venezuelanos/2021/08_set/txt/g1_8479f128-2321-11ed-b24f-6dbe51e79fca_3705.txt", "TXT")</f>
        <v/>
      </c>
    </row>
    <row r="410">
      <c r="A410" s="1" t="n">
        <v>408</v>
      </c>
      <c r="B410" t="n">
        <v>2021</v>
      </c>
      <c r="C410" s="2" t="n">
        <v>44467.82976065972</v>
      </c>
      <c r="D410" t="inlineStr">
        <is>
          <t>G1</t>
        </is>
      </c>
      <c r="E410" t="inlineStr">
        <is>
          <t>HAITIANOS</t>
        </is>
      </c>
      <c r="F410" t="inlineStr">
        <is>
          <t>MUNDO</t>
        </is>
      </c>
      <c r="G410" t="inlineStr">
        <is>
          <t>G1</t>
        </is>
      </c>
      <c r="H410" t="inlineStr">
        <is>
          <t>EMBAIXADA DO BRASIL NO HAITI AVALIA COMO DAR ASSISTÊNCIA A MENORES BRASILEIROS DEPORTADOS DOS EUA</t>
        </is>
      </c>
      <c r="I410" t="inlineStr">
        <is>
          <t>ITAMARATY INFORMOU QUE FOI COMUNICADO SOBRE A EXISTÊNCIA DOS MENORES POR ORGANIZAÇÃO INTERNACIONAL PARA AS MIGRAÇÕES. PAIS SÃO HAITIANOS, MAS CRIANÇAS, MAIORIA COM ATÉ TRÊS ANOS DE IDADE, NASCERAM NO BRASIL.</t>
        </is>
      </c>
      <c r="J410" t="inlineStr"/>
      <c r="K410" t="n">
        <v>0</v>
      </c>
      <c r="L410" t="n">
        <v>1</v>
      </c>
      <c r="M410" t="n">
        <v>0</v>
      </c>
      <c r="N410" t="n">
        <v>0</v>
      </c>
      <c r="O410" t="n">
        <v>4</v>
      </c>
      <c r="P410">
        <f>HYPERLINK("https://g1.globo.com/mundo/noticia/2021/09/28/embaixada-do-brasil-no-haiti-avalia-como-dar-assistencia-a-menores-brasileiros-deportados-dos-eua.ghtml", "URL")</f>
        <v/>
      </c>
      <c r="Q410">
        <f>HYPERLINK("https://raw.githubusercontent.com/marcosmapl/dataset_imigrantes/main/materias_filtered/g1/haitianos/2021/08_set/html/g1_b51280ce-22fa-11ed-b24f-6dbe51e79fca_2236.html", "HTML")</f>
        <v/>
      </c>
      <c r="R410">
        <f>HYPERLINK("https://raw.githubusercontent.com/marcosmapl/dataset_imigrantes/main/materias_filtered/g1/haitianos/2021/08_set/txt/g1_b51280ce-22fa-11ed-b24f-6dbe51e79fca_2236.txt", "TXT")</f>
        <v/>
      </c>
    </row>
    <row r="411">
      <c r="A411" s="1" t="n">
        <v>409</v>
      </c>
      <c r="B411" t="n">
        <v>2021</v>
      </c>
      <c r="C411" s="2" t="n">
        <v>44467.61907327546</v>
      </c>
      <c r="D411" t="inlineStr">
        <is>
          <t>G1</t>
        </is>
      </c>
      <c r="E411" t="inlineStr">
        <is>
          <t>HAITIANOS</t>
        </is>
      </c>
      <c r="F411" t="inlineStr">
        <is>
          <t>MUNDO</t>
        </is>
      </c>
      <c r="G411" t="inlineStr">
        <is>
          <t>G1</t>
        </is>
      </c>
      <c r="H411" t="inlineStr">
        <is>
          <t>HAITI: PRIMEIRO-MINISTRO SUSPENDE ELEIÇÕES E NÃO DEFINE DATA PARA REALIZÁ-LAS</t>
        </is>
      </c>
      <c r="I411" t="inlineStr">
        <is>
          <t>ELEIÇÕES ESTAVAM PROGRAMADAS PARA OCORRER EM NOVEMBRO. O PRIMEIRO-MINISTRO FOI NOMEADO DOIS DIAS ANTES DA MORTE DO PRESIDENTE JOVENEL MOISE.</t>
        </is>
      </c>
      <c r="J411" t="inlineStr"/>
      <c r="K411" t="n">
        <v>0</v>
      </c>
      <c r="L411" t="n">
        <v>2</v>
      </c>
      <c r="M411" t="n">
        <v>2</v>
      </c>
      <c r="N411" t="n">
        <v>0</v>
      </c>
      <c r="O411" t="n">
        <v>6</v>
      </c>
      <c r="P411">
        <f>HYPERLINK("https://g1.globo.com/mundo/noticia/2021/09/28/haiti-primeiro-ministro-suspende-eleicoes-e-nao-define-data-para-realiza-las.ghtml", "URL")</f>
        <v/>
      </c>
      <c r="Q411">
        <f>HYPERLINK("https://raw.githubusercontent.com/marcosmapl/dataset_imigrantes/main/materias_filtered/g1/haitianos/2021/08_set/html/g1_0f5449be-2319-11ed-b24f-6dbe51e79fca_3297.html", "HTML")</f>
        <v/>
      </c>
      <c r="R411">
        <f>HYPERLINK("https://raw.githubusercontent.com/marcosmapl/dataset_imigrantes/main/materias_filtered/g1/haitianos/2021/08_set/txt/g1_0f5449be-2319-11ed-b24f-6dbe51e79fca_3297.txt", "TXT")</f>
        <v/>
      </c>
    </row>
    <row r="412">
      <c r="A412" s="1" t="n">
        <v>410</v>
      </c>
      <c r="B412" t="n">
        <v>2021</v>
      </c>
      <c r="C412" s="2" t="n">
        <v>44467.5106665625</v>
      </c>
      <c r="D412" t="inlineStr">
        <is>
          <t>G1</t>
        </is>
      </c>
      <c r="E412" t="inlineStr">
        <is>
          <t>HAITIANOS</t>
        </is>
      </c>
      <c r="F412" t="inlineStr">
        <is>
          <t>MUNDO</t>
        </is>
      </c>
      <c r="G412" t="inlineStr">
        <is>
          <t>BBC</t>
        </is>
      </c>
      <c r="H412" t="inlineStr">
        <is>
          <t>CRISE MIGRATÓRIA: 'ANDEI POR 2 MESES E ATRAVESSEI UM CONTINENTE PARA CHEGAR AOS EUA'</t>
        </is>
      </c>
      <c r="I412" t="inlineStr">
        <is>
          <t>NA SEGUNDA SEMANA DE SETEMBRO, DE ACORDO COM ESTIMATIVAS OFICIAIS, CERCA DE 14 MIL PESSOAS ESTAVAM ACAMPADAS SOB A PONTE INTERNACIONAL QUE LIGA OS EUA AO MÉXICO. A MAIORIA DELAS É HAITIANA.</t>
        </is>
      </c>
      <c r="J412" t="inlineStr"/>
      <c r="K412" t="n">
        <v>0</v>
      </c>
      <c r="L412" t="n">
        <v>2</v>
      </c>
      <c r="M412" t="n">
        <v>1</v>
      </c>
      <c r="N412" t="n">
        <v>0</v>
      </c>
      <c r="O412" t="n">
        <v>12</v>
      </c>
      <c r="P412">
        <f>HYPERLINK("https://g1.globo.com/mundo/noticia/2021/09/28/crise-migratoria-andei-por-2-meses-e-atravessei-um-continente-para-chegar-aos-eua.ghtml", "URL")</f>
        <v/>
      </c>
      <c r="Q412">
        <f>HYPERLINK("https://raw.githubusercontent.com/marcosmapl/dataset_imigrantes/main/materias_filtered/g1/haitianos/2021/08_set/html/g1_202637be-232a-11ed-b24f-6dbe51e79fca_4159.html", "HTML")</f>
        <v/>
      </c>
      <c r="R412">
        <f>HYPERLINK("https://raw.githubusercontent.com/marcosmapl/dataset_imigrantes/main/materias_filtered/g1/haitianos/2021/08_set/txt/g1_202637be-232a-11ed-b24f-6dbe51e79fca_4159.txt", "TXT")</f>
        <v/>
      </c>
    </row>
    <row r="413">
      <c r="A413" s="1" t="n">
        <v>411</v>
      </c>
      <c r="B413" t="n">
        <v>2021</v>
      </c>
      <c r="C413" s="2" t="n">
        <v>44467.40142834491</v>
      </c>
      <c r="D413" t="inlineStr">
        <is>
          <t>G1</t>
        </is>
      </c>
      <c r="E413" t="inlineStr">
        <is>
          <t>HAITIANOS</t>
        </is>
      </c>
      <c r="F413" t="inlineStr">
        <is>
          <t>MUNDO</t>
        </is>
      </c>
      <c r="G413" t="inlineStr">
        <is>
          <t>MARIANA SANCHES, BBC</t>
        </is>
      </c>
      <c r="H413" t="inlineStr">
        <is>
          <t>CRISE MIGRATÓRIA: EUA DEPORTAM 30 CRIANÇAS BRASILEIRAS PARA O HAITI</t>
        </is>
      </c>
      <c r="I413" t="inlineStr">
        <is>
          <t>DADOS OBTIDOS PELA BBC NEWS BRASIL FORAM CONSOLIDADOS PELA ORGANIZAÇÃO INTERNACIONAL PARA AS MIGRAÇÕES (OIM). MAIS DE 3,5 MIL PESSOAS JÁ FORAM DEPORTADAS PARA O PAÍS NOS ÚLTIMOS DIAS.</t>
        </is>
      </c>
      <c r="J413" t="inlineStr"/>
      <c r="K413" t="n">
        <v>0</v>
      </c>
      <c r="L413" t="n">
        <v>2</v>
      </c>
      <c r="M413" t="n">
        <v>1</v>
      </c>
      <c r="N413" t="n">
        <v>0</v>
      </c>
      <c r="O413" t="n">
        <v>19</v>
      </c>
      <c r="P413">
        <f>HYPERLINK("https://g1.globo.com/mundo/noticia/2021/09/28/crise-migratoria-eua-deportam-30-criancas-brasileiras-para-o-haiti.ghtml", "URL")</f>
        <v/>
      </c>
      <c r="Q413">
        <f>HYPERLINK("https://raw.githubusercontent.com/marcosmapl/dataset_imigrantes/main/materias_filtered/g1/haitianos/2021/08_set/html/g1_169d89a4-2311-11ed-b24f-6dbe51e79fca_2897.html", "HTML")</f>
        <v/>
      </c>
      <c r="R413">
        <f>HYPERLINK("https://raw.githubusercontent.com/marcosmapl/dataset_imigrantes/main/materias_filtered/g1/haitianos/2021/08_set/txt/g1_169d89a4-2311-11ed-b24f-6dbe51e79fca_2897.txt", "TXT")</f>
        <v/>
      </c>
    </row>
    <row r="414">
      <c r="A414" s="1" t="n">
        <v>412</v>
      </c>
      <c r="B414" t="n">
        <v>2021</v>
      </c>
      <c r="C414" s="2" t="n">
        <v>44466.56519599537</v>
      </c>
      <c r="D414" t="inlineStr">
        <is>
          <t>G1</t>
        </is>
      </c>
      <c r="E414" t="inlineStr">
        <is>
          <t>HAITIANOS</t>
        </is>
      </c>
      <c r="F414" t="inlineStr">
        <is>
          <t>MUNDO</t>
        </is>
      </c>
      <c r="G414" t="inlineStr">
        <is>
          <t>BBC</t>
        </is>
      </c>
      <c r="H414" t="inlineStr">
        <is>
          <t>MIGRAÇÃO PARA OS EUA: 5 PERGUNTAS PARA ENTENDER ÊXODO DE HAITIANOS</t>
        </is>
      </c>
      <c r="I414" t="inlineStr">
        <is>
          <t>HAITIANOS ENFRENTAM GRAVE CRISE MIGRATÓRIA, COM MILHARES ACAMPANDO NA FRONTEIRA ENTRE ESTADOS UNIDOS E MÉXICO E OUTROS MILHARES DEPORTADOS PARA O HAITI DE SURPRESA.</t>
        </is>
      </c>
      <c r="J414" t="inlineStr"/>
      <c r="K414" t="n">
        <v>0</v>
      </c>
      <c r="L414" t="n">
        <v>3</v>
      </c>
      <c r="M414" t="n">
        <v>1</v>
      </c>
      <c r="N414" t="n">
        <v>0</v>
      </c>
      <c r="O414" t="n">
        <v>11</v>
      </c>
      <c r="P414">
        <f>HYPERLINK("https://g1.globo.com/mundo/noticia/2021/09/27/migracao-para-os-eua-5-perguntas-para-entender-exodo-de-haitianos.ghtml", "URL")</f>
        <v/>
      </c>
      <c r="Q414">
        <f>HYPERLINK("https://raw.githubusercontent.com/marcosmapl/dataset_imigrantes/main/materias_filtered/g1/haitianos/2021/08_set/html/g1_823dfea4-22f9-11ed-b24f-6dbe51e79fca_2166.html", "HTML")</f>
        <v/>
      </c>
      <c r="R414">
        <f>HYPERLINK("https://raw.githubusercontent.com/marcosmapl/dataset_imigrantes/main/materias_filtered/g1/haitianos/2021/08_set/txt/g1_823dfea4-22f9-11ed-b24f-6dbe51e79fca_2166.txt", "TXT")</f>
        <v/>
      </c>
    </row>
    <row r="415">
      <c r="A415" s="1" t="n">
        <v>413</v>
      </c>
      <c r="B415" t="n">
        <v>2021</v>
      </c>
      <c r="C415" s="2" t="n">
        <v>44465.83891105324</v>
      </c>
      <c r="D415" t="inlineStr">
        <is>
          <t>G1</t>
        </is>
      </c>
      <c r="E415" t="inlineStr">
        <is>
          <t>VENEZUELANOS</t>
        </is>
      </c>
      <c r="F415" t="inlineStr">
        <is>
          <t>MUNDO</t>
        </is>
      </c>
      <c r="G415" t="inlineStr">
        <is>
          <t>FRANCE PRESSE</t>
        </is>
      </c>
      <c r="H415" t="inlineStr">
        <is>
          <t>MP CHILENO ABRE INVESTIGAÇÃO SOBRE PROTESTO CONTRA VENEZUELANOS</t>
        </is>
      </c>
      <c r="I415" t="inlineStr">
        <is>
          <t>CERCA DE 3.000 PESSOAS FORAM ÀS RUAS DE IQUIQUE, NO NORTE DO CHILE, PARA SE MANIFESTAR CONTRA IMIGRANTES IRREGULARES. GRUPO SE DIRIGIU A ACAMPAMENTO DE VENEZUELANOS E QUEIMOU PERTENCES COMO BARRACAS, COLCHÕES, BOLSAS E COBERTORES.</t>
        </is>
      </c>
      <c r="J415" t="inlineStr"/>
      <c r="K415" t="n">
        <v>0</v>
      </c>
      <c r="L415" t="n">
        <v>2</v>
      </c>
      <c r="M415" t="n">
        <v>0</v>
      </c>
      <c r="N415" t="n">
        <v>0</v>
      </c>
      <c r="O415" t="n">
        <v>4</v>
      </c>
      <c r="P415">
        <f>HYPERLINK("https://g1.globo.com/mundo/noticia/2021/09/26/mp-chileno-abre-investigacao-sobre-protesto-contra-venezuelanos.ghtml", "URL")</f>
        <v/>
      </c>
      <c r="Q415">
        <f>HYPERLINK("https://raw.githubusercontent.com/marcosmapl/dataset_imigrantes/main/materias_filtered/g1/venezuelanos/2021/08_set/html/g1_b28f26b8-231d-11ed-b24f-6dbe51e79fca_3516.html", "HTML")</f>
        <v/>
      </c>
      <c r="R415">
        <f>HYPERLINK("https://raw.githubusercontent.com/marcosmapl/dataset_imigrantes/main/materias_filtered/g1/venezuelanos/2021/08_set/txt/g1_b28f26b8-231d-11ed-b24f-6dbe51e79fca_3516.txt", "TXT")</f>
        <v/>
      </c>
    </row>
    <row r="416">
      <c r="A416" s="1" t="n">
        <v>414</v>
      </c>
      <c r="B416" t="n">
        <v>2021</v>
      </c>
      <c r="C416" s="2" t="n">
        <v>44465.4646919213</v>
      </c>
      <c r="D416" t="inlineStr">
        <is>
          <t>G1</t>
        </is>
      </c>
      <c r="E416" t="inlineStr">
        <is>
          <t>HAITIANOS</t>
        </is>
      </c>
      <c r="F416" t="inlineStr">
        <is>
          <t>SOROCABA E JUNDIAÍ</t>
        </is>
      </c>
      <c r="G416" t="inlineStr">
        <is>
          <t>TALISSA MEDEIROS*, G1 SOROCABA E JUNDIAÍ</t>
        </is>
      </c>
      <c r="H416" t="inlineStr">
        <is>
          <t>HAITIANA TENTA TRAZER FILHO DE 6 ANOS AO BRASIL APÓS MORTE DOS PAIS DELA EM TERREMOTO: 'SOFRENDO DEMAIS'</t>
        </is>
      </c>
      <c r="I416" t="inlineStr">
        <is>
          <t>MULHER TENTA ARRECADAR DINHEIRO PARA QUE CRIANÇA, QUE ERA CUIDADA PELOS AVÓS NO HAITI, CONSIGA SER LEVADA ATÉ SOROCABA, NO INTERIOR DE SP; INSTITUTO AJUDA NA CAMPANHA.</t>
        </is>
      </c>
      <c r="J416" t="inlineStr"/>
      <c r="K416" t="n">
        <v>0</v>
      </c>
      <c r="L416" t="n">
        <v>4</v>
      </c>
      <c r="M416" t="n">
        <v>3</v>
      </c>
      <c r="N416" t="n">
        <v>0</v>
      </c>
      <c r="O416" t="n">
        <v>4</v>
      </c>
      <c r="P416">
        <f>HYPERLINK("https://g1.globo.com/sp/sorocaba-jundiai/noticia/2021/09/26/haitiana-tenta-trazer-filho-de-6-anos-ao-brasil-apos-morte-dos-pais-dela-em-terremoto-sofrendo-demais.ghtml", "URL")</f>
        <v/>
      </c>
      <c r="Q416">
        <f>HYPERLINK("https://raw.githubusercontent.com/marcosmapl/dataset_imigrantes/main/materias_filtered/g1/haitianos/2021/08_set/html/g1_9c566b88-232a-11ed-b24f-6dbe51e79fca_4190.html", "HTML")</f>
        <v/>
      </c>
      <c r="R416">
        <f>HYPERLINK("https://raw.githubusercontent.com/marcosmapl/dataset_imigrantes/main/materias_filtered/g1/haitianos/2021/08_set/txt/g1_9c566b88-232a-11ed-b24f-6dbe51e79fca_4190.txt", "TXT")</f>
        <v/>
      </c>
    </row>
    <row r="417">
      <c r="A417" s="1" t="n">
        <v>415</v>
      </c>
      <c r="B417" t="n">
        <v>2021</v>
      </c>
      <c r="C417" s="2" t="n">
        <v>44465.3875</v>
      </c>
      <c r="D417" t="inlineStr">
        <is>
          <t>A CRITICA</t>
        </is>
      </c>
      <c r="E417" t="inlineStr">
        <is>
          <t>AMBOS</t>
        </is>
      </c>
      <c r="F417" t="inlineStr">
        <is>
          <t>MANAUS</t>
        </is>
      </c>
      <c r="G417" t="inlineStr">
        <is>
          <t>KAROL ROCHA</t>
        </is>
      </c>
      <c r="H417" t="inlineStr">
        <is>
          <t>REFÚGIO EDUCACIONAL: REDE PÚBLICA DE ENSINO DO AM COMPORTA MAIS DE 8 MIL ALUNOS ESTRANGEIROS</t>
        </is>
      </c>
      <c r="I417" t="inlineStr">
        <is>
          <t>VINDOS DE PAÍSES COMO VENEZUELA, HAITI, COLÔMBIA, PERU, ENTRE OUTROS, CADA ALUNO TEM UMA HISTÓRIA ÚNICA DE VIDA. ACOLHIMENTO, A INCLUSÃO, ALÉM DO ESTÍMULO À SOCIALIZAÇÃO SÃO PEÇAS FUNDAMENTAIS PARA GARANTIR O APRENDIZADO DELES</t>
        </is>
      </c>
      <c r="J417" t="inlineStr"/>
      <c r="K417" t="n">
        <v>0</v>
      </c>
      <c r="L417" t="n">
        <v>1</v>
      </c>
      <c r="M417" t="n">
        <v>0</v>
      </c>
      <c r="N417" t="n">
        <v>0</v>
      </c>
      <c r="O417" t="n">
        <v>0</v>
      </c>
      <c r="P417">
        <f>HYPERLINK("https://www.acritica.com/manaus/refugio-educacional-rede-publica-de-ensino-do-am-comporta-mais-de-8-mil-alunos-estrangeiros-1.8892", "URL")</f>
        <v/>
      </c>
      <c r="Q417">
        <f>HYPERLINK("https://raw.githubusercontent.com/marcosmapl/dataset_imigrantes/main/materias_filtered/a_critica/ambos/2021/08_set/html/1.8892_1195.html", "HTML")</f>
        <v/>
      </c>
      <c r="R417">
        <f>HYPERLINK("https://raw.githubusercontent.com/marcosmapl/dataset_imigrantes/main/materias_filtered/a_critica/ambos/2021/08_set/txt/1.8892_1195.txt", "TXT")</f>
        <v/>
      </c>
    </row>
    <row r="418">
      <c r="A418" s="1" t="n">
        <v>416</v>
      </c>
      <c r="B418" t="n">
        <v>2021</v>
      </c>
      <c r="C418" s="2" t="n">
        <v>44464.90121024306</v>
      </c>
      <c r="D418" t="inlineStr">
        <is>
          <t>G1</t>
        </is>
      </c>
      <c r="E418" t="inlineStr">
        <is>
          <t>VENEZUELANOS</t>
        </is>
      </c>
      <c r="F418" t="inlineStr">
        <is>
          <t>MUNDO</t>
        </is>
      </c>
      <c r="G418" t="inlineStr">
        <is>
          <t>FRANCE PRESSE</t>
        </is>
      </c>
      <c r="H418" t="inlineStr">
        <is>
          <t>CHILENOS PROTESTAM CONTRA IMIGRANTES E QUEIMAM PERTENCES DE VENEZUELANOS</t>
        </is>
      </c>
      <c r="I418" t="inlineStr">
        <is>
          <t>MANIFESTAÇÃO ACONTECEU EM IQUIQUE, NO NORTE DO PAÍS, CIDADE A 2 MIL QUILÔMETROS DA CAPITAL SANTIAGO</t>
        </is>
      </c>
      <c r="J418" t="inlineStr"/>
      <c r="K418" t="n">
        <v>0</v>
      </c>
      <c r="L418" t="n">
        <v>2</v>
      </c>
      <c r="M418" t="n">
        <v>0</v>
      </c>
      <c r="N418" t="n">
        <v>0</v>
      </c>
      <c r="O418" t="n">
        <v>4</v>
      </c>
      <c r="P418">
        <f>HYPERLINK("https://g1.globo.com/mundo/noticia/2021/09/25/chilenos-protestam-contra-imigrantes-e-queimam-pertences-de-venezuelanos.ghtml", "URL")</f>
        <v/>
      </c>
      <c r="Q418">
        <f>HYPERLINK("https://raw.githubusercontent.com/marcosmapl/dataset_imigrantes/main/materias_filtered/g1/venezuelanos/2021/08_set/html/g1_5e2f777a-231e-11ed-b24f-6dbe51e79fca_3557.html", "HTML")</f>
        <v/>
      </c>
      <c r="R418">
        <f>HYPERLINK("https://raw.githubusercontent.com/marcosmapl/dataset_imigrantes/main/materias_filtered/g1/venezuelanos/2021/08_set/txt/g1_5e2f777a-231e-11ed-b24f-6dbe51e79fca_3557.txt", "TXT")</f>
        <v/>
      </c>
    </row>
    <row r="419">
      <c r="A419" s="1" t="n">
        <v>417</v>
      </c>
      <c r="B419" t="n">
        <v>2021</v>
      </c>
      <c r="C419" s="2" t="n">
        <v>44463.98055555556</v>
      </c>
      <c r="D419" t="inlineStr">
        <is>
          <t>A CRITICA</t>
        </is>
      </c>
      <c r="E419" t="inlineStr">
        <is>
          <t>VENEZUELANOS</t>
        </is>
      </c>
      <c r="F419" t="inlineStr"/>
      <c r="G419" t="inlineStr">
        <is>
          <t>PORTAL A CRÍTICA E AGÊNCIAS</t>
        </is>
      </c>
      <c r="H419" t="inlineStr">
        <is>
          <t>OPERAÇÃO DA POLÍCIA CIVIL EM CAREIRO DA VÁRZEA E CAREIRO CASTANHO CUMPRE OITO MANDADOS DE PRISÃO</t>
        </is>
      </c>
      <c r="I419" t="inlineStr">
        <is>
          <t>AS ORDENS JUDICIAIS SÃO POR ESTUPRO DE VULNERÁVEL, HOMICÍDIO, ESTELIONATO E POR NÃO PAGAMENTO DE PENSÃO ALIMENTÍCIA</t>
        </is>
      </c>
      <c r="J419" t="inlineStr"/>
      <c r="K419" t="n">
        <v>0</v>
      </c>
      <c r="L419" t="n">
        <v>1</v>
      </c>
      <c r="M419" t="n">
        <v>0</v>
      </c>
      <c r="N419" t="n">
        <v>0</v>
      </c>
      <c r="O419" t="n">
        <v>0</v>
      </c>
      <c r="P419">
        <f>HYPERLINK("https://www.acritica.com/operac-o-da-policia-civil-em-careiro-da-varzea-e-careiro-castanho-cumpre-oito-mandados-de-pris-o-1.8881", "URL")</f>
        <v/>
      </c>
      <c r="Q419">
        <f>HYPERLINK("https://raw.githubusercontent.com/marcosmapl/dataset_imigrantes/main/materias_filtered/a_critica/venezuelanos/2021/08_set/html/1.8881_340.html", "HTML")</f>
        <v/>
      </c>
      <c r="R419">
        <f>HYPERLINK("https://raw.githubusercontent.com/marcosmapl/dataset_imigrantes/main/materias_filtered/a_critica/venezuelanos/2021/08_set/txt/1.8881_340.txt", "TXT")</f>
        <v/>
      </c>
    </row>
    <row r="420">
      <c r="A420" s="1" t="n">
        <v>418</v>
      </c>
      <c r="B420" t="n">
        <v>2021</v>
      </c>
      <c r="C420" s="2" t="n">
        <v>44463.76199341435</v>
      </c>
      <c r="D420" t="inlineStr">
        <is>
          <t>G1</t>
        </is>
      </c>
      <c r="E420" t="inlineStr">
        <is>
          <t>HAITIANOS</t>
        </is>
      </c>
      <c r="F420" t="inlineStr">
        <is>
          <t>MUNDO</t>
        </is>
      </c>
      <c r="G420" t="inlineStr">
        <is>
          <t>REUTERS</t>
        </is>
      </c>
      <c r="H420" t="inlineStr">
        <is>
          <t>ONU CONSULTA BRASIL SOBRE RECEBER HAITIANOS ACAMPADOS NA FRONTEIRA ENTRE EUA E MÉXICO, DIZ AGÊNCIA</t>
        </is>
      </c>
      <c r="I420" t="inlineStr">
        <is>
          <t>A OIM (BRAÇO DAS NAÇÕES UNIDAS PARA MIGRAÇÃO) PEDIU AO GOVERNO BOLSONARO QUE RECEBA HAITIANOS QUE TÊM FILHOS BRASILEIROS OU QUE PASSARAM PELO BRASIL ANTES DE ENTRAREM NO MÉXICO.</t>
        </is>
      </c>
      <c r="J420" t="inlineStr"/>
      <c r="K420" t="n">
        <v>0</v>
      </c>
      <c r="L420" t="n">
        <v>3</v>
      </c>
      <c r="M420" t="n">
        <v>2</v>
      </c>
      <c r="N420" t="n">
        <v>0</v>
      </c>
      <c r="O420" t="n">
        <v>9</v>
      </c>
      <c r="P420">
        <f>HYPERLINK("https://g1.globo.com/mundo/noticia/2021/09/24/onu-consulta-brasil-sobre-receber-haitianos-acampados-na-fronteira-entre-eua-e-mexico-diz-agencia.ghtml", "URL")</f>
        <v/>
      </c>
      <c r="Q420">
        <f>HYPERLINK("https://raw.githubusercontent.com/marcosmapl/dataset_imigrantes/main/materias_filtered/g1/haitianos/2021/08_set/html/g1_86bf8172-22f0-11ed-b24f-6dbe51e79fca_1708.html", "HTML")</f>
        <v/>
      </c>
      <c r="R420">
        <f>HYPERLINK("https://raw.githubusercontent.com/marcosmapl/dataset_imigrantes/main/materias_filtered/g1/haitianos/2021/08_set/txt/g1_86bf8172-22f0-11ed-b24f-6dbe51e79fca_1708.txt", "TXT")</f>
        <v/>
      </c>
    </row>
    <row r="421">
      <c r="A421" s="1" t="n">
        <v>419</v>
      </c>
      <c r="B421" t="n">
        <v>2021</v>
      </c>
      <c r="C421" s="2" t="n">
        <v>44463.67777777778</v>
      </c>
      <c r="D421" t="inlineStr">
        <is>
          <t>A CRITICA</t>
        </is>
      </c>
      <c r="E421" t="inlineStr">
        <is>
          <t>VENEZUELANOS</t>
        </is>
      </c>
      <c r="F421" t="inlineStr">
        <is>
          <t>ESPORTES</t>
        </is>
      </c>
      <c r="G421" t="inlineStr">
        <is>
          <t>PORTAL A CRÍTICA</t>
        </is>
      </c>
      <c r="H421" t="inlineStr">
        <is>
          <t>TITE ANUNCIA JOGADORES CONVOCADOS PARA PARTIDA DA SELEÇÃO BRASILEIRA EM MANAUS</t>
        </is>
      </c>
      <c r="I421" t="inlineStr">
        <is>
          <t>OS COMANDADOS DE TITE JOGARÃO NA ARENA DA AMAZÔNIA, CONTRA O URUGUAI, NO DIA 14 DE OUTUBRO</t>
        </is>
      </c>
      <c r="J421" t="inlineStr"/>
      <c r="K421" t="n">
        <v>0</v>
      </c>
      <c r="L421" t="n">
        <v>1</v>
      </c>
      <c r="M421" t="n">
        <v>0</v>
      </c>
      <c r="N421" t="n">
        <v>0</v>
      </c>
      <c r="O421" t="n">
        <v>0</v>
      </c>
      <c r="P421">
        <f>HYPERLINK("https://www.acritica.com/esportes/tite-anuncia-jogadores-convocados-para-partida-da-selec-o-brasileira-em-manaus-1.8911", "URL")</f>
        <v/>
      </c>
      <c r="Q421">
        <f>HYPERLINK("https://raw.githubusercontent.com/marcosmapl/dataset_imigrantes/main/materias_filtered/a_critica/venezuelanos/2021/08_set/html/1.8911_410.html", "HTML")</f>
        <v/>
      </c>
      <c r="R421">
        <f>HYPERLINK("https://raw.githubusercontent.com/marcosmapl/dataset_imigrantes/main/materias_filtered/a_critica/venezuelanos/2021/08_set/txt/1.8911_410.txt", "TXT")</f>
        <v/>
      </c>
    </row>
    <row r="422">
      <c r="A422" s="1" t="n">
        <v>420</v>
      </c>
      <c r="B422" t="n">
        <v>2021</v>
      </c>
      <c r="C422" s="2" t="n">
        <v>44463.02885626158</v>
      </c>
      <c r="D422" t="inlineStr">
        <is>
          <t>G1</t>
        </is>
      </c>
      <c r="E422" t="inlineStr">
        <is>
          <t>HAITIANOS</t>
        </is>
      </c>
      <c r="F422" t="inlineStr">
        <is>
          <t>JORNAL NACIONAL</t>
        </is>
      </c>
      <c r="G422" t="inlineStr">
        <is>
          <t>JORNAL NACIONAL</t>
        </is>
      </c>
      <c r="H422" t="inlineStr">
        <is>
          <t>ENVIADO ESPECIAL DOS EUA AO HAITI PEDE DEMISSÃO APÓS DEPORTAÇÃO DE REFUGIADOS</t>
        </is>
      </c>
      <c r="I422" t="inlineStr">
        <is>
          <t>‘NÃO VOU SEGUIR ASSOCIADO COM A DECISÃO DESUMANA DE DEPORTAR MILHARES DE HAITIANOS’, DISSE NA CARTA EM QUE PEDE PARA DEIXAR O CARGO.</t>
        </is>
      </c>
      <c r="J422" t="inlineStr"/>
      <c r="K422" t="n">
        <v>0</v>
      </c>
      <c r="L422" t="n">
        <v>1</v>
      </c>
      <c r="M422" t="n">
        <v>1</v>
      </c>
      <c r="N422" t="n">
        <v>0</v>
      </c>
      <c r="O422" t="n">
        <v>7</v>
      </c>
      <c r="P422">
        <f>HYPERLINK("https://g1.globo.com/jornal-nacional/noticia/2021/09/23/enviado-especial-dos-eua-ao-haiti-pede-demissao-apos-deportacao-de-refugiados.ghtml", "URL")</f>
        <v/>
      </c>
      <c r="Q422">
        <f>HYPERLINK("https://raw.githubusercontent.com/marcosmapl/dataset_imigrantes/main/materias_filtered/g1/haitianos/2021/08_set/html/g1_d86ed102-22f1-11ed-b24f-6dbe51e79fca_1767.html", "HTML")</f>
        <v/>
      </c>
      <c r="R422">
        <f>HYPERLINK("https://raw.githubusercontent.com/marcosmapl/dataset_imigrantes/main/materias_filtered/g1/haitianos/2021/08_set/txt/g1_d86ed102-22f1-11ed-b24f-6dbe51e79fca_1767.txt", "TXT")</f>
        <v/>
      </c>
    </row>
    <row r="423">
      <c r="A423" s="1" t="n">
        <v>421</v>
      </c>
      <c r="B423" t="n">
        <v>2021</v>
      </c>
      <c r="C423" s="2" t="n">
        <v>44462.89839052083</v>
      </c>
      <c r="D423" t="inlineStr">
        <is>
          <t>G1</t>
        </is>
      </c>
      <c r="E423" t="inlineStr">
        <is>
          <t>HAITIANOS</t>
        </is>
      </c>
      <c r="F423" t="inlineStr">
        <is>
          <t>MUNDO</t>
        </is>
      </c>
      <c r="G423" t="inlineStr">
        <is>
          <t>G1</t>
        </is>
      </c>
      <c r="H423" t="inlineStr">
        <is>
          <t>ENVIADO DOS EUA AO HAITI RENUNCIA E DENUNCIA DEPORTAÇÕES 'DESUMANAS' DE IMIGRANTES; ENTENDA A CRISE</t>
        </is>
      </c>
      <c r="I423" t="inlineStr">
        <is>
          <t>GOVERNO BIDEN COMEÇOU A DEPORTAR MILHARES DE HAITIANOS QUE CHEGARAM AO TEXAS PELA FRONTEIRA DO MÉXICO. REPRESENTANTE AMERICANO NO PAÍS MERGULHADO EM PROFUNDA MISÉRIA E CONVULSÃO SOCIAL DIZ QUE MANDÁ-LOS DE VOLTA É 'DECISÃO DESUMANA E CONTRAPRODUCENTE'.</t>
        </is>
      </c>
      <c r="J423" t="inlineStr"/>
      <c r="K423" t="n">
        <v>0</v>
      </c>
      <c r="L423" t="n">
        <v>3</v>
      </c>
      <c r="M423" t="n">
        <v>2</v>
      </c>
      <c r="N423" t="n">
        <v>0</v>
      </c>
      <c r="O423" t="n">
        <v>0</v>
      </c>
      <c r="P423">
        <f>HYPERLINK("https://g1.globo.com/mundo/noticia/2021/09/23/enviado-dos-eua-ao-haiti-renuncia-e-denuncia-deportacoes-desumanas-de-imigrantes-entenda-a-crise.ghtml", "URL")</f>
        <v/>
      </c>
      <c r="Q423">
        <f>HYPERLINK("https://raw.githubusercontent.com/marcosmapl/dataset_imigrantes/main/materias_filtered/g1/haitianos/2021/08_set/html/g1_d6f82ec4-22f9-11ed-b24f-6dbe51e79fca_2187.html", "HTML")</f>
        <v/>
      </c>
      <c r="R423">
        <f>HYPERLINK("https://raw.githubusercontent.com/marcosmapl/dataset_imigrantes/main/materias_filtered/g1/haitianos/2021/08_set/txt/g1_d6f82ec4-22f9-11ed-b24f-6dbe51e79fca_2187.txt", "TXT")</f>
        <v/>
      </c>
    </row>
    <row r="424">
      <c r="A424" s="1" t="n">
        <v>422</v>
      </c>
      <c r="B424" t="n">
        <v>2021</v>
      </c>
      <c r="C424" s="2" t="n">
        <v>44462.62911436342</v>
      </c>
      <c r="D424" t="inlineStr">
        <is>
          <t>G1</t>
        </is>
      </c>
      <c r="E424" t="inlineStr">
        <is>
          <t>HAITIANOS</t>
        </is>
      </c>
      <c r="F424" t="inlineStr">
        <is>
          <t>MUNDO</t>
        </is>
      </c>
      <c r="G424" t="inlineStr">
        <is>
          <t>BBC</t>
        </is>
      </c>
      <c r="H424" t="inlineStr">
        <is>
          <t>IMIGRANTES DEPORTADOS DOS EUA: AS CENAS DE CAOS E REVOLTA EM AEROPORTO COM CHEGADA DE HAITIANOS</t>
        </is>
      </c>
      <c r="I424" t="inlineStr">
        <is>
          <t>IMAGENS DE VÍDEO REGISTRADAS NO AEROPORTO MOSTRAM PESSOAS LUTANDO PARA PEGAR SEUS PERTENCES PESSOAIS DEPOIS QUE AS BAGAGENS FORAM JOGADAS DE DENTRO DO AVIÃO ORIUNDO DOS EUA.</t>
        </is>
      </c>
      <c r="J424" t="inlineStr"/>
      <c r="K424" t="n">
        <v>0</v>
      </c>
      <c r="L424" t="n">
        <v>3</v>
      </c>
      <c r="M424" t="n">
        <v>2</v>
      </c>
      <c r="N424" t="n">
        <v>0</v>
      </c>
      <c r="O424" t="n">
        <v>5</v>
      </c>
      <c r="P424">
        <f>HYPERLINK("https://g1.globo.com/mundo/noticia/2021/09/23/imigrantes-deportados-dos-eua-as-cenas-de-caos-e-revolta-em-aeroporto-com-chegada-de-haitianos.ghtml", "URL")</f>
        <v/>
      </c>
      <c r="Q424">
        <f>HYPERLINK("https://raw.githubusercontent.com/marcosmapl/dataset_imigrantes/main/materias_filtered/g1/haitianos/2021/08_set/html/g1_28597b10-22fa-11ed-b24f-6dbe51e79fca_2202.html", "HTML")</f>
        <v/>
      </c>
      <c r="R424">
        <f>HYPERLINK("https://raw.githubusercontent.com/marcosmapl/dataset_imigrantes/main/materias_filtered/g1/haitianos/2021/08_set/txt/g1_28597b10-22fa-11ed-b24f-6dbe51e79fca_2202.txt", "TXT")</f>
        <v/>
      </c>
    </row>
    <row r="425">
      <c r="A425" s="1" t="n">
        <v>423</v>
      </c>
      <c r="B425" t="n">
        <v>2021</v>
      </c>
      <c r="C425" s="2" t="n">
        <v>44462.52981986111</v>
      </c>
      <c r="D425" t="inlineStr">
        <is>
          <t>G1</t>
        </is>
      </c>
      <c r="E425" t="inlineStr">
        <is>
          <t>VENEZUELANOS</t>
        </is>
      </c>
      <c r="F425" t="inlineStr">
        <is>
          <t>MATO GROSSO DO SUL</t>
        </is>
      </c>
      <c r="G425" t="inlineStr">
        <is>
          <t>G1 MS</t>
        </is>
      </c>
      <c r="H425" t="inlineStr">
        <is>
          <t>'MEUS FILHOS QUASE MORRERAM. MEU CACHORRO MORREU', DESABAFA MULHER QUE PERDEU QUASE TUDO EM INCÊNDIO EM MS</t>
        </is>
      </c>
      <c r="I425" t="inlineStr">
        <is>
          <t>CASA ONDE ELA MORAVA COM TRÊS FILHOS E MAIS DOIS ADULTOS FICOU DESTRUÍDA. FAMÍLIA VENEZUELANA ESTAVA NO IMÓVEL HÁ CERCA DE DOIS MESES E AGORA PRECISA DE AJUDA.</t>
        </is>
      </c>
      <c r="J425" t="inlineStr"/>
      <c r="K425" t="n">
        <v>0</v>
      </c>
      <c r="L425" t="n">
        <v>4</v>
      </c>
      <c r="M425" t="n">
        <v>0</v>
      </c>
      <c r="N425" t="n">
        <v>0</v>
      </c>
      <c r="O425" t="n">
        <v>2</v>
      </c>
      <c r="P425">
        <f>HYPERLINK("https://g1.globo.com/ms/mato-grosso-do-sul/noticia/2021/09/23/meus-filhos-quase-morreu-meu-cachorro-morreu-desabafa-mulher-que-perdeu-quase-tudo-em-incendio-em-ms.ghtml", "URL")</f>
        <v/>
      </c>
      <c r="Q425">
        <f>HYPERLINK("https://raw.githubusercontent.com/marcosmapl/dataset_imigrantes/main/materias_filtered/g1/venezuelanos/2021/08_set/html/g1_ec42f22e-2307-11ed-b24f-6dbe51e79fca_2352.html", "HTML")</f>
        <v/>
      </c>
      <c r="R425">
        <f>HYPERLINK("https://raw.githubusercontent.com/marcosmapl/dataset_imigrantes/main/materias_filtered/g1/venezuelanos/2021/08_set/txt/g1_ec42f22e-2307-11ed-b24f-6dbe51e79fca_2352.txt", "TXT")</f>
        <v/>
      </c>
    </row>
    <row r="426">
      <c r="A426" s="1" t="n">
        <v>424</v>
      </c>
      <c r="B426" t="n">
        <v>2021</v>
      </c>
      <c r="C426" s="2" t="n">
        <v>44461.53300251158</v>
      </c>
      <c r="D426" t="inlineStr">
        <is>
          <t>G1</t>
        </is>
      </c>
      <c r="E426" t="inlineStr">
        <is>
          <t>VENEZUELANOS</t>
        </is>
      </c>
      <c r="F426" t="inlineStr">
        <is>
          <t>MATO GROSSO DO SUL</t>
        </is>
      </c>
      <c r="G426" t="inlineStr">
        <is>
          <t>TV MORENA</t>
        </is>
      </c>
      <c r="H426" t="inlineStr">
        <is>
          <t>INCÊNDIO DESTRÓI CASA DE VENEZUELANOS QUE MORAVAM HÁ 2 MESES NO LOCAL, EM CAMPO GRANDE</t>
        </is>
      </c>
      <c r="I426" t="inlineStr">
        <is>
          <t>FOGO ACABOU COM MÓVEIS, ROUPAS, CALÇADOS E COM OS POUCOS ALIMENTOS QUE HAVIA NOS ARMÁRIOS.</t>
        </is>
      </c>
      <c r="J426" t="inlineStr"/>
      <c r="K426" t="n">
        <v>0</v>
      </c>
      <c r="L426" t="n">
        <v>4</v>
      </c>
      <c r="M426" t="n">
        <v>1</v>
      </c>
      <c r="N426" t="n">
        <v>0</v>
      </c>
      <c r="O426" t="n">
        <v>1</v>
      </c>
      <c r="P426">
        <f>HYPERLINK("https://g1.globo.com/ms/mato-grosso-do-sul/noticia/2021/09/22/incendio-destroi-casa-de-venezuelanos-que-moravam-ha-2-meses-no-local-em-campo-grande.ghtml", "URL")</f>
        <v/>
      </c>
      <c r="Q426">
        <f>HYPERLINK("https://raw.githubusercontent.com/marcosmapl/dataset_imigrantes/main/materias_filtered/g1/venezuelanos/2021/08_set/html/g1_a6524cfa-230d-11ed-b24f-6dbe51e79fca_2700.html", "HTML")</f>
        <v/>
      </c>
      <c r="R426">
        <f>HYPERLINK("https://raw.githubusercontent.com/marcosmapl/dataset_imigrantes/main/materias_filtered/g1/venezuelanos/2021/08_set/txt/g1_a6524cfa-230d-11ed-b24f-6dbe51e79fca_2700.txt", "TXT")</f>
        <v/>
      </c>
    </row>
    <row r="427">
      <c r="A427" s="1" t="n">
        <v>425</v>
      </c>
      <c r="B427" t="n">
        <v>2021</v>
      </c>
      <c r="C427" s="2" t="n">
        <v>44460.85861111111</v>
      </c>
      <c r="D427" t="inlineStr">
        <is>
          <t>A CRITICA</t>
        </is>
      </c>
      <c r="E427" t="inlineStr">
        <is>
          <t>VENEZUELANOS</t>
        </is>
      </c>
      <c r="F427" t="inlineStr">
        <is>
          <t>OPINIAO</t>
        </is>
      </c>
      <c r="G427" t="inlineStr">
        <is>
          <t>DULCE RODRIGUEZ</t>
        </is>
      </c>
      <c r="H427" t="inlineStr">
        <is>
          <t>JÁ EXPERIMENTOU UMA AREPA VENEZUELANA?</t>
        </is>
      </c>
      <c r="I427" t="inlineStr">
        <is>
          <t>QUANDO UM VENEZUELANO QUER MATAR SAUDADE DE SEU LAR E SEUS COSTUMES, PREPARA UMA AREPA BEM GOSTOSA, DESSAS QUE TEM SABOR A FAMÍLIA.</t>
        </is>
      </c>
      <c r="J427" t="inlineStr">
        <is>
          <t>VIDA-DE-IMIGRANTE</t>
        </is>
      </c>
      <c r="K427" t="n">
        <v>1</v>
      </c>
      <c r="L427" t="n">
        <v>1</v>
      </c>
      <c r="M427" t="n">
        <v>0</v>
      </c>
      <c r="N427" t="n">
        <v>0</v>
      </c>
      <c r="O427" t="n">
        <v>1</v>
      </c>
      <c r="P427">
        <f>HYPERLINK("https://www.acritica.com/opiniao/ja-experimentou-uma-arepa-venezuelana-1.215355", "URL")</f>
        <v/>
      </c>
      <c r="Q427">
        <f>HYPERLINK("https://raw.githubusercontent.com/marcosmapl/dataset_imigrantes/main/materias_filtered/a_critica/venezuelanos/2021/08_set/html/1.215355_912.html", "HTML")</f>
        <v/>
      </c>
      <c r="R427">
        <f>HYPERLINK("https://raw.githubusercontent.com/marcosmapl/dataset_imigrantes/main/materias_filtered/a_critica/venezuelanos/2021/08_set/txt/1.215355_912.txt", "TXT")</f>
        <v/>
      </c>
    </row>
    <row r="428">
      <c r="A428" s="1" t="n">
        <v>426</v>
      </c>
      <c r="B428" t="n">
        <v>2021</v>
      </c>
      <c r="C428" s="2" t="n">
        <v>44460.50198585648</v>
      </c>
      <c r="D428" t="inlineStr">
        <is>
          <t>G1</t>
        </is>
      </c>
      <c r="E428" t="inlineStr">
        <is>
          <t>HAITIANOS</t>
        </is>
      </c>
      <c r="F428" t="inlineStr">
        <is>
          <t>MUNDO</t>
        </is>
      </c>
      <c r="G428" t="inlineStr">
        <is>
          <t>FRANCE PRESSE</t>
        </is>
      </c>
      <c r="H428" t="inlineStr">
        <is>
          <t>EUA INVESTIGAM POLICIAIS QUE AVANÇARAM COM CAVALOS SOBRE IMIGRANTES NA FRONTEIRA</t>
        </is>
      </c>
      <c r="I428" t="inlineStr">
        <is>
          <t>IMAGEM DO FOTÓGRAFO PAUL RATJE, DA AGÊNCIA DE NOTÍCIAS FRANCE PRESSE, MOSTRA AGENTE MONTADO SEGURANDO UM HOMEM PELA CAMISA E OUTRO TENTANDO FUGIR. HAITIANOS ESTÃO SENDO DEPORTADOS.</t>
        </is>
      </c>
      <c r="J428" t="inlineStr"/>
      <c r="K428" t="n">
        <v>0</v>
      </c>
      <c r="L428" t="n">
        <v>2</v>
      </c>
      <c r="M428" t="n">
        <v>1</v>
      </c>
      <c r="N428" t="n">
        <v>0</v>
      </c>
      <c r="O428" t="n">
        <v>6</v>
      </c>
      <c r="P428">
        <f>HYPERLINK("https://g1.globo.com/mundo/noticia/2021/09/21/eua-investigam-policiais-que-avancaram-com-cavalos-sobre-imigrantes-na-fronteira.ghtml", "URL")</f>
        <v/>
      </c>
      <c r="Q428">
        <f>HYPERLINK("https://raw.githubusercontent.com/marcosmapl/dataset_imigrantes/main/materias_filtered/g1/haitianos/2021/08_set/html/g1_c84e892a-22f6-11ed-b24f-6dbe51e79fca_2037.html", "HTML")</f>
        <v/>
      </c>
      <c r="R428">
        <f>HYPERLINK("https://raw.githubusercontent.com/marcosmapl/dataset_imigrantes/main/materias_filtered/g1/haitianos/2021/08_set/txt/g1_c84e892a-22f6-11ed-b24f-6dbe51e79fca_2037.txt", "TXT")</f>
        <v/>
      </c>
    </row>
    <row r="429">
      <c r="A429" s="1" t="n">
        <v>427</v>
      </c>
      <c r="B429" t="n">
        <v>2021</v>
      </c>
      <c r="C429" s="2" t="n">
        <v>44460.36151951389</v>
      </c>
      <c r="D429" t="inlineStr">
        <is>
          <t>G1</t>
        </is>
      </c>
      <c r="E429" t="inlineStr">
        <is>
          <t>HAITIANOS</t>
        </is>
      </c>
      <c r="F429" t="inlineStr">
        <is>
          <t>PODCASTS</t>
        </is>
      </c>
      <c r="G429" t="inlineStr">
        <is>
          <t>G1</t>
        </is>
      </c>
      <c r="H429" t="inlineStr">
        <is>
          <t>RESUMÃO DIÁRIO #129: TERÇA-FEIRA, 21 DE SETEMBRO</t>
        </is>
      </c>
      <c r="I429" t="inlineStr">
        <is>
          <t>JAIR BOLSONARO DEVE DISCURSAR HOJE NA ABERTURA DA ASSEMBLEIA GERAL DA ONU. A CPI DA COVID ESPERA OUVIR O DEPOIMENTO DE WAGNER ROSÁRIO, MINISTRO DA CGU. A CRISE DA EMPRESA CHINESA EVERGRANDE DEIXA EM ALERTA O MERCADO FINANCEIRO E A ECONOMIA DA CHINA. E OS ESTADOS UNIDOS CONTINUAM HOJE A DEPORTAÇÃO DE QUASE 12 MIL HAITIANOS QUE ESTÃO ACAMPADOS NO TEXAS.</t>
        </is>
      </c>
      <c r="J429" t="inlineStr"/>
      <c r="K429" t="n">
        <v>0</v>
      </c>
      <c r="L429" t="n">
        <v>1</v>
      </c>
      <c r="M429" t="n">
        <v>0</v>
      </c>
      <c r="N429" t="n">
        <v>0</v>
      </c>
      <c r="O429" t="n">
        <v>4</v>
      </c>
      <c r="P429">
        <f>HYPERLINK("https://g1.globo.com/podcast/resumao-diario/noticia/2021/09/21/resumao-diario-129-terca-feira-21-de-setembro.ghtml", "URL")</f>
        <v/>
      </c>
      <c r="Q429">
        <f>HYPERLINK("https://raw.githubusercontent.com/marcosmapl/dataset_imigrantes/main/materias_filtered/g1/haitianos/2021/08_set/html/g1_ed53adce-22f4-11ed-b24f-6dbe51e79fca_1920.html", "HTML")</f>
        <v/>
      </c>
      <c r="R429">
        <f>HYPERLINK("https://raw.githubusercontent.com/marcosmapl/dataset_imigrantes/main/materias_filtered/g1/haitianos/2021/08_set/txt/g1_ed53adce-22f4-11ed-b24f-6dbe51e79fca_1920.txt", "TXT")</f>
        <v/>
      </c>
    </row>
    <row r="430">
      <c r="A430" s="1" t="n">
        <v>428</v>
      </c>
      <c r="B430" t="n">
        <v>2021</v>
      </c>
      <c r="C430" s="2" t="n">
        <v>44459.627061875</v>
      </c>
      <c r="D430" t="inlineStr">
        <is>
          <t>G1</t>
        </is>
      </c>
      <c r="E430" t="inlineStr">
        <is>
          <t>HAITIANOS</t>
        </is>
      </c>
      <c r="F430" t="inlineStr">
        <is>
          <t>MUNDO</t>
        </is>
      </c>
      <c r="G430" t="inlineStr">
        <is>
          <t>G1</t>
        </is>
      </c>
      <c r="H430" t="inlineStr">
        <is>
          <t>EUA COMEÇAM A DEPORTAR HAITIANOS EM MASSA; CERCA DE 12 MIL DEVEM SER RETIRADOS DO PAÍS</t>
        </is>
      </c>
      <c r="I430" t="inlineStr">
        <is>
          <t>PODE SER QUE HAJA ATÉ SETE VOOS SEMANAIS COM DESTINO AO HAITI PARA QUE TODOS OS IMIGRANTES QUE FOREM DEPORTADOS SEJAM LEVADOS.</t>
        </is>
      </c>
      <c r="J430" t="inlineStr"/>
      <c r="K430" t="n">
        <v>0</v>
      </c>
      <c r="L430" t="n">
        <v>4</v>
      </c>
      <c r="M430" t="n">
        <v>2</v>
      </c>
      <c r="N430" t="n">
        <v>0</v>
      </c>
      <c r="O430" t="n">
        <v>5</v>
      </c>
      <c r="P430">
        <f>HYPERLINK("https://g1.globo.com/mundo/noticia/2021/09/20/eua-comecam-a-deportar-haitianos-em-massa-cerca-de-12-mil-devem-ser-retirados-do-pais.ghtml", "URL")</f>
        <v/>
      </c>
      <c r="Q430">
        <f>HYPERLINK("https://raw.githubusercontent.com/marcosmapl/dataset_imigrantes/main/materias_filtered/g1/haitianos/2021/08_set/html/g1_9ef4fff4-22f7-11ed-b24f-6dbe51e79fca_2087.html", "HTML")</f>
        <v/>
      </c>
      <c r="R430">
        <f>HYPERLINK("https://raw.githubusercontent.com/marcosmapl/dataset_imigrantes/main/materias_filtered/g1/haitianos/2021/08_set/txt/g1_9ef4fff4-22f7-11ed-b24f-6dbe51e79fca_2087.txt", "TXT")</f>
        <v/>
      </c>
    </row>
    <row r="431">
      <c r="A431" s="1" t="n">
        <v>429</v>
      </c>
      <c r="B431" t="n">
        <v>2021</v>
      </c>
      <c r="C431" s="2" t="n">
        <v>44457.72618012731</v>
      </c>
      <c r="D431" t="inlineStr">
        <is>
          <t>G1</t>
        </is>
      </c>
      <c r="E431" t="inlineStr">
        <is>
          <t>HAITIANOS</t>
        </is>
      </c>
      <c r="F431" t="inlineStr">
        <is>
          <t>PARÁ</t>
        </is>
      </c>
      <c r="G431" t="inlineStr">
        <is>
          <t>G1 PA E TV LIBERAL — BELÉM</t>
        </is>
      </c>
      <c r="H431" t="inlineStr">
        <is>
          <t>CASAL DE HAITIANOS DESEMBARCADOS EM BELÉM É ISOLADO APÓS DIAGNÓSTICO DE COVID-19, DIZ INSTITUIÇÃO</t>
        </is>
      </c>
      <c r="I431" t="inlineStr">
        <is>
          <t>POLÍCIA FEDERAL INVESTIGA A CHEGADA DOS IMIGRANTES E DIZ QUE ELES ESTARIAM EM SITUAÇÃO DE TRÁFICO HUMANO E VULNERABILIDADE.</t>
        </is>
      </c>
      <c r="J431" t="inlineStr"/>
      <c r="K431" t="n">
        <v>0</v>
      </c>
      <c r="L431" t="n">
        <v>2</v>
      </c>
      <c r="M431" t="n">
        <v>1</v>
      </c>
      <c r="N431" t="n">
        <v>0</v>
      </c>
      <c r="O431" t="n">
        <v>6</v>
      </c>
      <c r="P431">
        <f>HYPERLINK("https://g1.globo.com/pa/para/noticia/2021/09/18/casal-de-haitianos-desembarcados-em-belem-e-isolado-apos-diagnostico-de-covid-19-diz-instituicao.ghtml", "URL")</f>
        <v/>
      </c>
      <c r="Q431">
        <f>HYPERLINK("https://raw.githubusercontent.com/marcosmapl/dataset_imigrantes/main/materias_filtered/g1/haitianos/2021/08_set/html/g1_82efb70a-22f1-11ed-b24f-6dbe51e79fca_1753.html", "HTML")</f>
        <v/>
      </c>
      <c r="R431">
        <f>HYPERLINK("https://raw.githubusercontent.com/marcosmapl/dataset_imigrantes/main/materias_filtered/g1/haitianos/2021/08_set/txt/g1_82efb70a-22f1-11ed-b24f-6dbe51e79fca_1753.txt", "TXT")</f>
        <v/>
      </c>
    </row>
    <row r="432">
      <c r="A432" s="1" t="n">
        <v>430</v>
      </c>
      <c r="B432" t="n">
        <v>2021</v>
      </c>
      <c r="C432" s="2" t="n">
        <v>44457.05337822917</v>
      </c>
      <c r="D432" t="inlineStr">
        <is>
          <t>G1</t>
        </is>
      </c>
      <c r="E432" t="inlineStr">
        <is>
          <t>HAITIANOS</t>
        </is>
      </c>
      <c r="F432" t="inlineStr">
        <is>
          <t>AMAPÁ</t>
        </is>
      </c>
      <c r="G432" t="inlineStr">
        <is>
          <t>G1 AP — MACAPÁ</t>
        </is>
      </c>
      <c r="H432" t="inlineStr">
        <is>
          <t>'COIOTES' SÃO PRESOS POR FACILITAR ENTRADA DE HAITIANOS NO BRASIL PELA FRONTEIRA COM A GUIANA FRANCESA</t>
        </is>
      </c>
      <c r="I432" t="inlineStr">
        <is>
          <t>TRIO FOI DETIDO COM 13 HAITIANOS NA CIDADE FRONTEIRIÇA DE OIAPOQUE, NO EXTREMO NORTE DO AMAPÁ.</t>
        </is>
      </c>
      <c r="J432" t="inlineStr"/>
      <c r="K432" t="n">
        <v>0</v>
      </c>
      <c r="L432" t="n">
        <v>4</v>
      </c>
      <c r="M432" t="n">
        <v>0</v>
      </c>
      <c r="N432" t="n">
        <v>0</v>
      </c>
      <c r="O432" t="n">
        <v>8</v>
      </c>
      <c r="P432">
        <f>HYPERLINK("https://g1.globo.com/ap/amapa/noticia/2021/09/17/coiotes-sao-presos-por-facilitar-entrada-de-haitianos-no-brasil-pela-fronteira-com-a-guiana-francesa.ghtml", "URL")</f>
        <v/>
      </c>
      <c r="Q432">
        <f>HYPERLINK("https://raw.githubusercontent.com/marcosmapl/dataset_imigrantes/main/materias_filtered/g1/haitianos/2021/08_set/html/g1_fad16260-22fa-11ed-b24f-6dbe51e79fca_2254.html", "HTML")</f>
        <v/>
      </c>
      <c r="R432">
        <f>HYPERLINK("https://raw.githubusercontent.com/marcosmapl/dataset_imigrantes/main/materias_filtered/g1/haitianos/2021/08_set/txt/g1_fad16260-22fa-11ed-b24f-6dbe51e79fca_2254.txt", "TXT")</f>
        <v/>
      </c>
    </row>
    <row r="433">
      <c r="A433" s="1" t="n">
        <v>431</v>
      </c>
      <c r="B433" t="n">
        <v>2021</v>
      </c>
      <c r="C433" s="2" t="n">
        <v>44457.04187570602</v>
      </c>
      <c r="D433" t="inlineStr">
        <is>
          <t>G1</t>
        </is>
      </c>
      <c r="E433" t="inlineStr">
        <is>
          <t>HAITIANOS</t>
        </is>
      </c>
      <c r="F433" t="inlineStr">
        <is>
          <t>PARÁ</t>
        </is>
      </c>
      <c r="G433" t="inlineStr">
        <is>
          <t>G1 PA — BELÉM</t>
        </is>
      </c>
      <c r="H433" t="inlineStr">
        <is>
          <t>AO MENOS 65 HAITIANOS DESEMBARCADOS EM BELÉM ESTARIAM EM SITUAÇÃO DE TRÁFICO HUMANO, DIZ PF</t>
        </is>
      </c>
      <c r="I433" t="inlineStr">
        <is>
          <t>ENTRE AS PESSOAS, ESTÃO AO MENOS 17 CRIANÇAS, QUE FORAM LEVADAS PARA UM ABRIGO NA CAPITAL DO PARÁ.</t>
        </is>
      </c>
      <c r="J433" t="inlineStr"/>
      <c r="K433" t="n">
        <v>0</v>
      </c>
      <c r="L433" t="n">
        <v>1</v>
      </c>
      <c r="M433" t="n">
        <v>0</v>
      </c>
      <c r="N433" t="n">
        <v>0</v>
      </c>
      <c r="O433" t="n">
        <v>2</v>
      </c>
      <c r="P433">
        <f>HYPERLINK("https://g1.globo.com/pa/para/noticia/2021/09/17/ao-menos-65-haitianos-desembarcados-em-belem-estariam-em-situacao-de-trafico-humano-diz-pf.ghtml", "URL")</f>
        <v/>
      </c>
      <c r="Q433">
        <f>HYPERLINK("https://raw.githubusercontent.com/marcosmapl/dataset_imigrantes/main/materias_filtered/g1/haitianos/2021/08_set/html/g1_7bdcbd1e-22f6-11ed-b24f-6dbe51e79fca_2016.html", "HTML")</f>
        <v/>
      </c>
      <c r="R433">
        <f>HYPERLINK("https://raw.githubusercontent.com/marcosmapl/dataset_imigrantes/main/materias_filtered/g1/haitianos/2021/08_set/txt/g1_7bdcbd1e-22f6-11ed-b24f-6dbe51e79fca_2016.txt", "TXT")</f>
        <v/>
      </c>
    </row>
    <row r="434">
      <c r="A434" s="1" t="n">
        <v>432</v>
      </c>
      <c r="B434" t="n">
        <v>2021</v>
      </c>
      <c r="C434" s="2" t="n">
        <v>44455.75413133102</v>
      </c>
      <c r="D434" t="inlineStr">
        <is>
          <t>G1</t>
        </is>
      </c>
      <c r="E434" t="inlineStr">
        <is>
          <t>VENEZUELANOS</t>
        </is>
      </c>
      <c r="F434" t="inlineStr">
        <is>
          <t>RORAIMA</t>
        </is>
      </c>
      <c r="G434" t="inlineStr">
        <is>
          <t>G1 RR — BOA VISTA</t>
        </is>
      </c>
      <c r="H434" t="inlineStr">
        <is>
          <t>MIGRAÇÃO VENEZUELANA EM RORAIMA É TEMA DE DOCUMENTÁRIO PRODUZIDO PELA CÁRITAS</t>
        </is>
      </c>
      <c r="I434" t="inlineStr">
        <is>
          <t>O FILME SERÁ LANÇADO NO SÁBADO (18) E ABORDARÁ OS IMPACTOS DA OPERAÇÃO ORINOCO NA VIDA DAS FAMÍLIAS VENEZUELANAS.</t>
        </is>
      </c>
      <c r="J434" t="inlineStr"/>
      <c r="K434" t="n">
        <v>0</v>
      </c>
      <c r="L434" t="n">
        <v>1</v>
      </c>
      <c r="M434" t="n">
        <v>0</v>
      </c>
      <c r="N434" t="n">
        <v>0</v>
      </c>
      <c r="O434" t="n">
        <v>0</v>
      </c>
      <c r="P434">
        <f>HYPERLINK("https://g1.globo.com/rr/roraima/noticia/2021/09/16/migracao-venezuelana-em-roraima-e-tema-de-documentario-produzido-pela-caritas.ghtml", "URL")</f>
        <v/>
      </c>
      <c r="Q434">
        <f>HYPERLINK("https://raw.githubusercontent.com/marcosmapl/dataset_imigrantes/main/materias_filtered/g1/venezuelanos/2021/08_set/html/g1_21e2d622-230f-11ed-b24f-6dbe51e79fca_2780.html", "HTML")</f>
        <v/>
      </c>
      <c r="R434">
        <f>HYPERLINK("https://raw.githubusercontent.com/marcosmapl/dataset_imigrantes/main/materias_filtered/g1/venezuelanos/2021/08_set/txt/g1_21e2d622-230f-11ed-b24f-6dbe51e79fca_2780.txt", "TXT")</f>
        <v/>
      </c>
    </row>
    <row r="435">
      <c r="A435" s="1" t="n">
        <v>433</v>
      </c>
      <c r="B435" t="n">
        <v>2021</v>
      </c>
      <c r="C435" s="2" t="n">
        <v>44455.55517620371</v>
      </c>
      <c r="D435" t="inlineStr">
        <is>
          <t>G1</t>
        </is>
      </c>
      <c r="E435" t="inlineStr">
        <is>
          <t>VENEZUELANOS</t>
        </is>
      </c>
      <c r="F435" t="inlineStr">
        <is>
          <t>RORAIMA</t>
        </is>
      </c>
      <c r="G435" t="inlineStr">
        <is>
          <t>G1 RR — BOA VISTA</t>
        </is>
      </c>
      <c r="H435" t="inlineStr">
        <is>
          <t>MIGRANTE VENEZUELANA FICA FERIDA AO SER ATROPELADA POR CARRETA EM FRENTE A POSTO DE TRIAGEM, EM RR</t>
        </is>
      </c>
      <c r="I435" t="inlineStr">
        <is>
          <t>VÍTIMA É DEFICIENTE FÍSICA E ESBARROU NA LATERAL DA CARRETA, SEGUNDO A POLÍCIA MILITAR. MOTORISTA DO VEÍCULO DISSE QUE NÃO VIU A JOVEM, PELO FATO DA CARRETA SER MUITO ALTA. ACIDENTE FOI EM PACARAIMA.</t>
        </is>
      </c>
      <c r="J435" t="inlineStr"/>
      <c r="K435" t="n">
        <v>0</v>
      </c>
      <c r="L435" t="n">
        <v>1</v>
      </c>
      <c r="M435" t="n">
        <v>0</v>
      </c>
      <c r="N435" t="n">
        <v>0</v>
      </c>
      <c r="O435" t="n">
        <v>0</v>
      </c>
      <c r="P435">
        <f>HYPERLINK("https://g1.globo.com/rr/roraima/noticia/2021/09/16/migrante-venezuelana-fica-ferida-ao-ser-atropelada-por-carreta-em-frente-a-posto-de-triagem-em-rr.ghtml", "URL")</f>
        <v/>
      </c>
      <c r="Q435">
        <f>HYPERLINK("https://raw.githubusercontent.com/marcosmapl/dataset_imigrantes/main/materias_filtered/g1/venezuelanos/2021/08_set/html/g1_35824f4e-232a-11ed-b24f-6dbe51e79fca_4163.html", "HTML")</f>
        <v/>
      </c>
      <c r="R435">
        <f>HYPERLINK("https://raw.githubusercontent.com/marcosmapl/dataset_imigrantes/main/materias_filtered/g1/venezuelanos/2021/08_set/txt/g1_35824f4e-232a-11ed-b24f-6dbe51e79fca_4163.txt", "TXT")</f>
        <v/>
      </c>
    </row>
    <row r="436">
      <c r="A436" s="1" t="n">
        <v>434</v>
      </c>
      <c r="B436" t="n">
        <v>2021</v>
      </c>
      <c r="C436" s="2" t="n">
        <v>44453.81788917824</v>
      </c>
      <c r="D436" t="inlineStr">
        <is>
          <t>G1</t>
        </is>
      </c>
      <c r="E436" t="inlineStr">
        <is>
          <t>VENEZUELANOS</t>
        </is>
      </c>
      <c r="F436" t="inlineStr">
        <is>
          <t>RORAIMA</t>
        </is>
      </c>
      <c r="G436" t="inlineStr">
        <is>
          <t>G1 RR — BOA VISTA</t>
        </is>
      </c>
      <c r="H436" t="inlineStr">
        <is>
          <t>VENEZUELANO É MORTO COM PELO MENOS SETE TIROS EM BAR NA ZONA OESTE DE BOA VISTA</t>
        </is>
      </c>
      <c r="I436" t="inlineStr">
        <is>
          <t>CRIME FOI COMETIDO POR UMA DUPLA ARMADA. VÍTIMA AINDA NÃO IDENTIFICADA FOI ATINGIDA NAS COSTAS, BRAÇOS E ABDÔMEN, SEGUNDO A PM.</t>
        </is>
      </c>
      <c r="J436" t="inlineStr"/>
      <c r="K436" t="n">
        <v>0</v>
      </c>
      <c r="L436" t="n">
        <v>1</v>
      </c>
      <c r="M436" t="n">
        <v>0</v>
      </c>
      <c r="N436" t="n">
        <v>0</v>
      </c>
      <c r="O436" t="n">
        <v>0</v>
      </c>
      <c r="P436">
        <f>HYPERLINK("https://g1.globo.com/rr/roraima/noticia/2021/09/14/venezuelano-e-morto-com-pelo-menos-sete-tiros-em-bar-na-zona-oeste-de-boa-vista.ghtml", "URL")</f>
        <v/>
      </c>
      <c r="Q436">
        <f>HYPERLINK("https://raw.githubusercontent.com/marcosmapl/dataset_imigrantes/main/materias_filtered/g1/venezuelanos/2021/08_set/html/g1_40428786-230d-11ed-b24f-6dbe51e79fca_2676.html", "HTML")</f>
        <v/>
      </c>
      <c r="R436">
        <f>HYPERLINK("https://raw.githubusercontent.com/marcosmapl/dataset_imigrantes/main/materias_filtered/g1/venezuelanos/2021/08_set/txt/g1_40428786-230d-11ed-b24f-6dbe51e79fca_2676.txt", "TXT")</f>
        <v/>
      </c>
    </row>
    <row r="437">
      <c r="A437" s="1" t="n">
        <v>435</v>
      </c>
      <c r="B437" t="n">
        <v>2021</v>
      </c>
      <c r="C437" s="2" t="n">
        <v>44453.7139962037</v>
      </c>
      <c r="D437" t="inlineStr">
        <is>
          <t>G1</t>
        </is>
      </c>
      <c r="E437" t="inlineStr">
        <is>
          <t>HAITIANOS</t>
        </is>
      </c>
      <c r="F437" t="inlineStr">
        <is>
          <t>MUNDO</t>
        </is>
      </c>
      <c r="G437" t="inlineStr">
        <is>
          <t>G1</t>
        </is>
      </c>
      <c r="H437" t="inlineStr">
        <is>
          <t>ASSASSINATO DO PRESIDENTE DO HAITI: PROMOTOR PEDE DENÚNCIA CONTRA O PREMIÊ E É DEMITIDO EM SEGUIDA</t>
        </is>
      </c>
      <c r="I437" t="inlineStr">
        <is>
          <t>POUCO ANTES DE SER DEMITIDO DO CARGO, PROMOTOR-CHEFE DO PAÍS PEDIU AO JUIZ DO CASO PARA DENUNCIAR ARIEL HENRY, QUE FALOU COM UM DOS PRINCIPAIS SUSPEITOS DO CRIME E, PORTANTO, FOI CONSIDERADO PELO PROCURADOR SUSPEITO DE PARTICIPAR DO ASSASSINATO. MOISE FOI EXECUTADO EM CASA EM JULHO.</t>
        </is>
      </c>
      <c r="J437" t="inlineStr"/>
      <c r="K437" t="n">
        <v>0</v>
      </c>
      <c r="L437" t="n">
        <v>2</v>
      </c>
      <c r="M437" t="n">
        <v>0</v>
      </c>
      <c r="N437" t="n">
        <v>0</v>
      </c>
      <c r="O437" t="n">
        <v>5</v>
      </c>
      <c r="P437">
        <f>HYPERLINK("https://g1.globo.com/mundo/noticia/2021/09/14/premie-do-haiti-e-investigado-por-envolvimento-na-morte-do-ex-presidente-jovenel-moise.ghtml", "URL")</f>
        <v/>
      </c>
      <c r="Q437">
        <f>HYPERLINK("https://raw.githubusercontent.com/marcosmapl/dataset_imigrantes/main/materias_filtered/g1/haitianos/2021/08_set/html/g1_e1b7deba-2324-11ed-b24f-6dbe51e79fca_3887.html", "HTML")</f>
        <v/>
      </c>
      <c r="R437">
        <f>HYPERLINK("https://raw.githubusercontent.com/marcosmapl/dataset_imigrantes/main/materias_filtered/g1/haitianos/2021/08_set/txt/g1_e1b7deba-2324-11ed-b24f-6dbe51e79fca_3887.txt", "TXT")</f>
        <v/>
      </c>
    </row>
    <row r="438">
      <c r="A438" s="1" t="n">
        <v>436</v>
      </c>
      <c r="B438" t="n">
        <v>2021</v>
      </c>
      <c r="C438" s="2" t="n">
        <v>44453.65072916666</v>
      </c>
      <c r="D438" t="inlineStr">
        <is>
          <t>A CRITICA</t>
        </is>
      </c>
      <c r="E438" t="inlineStr">
        <is>
          <t>VENEZUELANOS</t>
        </is>
      </c>
      <c r="F438" t="inlineStr"/>
      <c r="G438" t="inlineStr">
        <is>
          <t>AFP</t>
        </is>
      </c>
      <c r="H438" t="inlineStr">
        <is>
          <t>VENEZUELANAS BUSCAM TRANSIÇÃO CAPILAR NA LUTA CONTRA O RACISMO</t>
        </is>
      </c>
      <c r="I438" t="inlineStr">
        <is>
          <t>A VENEZUELA, ASSIM COMO O BRASIL, TEM UMA POPULAÇÃO MUITO DIVERSIFICADA, RESULTADO DA MISCIGENAÇÃO ENTRE INDÍGENAS, CONQUISTADORES ESPANHÓIS QUE CHEGARAM EM 1498 E OS ESCRAVOS AFRICANOS QUE FORAM LEVADOS PARA AS COLÔNIAS</t>
        </is>
      </c>
      <c r="J438" t="inlineStr"/>
      <c r="K438" t="n">
        <v>0</v>
      </c>
      <c r="L438" t="n">
        <v>1</v>
      </c>
      <c r="M438" t="n">
        <v>0</v>
      </c>
      <c r="N438" t="n">
        <v>0</v>
      </c>
      <c r="O438" t="n">
        <v>0</v>
      </c>
      <c r="P438">
        <f>HYPERLINK("https://www.acritica.com/venezuelanas-buscam-transic-o-capilar-na-luta-contra-o-racismo-1.10610", "URL")</f>
        <v/>
      </c>
      <c r="Q438">
        <f>HYPERLINK("https://raw.githubusercontent.com/marcosmapl/dataset_imigrantes/main/materias_filtered/a_critica/venezuelanos/2021/08_set/html/1.10610_908.html", "HTML")</f>
        <v/>
      </c>
      <c r="R438">
        <f>HYPERLINK("https://raw.githubusercontent.com/marcosmapl/dataset_imigrantes/main/materias_filtered/a_critica/venezuelanos/2021/08_set/txt/1.10610_908.txt", "TXT")</f>
        <v/>
      </c>
    </row>
    <row r="439">
      <c r="A439" s="1" t="n">
        <v>437</v>
      </c>
      <c r="B439" t="n">
        <v>2021</v>
      </c>
      <c r="C439" s="2" t="n">
        <v>44453.04998619213</v>
      </c>
      <c r="D439" t="inlineStr">
        <is>
          <t>G1</t>
        </is>
      </c>
      <c r="E439" t="inlineStr">
        <is>
          <t>VENEZUELANOS</t>
        </is>
      </c>
      <c r="F439" t="inlineStr">
        <is>
          <t>JORNAL NACIONAL</t>
        </is>
      </c>
      <c r="G439" t="inlineStr">
        <is>
          <t>JORNAL NACIONAL</t>
        </is>
      </c>
      <c r="H439" t="inlineStr">
        <is>
          <t>MAIS DE 4 MIL VENEZUELANOS REFUGIADOS NO BRASIL VIVEM NAS RUAS DE PACARAIMA (RR)</t>
        </is>
      </c>
      <c r="I439" t="inlineStr">
        <is>
          <t>O GOVERNO BRASILEIRO RECEBE TODOS QUE CRUZAM A FRONTEIRA, ILEGAIS OU NÃO. DESDE JUNHO, MAIS DE 30 MIL PESSOAS FORAM ATENDIDAS NO POSTO DE TRIAGEM.</t>
        </is>
      </c>
      <c r="J439" t="inlineStr"/>
      <c r="K439" t="n">
        <v>0</v>
      </c>
      <c r="L439" t="n">
        <v>1</v>
      </c>
      <c r="M439" t="n">
        <v>1</v>
      </c>
      <c r="N439" t="n">
        <v>0</v>
      </c>
      <c r="O439" t="n">
        <v>3</v>
      </c>
      <c r="P439">
        <f>HYPERLINK("https://g1.globo.com/jornal-nacional/noticia/2021/09/13/mais-de-4-mil-venezuelanos-refugiados-no-brasil-vivem-nas-ruas-de-pacaraima-rr.ghtml", "URL")</f>
        <v/>
      </c>
      <c r="Q439">
        <f>HYPERLINK("https://raw.githubusercontent.com/marcosmapl/dataset_imigrantes/main/materias_filtered/g1/venezuelanos/2021/08_set/html/g1_4a1b7ab2-2315-11ed-b24f-6dbe51e79fca_3077.html", "HTML")</f>
        <v/>
      </c>
      <c r="R439">
        <f>HYPERLINK("https://raw.githubusercontent.com/marcosmapl/dataset_imigrantes/main/materias_filtered/g1/venezuelanos/2021/08_set/txt/g1_4a1b7ab2-2315-11ed-b24f-6dbe51e79fca_3077.txt", "TXT")</f>
        <v/>
      </c>
    </row>
    <row r="440">
      <c r="A440" s="1" t="n">
        <v>438</v>
      </c>
      <c r="B440" t="n">
        <v>2021</v>
      </c>
      <c r="C440" s="2" t="n">
        <v>44452.76390226852</v>
      </c>
      <c r="D440" t="inlineStr">
        <is>
          <t>G1</t>
        </is>
      </c>
      <c r="E440" t="inlineStr">
        <is>
          <t>HAITIANOS</t>
        </is>
      </c>
      <c r="F440" t="inlineStr">
        <is>
          <t>MINAS GERAIS</t>
        </is>
      </c>
      <c r="G440" t="inlineStr">
        <is>
          <t>RAQUEL FREITAS, G1 MINAS — BELO HORIZONTE</t>
        </is>
      </c>
      <c r="H440" t="inlineStr">
        <is>
          <t>'CADA DIA É UMA BATALHA PARA SOBREVIVÊNCIA', DIZ BOMBEIRO DE MG SOBRE HAITIANOS AO RETORNAR DE MISSÃO HUMANITÁRIA</t>
        </is>
      </c>
      <c r="I440" t="inlineStr">
        <is>
          <t>MILITARES DE MINAS E DO DF, ALÉM DE INTEGRANTES DA FORÇA NACIONAL, PASSARAM 21 DIAS NO PAÍS CARIBENHO DEVASTADO POR TERREMOTOS.</t>
        </is>
      </c>
      <c r="J440" t="inlineStr"/>
      <c r="K440" t="n">
        <v>0</v>
      </c>
      <c r="L440" t="n">
        <v>2</v>
      </c>
      <c r="M440" t="n">
        <v>1</v>
      </c>
      <c r="N440" t="n">
        <v>0</v>
      </c>
      <c r="O440" t="n">
        <v>5</v>
      </c>
      <c r="P440">
        <f>HYPERLINK("https://g1.globo.com/mg/minas-gerais/noticia/2021/09/13/cada-dia-e-uma-batalha-para-sobrevivencia-diz-bombeiro-de-mg-sobre-haitianos-ao-retornar-de-missao-humanitaria.ghtml", "URL")</f>
        <v/>
      </c>
      <c r="Q440">
        <f>HYPERLINK("https://raw.githubusercontent.com/marcosmapl/dataset_imigrantes/main/materias_filtered/g1/haitianos/2021/08_set/html/g1_956abb96-22ec-11ed-b24f-6dbe51e79fca_1662.html", "HTML")</f>
        <v/>
      </c>
      <c r="R440">
        <f>HYPERLINK("https://raw.githubusercontent.com/marcosmapl/dataset_imigrantes/main/materias_filtered/g1/haitianos/2021/08_set/txt/g1_956abb96-22ec-11ed-b24f-6dbe51e79fca_1662.txt", "TXT")</f>
        <v/>
      </c>
    </row>
    <row r="441">
      <c r="A441" s="1" t="n">
        <v>439</v>
      </c>
      <c r="B441" t="n">
        <v>2021</v>
      </c>
      <c r="C441" s="2" t="n">
        <v>44452.63616575232</v>
      </c>
      <c r="D441" t="inlineStr">
        <is>
          <t>G1</t>
        </is>
      </c>
      <c r="E441" t="inlineStr">
        <is>
          <t>HAITIANOS</t>
        </is>
      </c>
      <c r="F441" t="inlineStr">
        <is>
          <t>DISTRITO FEDERAL</t>
        </is>
      </c>
      <c r="G441" t="inlineStr">
        <is>
          <t>MARÍLIA MARQUES, G1 DF</t>
        </is>
      </c>
      <c r="H441" t="inlineStr">
        <is>
          <t>BOMBEIROS QUE ATUARAM EM MISSÃO HUMANITÁRIA NO HAITI RETORNAM AO DF APÓS 21 DIAS</t>
        </is>
      </c>
      <c r="I441" t="inlineStr">
        <is>
          <t>MILITARES DA CORPORAÇÃO E DA FORÇA NACIONAL LEVARAM EQUIPAMENTOS DE EMERGÊNCIA E INSUMOS APÓS TERREMOTOS E CICLONE TROPICAL ATINGIREM PAÍS CARIBENHO. DESASTRE DEIXOU PELO MENOS 2,2 MIL MORTOS.</t>
        </is>
      </c>
      <c r="J441" t="inlineStr"/>
      <c r="K441" t="n">
        <v>0</v>
      </c>
      <c r="L441" t="n">
        <v>3</v>
      </c>
      <c r="M441" t="n">
        <v>1</v>
      </c>
      <c r="N441" t="n">
        <v>0</v>
      </c>
      <c r="O441" t="n">
        <v>7</v>
      </c>
      <c r="P441">
        <f>HYPERLINK("https://g1.globo.com/df/distrito-federal/noticia/2021/09/13/bombeiros-que-atuaram-em-missao-humanitaria-no-haiti-retornam-ao-df-apos-21-dias.ghtml", "URL")</f>
        <v/>
      </c>
      <c r="Q441">
        <f>HYPERLINK("https://raw.githubusercontent.com/marcosmapl/dataset_imigrantes/main/materias_filtered/g1/haitianos/2021/08_set/html/g1_102d8732-2324-11ed-b24f-6dbe51e79fca_3846.html", "HTML")</f>
        <v/>
      </c>
      <c r="R441">
        <f>HYPERLINK("https://raw.githubusercontent.com/marcosmapl/dataset_imigrantes/main/materias_filtered/g1/haitianos/2021/08_set/txt/g1_102d8732-2324-11ed-b24f-6dbe51e79fca_3846.txt", "TXT")</f>
        <v/>
      </c>
    </row>
    <row r="442">
      <c r="A442" s="1" t="n">
        <v>440</v>
      </c>
      <c r="B442" t="n">
        <v>2021</v>
      </c>
      <c r="C442" s="2" t="n">
        <v>44451.55209065972</v>
      </c>
      <c r="D442" t="inlineStr">
        <is>
          <t>G1</t>
        </is>
      </c>
      <c r="E442" t="inlineStr">
        <is>
          <t>VENEZUELANOS</t>
        </is>
      </c>
      <c r="F442" t="inlineStr">
        <is>
          <t>AMAZONAS</t>
        </is>
      </c>
      <c r="G442" t="inlineStr">
        <is>
          <t>KARLA MENDES, G1 AM</t>
        </is>
      </c>
      <c r="H442" t="inlineStr">
        <is>
          <t>ADVOGADO VENEZUELANO CONTA COMO RECONSTRUIU A CARREIRA NO AMAZONAS</t>
        </is>
      </c>
      <c r="I442" t="inlineStr">
        <is>
          <t>EM MANAUS, ELIUD RAFAEL HERNANDEZ CONSEGUIU SE REINVENTAR NA PROFISSÃO ATRAVÉS DE DIVERSAS TENTATIVAS, QUE FORAM DESDE VENDER SUCO NO SEMÁFORO E TRABALHAR COMO SAPATEIRO NO CENTRO DA CIDADE, ATÉ CONSEGUIR UMA VAGA NA ORDEM DOS ADVOGADOS DO AMAZONAS.</t>
        </is>
      </c>
      <c r="J442" t="inlineStr"/>
      <c r="K442" t="n">
        <v>0</v>
      </c>
      <c r="L442" t="n">
        <v>1</v>
      </c>
      <c r="M442" t="n">
        <v>0</v>
      </c>
      <c r="N442" t="n">
        <v>0</v>
      </c>
      <c r="O442" t="n">
        <v>1</v>
      </c>
      <c r="P442">
        <f>HYPERLINK("https://g1.globo.com/am/amazonas/noticia/2021/09/12/advogado-venezuelano-conta-como-reconstruiu-a-carreira-no-amazonas.ghtml", "URL")</f>
        <v/>
      </c>
      <c r="Q442">
        <f>HYPERLINK("https://raw.githubusercontent.com/marcosmapl/dataset_imigrantes/main/materias_filtered/g1/venezuelanos/2021/08_set/html/g1_6d892420-2308-11ed-b24f-6dbe51e79fca_2384.html", "HTML")</f>
        <v/>
      </c>
      <c r="R442">
        <f>HYPERLINK("https://raw.githubusercontent.com/marcosmapl/dataset_imigrantes/main/materias_filtered/g1/venezuelanos/2021/08_set/txt/g1_6d892420-2308-11ed-b24f-6dbe51e79fca_2384.txt", "TXT")</f>
        <v/>
      </c>
    </row>
    <row r="443">
      <c r="A443" s="1" t="n">
        <v>441</v>
      </c>
      <c r="B443" t="n">
        <v>2021</v>
      </c>
      <c r="C443" s="2" t="n">
        <v>44449.9778078588</v>
      </c>
      <c r="D443" t="inlineStr">
        <is>
          <t>G1</t>
        </is>
      </c>
      <c r="E443" t="inlineStr">
        <is>
          <t>VENEZUELANOS</t>
        </is>
      </c>
      <c r="F443" t="inlineStr">
        <is>
          <t>ZONA DA MATA</t>
        </is>
      </c>
      <c r="G443" t="inlineStr">
        <is>
          <t>G1 ZONA DA MATA</t>
        </is>
      </c>
      <c r="H443" t="inlineStr">
        <is>
          <t>VENEZUELANOS VOLTAM A SER ABRIGADOS PELA PREFEITURA EM JUIZ DE FORA</t>
        </is>
      </c>
      <c r="I443" t="inlineStr">
        <is>
          <t>O GRUPO IRÁ PASSAR A NOITE DE SEXTA-FEIRA (10) NO GINÁSIO DA SECRETARIA DE ESPORTES. NA QUINTA-FEIRA (9), A TV INTEGRAÇÃO MOSTROU QUE OS IMIGRANTES HAVIAM SIDO RETIRADOS DE UM ABRIGO NO BAIRRO BONFIM.</t>
        </is>
      </c>
      <c r="J443" t="inlineStr"/>
      <c r="K443" t="n">
        <v>0</v>
      </c>
      <c r="L443" t="n">
        <v>4</v>
      </c>
      <c r="M443" t="n">
        <v>0</v>
      </c>
      <c r="N443" t="n">
        <v>0</v>
      </c>
      <c r="O443" t="n">
        <v>2</v>
      </c>
      <c r="P443">
        <f>HYPERLINK("https://g1.globo.com/mg/zona-da-mata/noticia/2021/09/10/venezuelanos-voltam-a-ser-abrigados-pela-prefeitura-em-juiz-de-fora.ghtml", "URL")</f>
        <v/>
      </c>
      <c r="Q443">
        <f>HYPERLINK("https://raw.githubusercontent.com/marcosmapl/dataset_imigrantes/main/materias_filtered/g1/venezuelanos/2021/08_set/html/g1_c5ed58a8-231b-11ed-b24f-6dbe51e79fca_3406.html", "HTML")</f>
        <v/>
      </c>
      <c r="R443">
        <f>HYPERLINK("https://raw.githubusercontent.com/marcosmapl/dataset_imigrantes/main/materias_filtered/g1/venezuelanos/2021/08_set/txt/g1_c5ed58a8-231b-11ed-b24f-6dbe51e79fca_3406.txt", "TXT")</f>
        <v/>
      </c>
    </row>
    <row r="444">
      <c r="A444" s="1" t="n">
        <v>442</v>
      </c>
      <c r="B444" t="n">
        <v>2021</v>
      </c>
      <c r="C444" s="2" t="n">
        <v>44448.7868205787</v>
      </c>
      <c r="D444" t="inlineStr">
        <is>
          <t>G1</t>
        </is>
      </c>
      <c r="E444" t="inlineStr">
        <is>
          <t>VENEZUELANOS</t>
        </is>
      </c>
      <c r="F444" t="inlineStr">
        <is>
          <t>PIAUÍ</t>
        </is>
      </c>
      <c r="G444" t="inlineStr">
        <is>
          <t>LAURA MOURA, G1 PI</t>
        </is>
      </c>
      <c r="H444" t="inlineStr">
        <is>
          <t>MULHER VENEZUELANA É PRESA SUSPEITA DE AGREDIR FILHA DE 2 ANOS COM SOCOS EM ABRIGO DE TERESINA</t>
        </is>
      </c>
      <c r="I444" t="inlineStr">
        <is>
          <t>A CRIANÇA FOI TRANSFERIDA PARA UM ABRIGO EM TERESINA. JÁ A MÃE PASSOU POR UMA AUDIÊNCIA DE CUSTÓDIA NA TARDE DESTA QUINTA-FEIRA (9) E A JUSTIÇA DETERMINOU A SUA SOLTURA.</t>
        </is>
      </c>
      <c r="J444" t="inlineStr"/>
      <c r="K444" t="n">
        <v>0</v>
      </c>
      <c r="L444" t="n">
        <v>2</v>
      </c>
      <c r="M444" t="n">
        <v>0</v>
      </c>
      <c r="N444" t="n">
        <v>0</v>
      </c>
      <c r="O444" t="n">
        <v>3</v>
      </c>
      <c r="P444">
        <f>HYPERLINK("https://g1.globo.com/pi/piaui/noticia/2021/09/09/mulher-venezuelana-e-suspeita-de-agredir-filha-de-2-anos-com-socos-em-abrigo-de-teresina.ghtml", "URL")</f>
        <v/>
      </c>
      <c r="Q444">
        <f>HYPERLINK("https://raw.githubusercontent.com/marcosmapl/dataset_imigrantes/main/materias_filtered/g1/venezuelanos/2021/08_set/html/g1_1c69853a-2326-11ed-b24f-6dbe51e79fca_3955.html", "HTML")</f>
        <v/>
      </c>
      <c r="R444">
        <f>HYPERLINK("https://raw.githubusercontent.com/marcosmapl/dataset_imigrantes/main/materias_filtered/g1/venezuelanos/2021/08_set/txt/g1_1c69853a-2326-11ed-b24f-6dbe51e79fca_3955.txt", "TXT")</f>
        <v/>
      </c>
    </row>
    <row r="445">
      <c r="A445" s="1" t="n">
        <v>443</v>
      </c>
      <c r="B445" t="n">
        <v>2021</v>
      </c>
      <c r="C445" s="2" t="n">
        <v>44448.55459478009</v>
      </c>
      <c r="D445" t="inlineStr">
        <is>
          <t>G1</t>
        </is>
      </c>
      <c r="E445" t="inlineStr">
        <is>
          <t>VENEZUELANOS</t>
        </is>
      </c>
      <c r="F445" t="inlineStr">
        <is>
          <t>ZONA DA MATA</t>
        </is>
      </c>
      <c r="G445" t="inlineStr">
        <is>
          <t>INTEGRAÇÃO NOTÍCIA</t>
        </is>
      </c>
      <c r="H445" t="inlineStr">
        <is>
          <t>VENEZUELANOS SÃO RETIRADOS DE ABRIGO TEMPORÁRIO EM JUIZ DE FORA</t>
        </is>
      </c>
      <c r="I445" t="inlineStr">
        <is>
          <t>LOCAL ABRIGAVA 18 REFUGIADOS QUE CHEGARAM NA CIDADE HÁ CERCA DE 3 MESES; PREFEITURA INFORMOU QUE O ESPAÇO É USADO PARA ABRIGAR PESSOAS EM SITUAÇÃO DE RUA COM SINTOMAS DE COVID-19 E QUE OS VENEZUELANOS FORAM INFORMADOS QUE DEVERIAM DEIXAR O LOCAL ATÉ QUARTA-FEIRA (8).</t>
        </is>
      </c>
      <c r="J445" t="inlineStr"/>
      <c r="K445" t="n">
        <v>0</v>
      </c>
      <c r="L445" t="n">
        <v>5</v>
      </c>
      <c r="M445" t="n">
        <v>1</v>
      </c>
      <c r="N445" t="n">
        <v>0</v>
      </c>
      <c r="O445" t="n">
        <v>1</v>
      </c>
      <c r="P445">
        <f>HYPERLINK("https://g1.globo.com/mg/zona-da-mata/noticia/2021/09/09/venezuelanos-sao-retirados-de-abrigo-temporario-em-juiz-de-fora.ghtml", "URL")</f>
        <v/>
      </c>
      <c r="Q445">
        <f>HYPERLINK("https://raw.githubusercontent.com/marcosmapl/dataset_imigrantes/main/materias_filtered/g1/venezuelanos/2021/08_set/html/g1_1dc472c0-2329-11ed-b24f-6dbe51e79fca_4099.html", "HTML")</f>
        <v/>
      </c>
      <c r="R445">
        <f>HYPERLINK("https://raw.githubusercontent.com/marcosmapl/dataset_imigrantes/main/materias_filtered/g1/venezuelanos/2021/08_set/txt/g1_1dc472c0-2329-11ed-b24f-6dbe51e79fca_4099.txt", "TXT")</f>
        <v/>
      </c>
    </row>
    <row r="446">
      <c r="A446" s="1" t="n">
        <v>444</v>
      </c>
      <c r="B446" t="n">
        <v>2021</v>
      </c>
      <c r="C446" s="2" t="n">
        <v>44447.9612037037</v>
      </c>
      <c r="D446" t="inlineStr">
        <is>
          <t>A CRITICA</t>
        </is>
      </c>
      <c r="E446" t="inlineStr">
        <is>
          <t>VENEZUELANOS</t>
        </is>
      </c>
      <c r="F446" t="inlineStr">
        <is>
          <t>POLICIA</t>
        </is>
      </c>
      <c r="G446" t="inlineStr">
        <is>
          <t>THIAGO MONTEIRO</t>
        </is>
      </c>
      <c r="H446" t="inlineStr">
        <is>
          <t>SUSPEITO DE ENVOLVIMENTO EM HOMICÍDIOS PRATICADOS POR FACÇÃO CRIMINOSA É PRESO NA ZONA LESTE DE MANAUS</t>
        </is>
      </c>
      <c r="I446" t="inlineStr">
        <is>
          <t>ACUSADO FAZIA A LOGÍSTICA DOS CRIMES A SEREM COMETIDOS PELA ORGANIZAÇÃO, MARCANDO CASAS DAS VÍTIMAS E DIVULGANDO IMAGENS DOS CRIMES PELO WHATSAPP</t>
        </is>
      </c>
      <c r="J446" t="inlineStr"/>
      <c r="K446" t="n">
        <v>0</v>
      </c>
      <c r="L446" t="n">
        <v>1</v>
      </c>
      <c r="M446" t="n">
        <v>0</v>
      </c>
      <c r="N446" t="n">
        <v>0</v>
      </c>
      <c r="O446" t="n">
        <v>0</v>
      </c>
      <c r="P446">
        <f>HYPERLINK("https://www.acritica.com/policia/suspeito-de-envolvimento-em-homicidios-praticados-por-facc-o-criminosa-e-preso-na-zona-leste-de-manaus-1.10878", "URL")</f>
        <v/>
      </c>
      <c r="Q446">
        <f>HYPERLINK("https://raw.githubusercontent.com/marcosmapl/dataset_imigrantes/main/materias_filtered/a_critica/venezuelanos/2021/08_set/html/1.10878_675.html", "HTML")</f>
        <v/>
      </c>
      <c r="R446">
        <f>HYPERLINK("https://raw.githubusercontent.com/marcosmapl/dataset_imigrantes/main/materias_filtered/a_critica/venezuelanos/2021/08_set/txt/1.10878_675.txt", "TXT")</f>
        <v/>
      </c>
    </row>
    <row r="447">
      <c r="A447" s="1" t="n">
        <v>445</v>
      </c>
      <c r="B447" t="n">
        <v>2021</v>
      </c>
      <c r="C447" s="2" t="n">
        <v>44447.83829587963</v>
      </c>
      <c r="D447" t="inlineStr">
        <is>
          <t>G1</t>
        </is>
      </c>
      <c r="E447" t="inlineStr">
        <is>
          <t>AMBOS</t>
        </is>
      </c>
      <c r="F447" t="inlineStr">
        <is>
          <t>ACRE</t>
        </is>
      </c>
      <c r="G447" t="inlineStr">
        <is>
          <t>TÁCITA MUNIZ, G1 AC — RIO BRANCO</t>
        </is>
      </c>
      <c r="H447" t="inlineStr">
        <is>
          <t>MAIS DE 450 FILHOS DE IMIGRANTES NASCERAM NO ACRE ENTRE 2011 E 2019, APONTA IBGE</t>
        </is>
      </c>
      <c r="I447" t="inlineStr">
        <is>
          <t>ESTATÍSTICAS DO REGISTRO CIVIL DISPONIBILIZAM DADOS SOBRE NASCIDOS VIVOS, MORTES E CASAMENTO SOBRE IMIGRANTES NESSES OITO ANOS.</t>
        </is>
      </c>
      <c r="J447" t="inlineStr"/>
      <c r="K447" t="n">
        <v>0</v>
      </c>
      <c r="L447" t="n">
        <v>2</v>
      </c>
      <c r="M447" t="n">
        <v>0</v>
      </c>
      <c r="N447" t="n">
        <v>0</v>
      </c>
      <c r="O447" t="n">
        <v>14</v>
      </c>
      <c r="P447">
        <f>HYPERLINK("https://g1.globo.com/ac/acre/noticia/2021/09/08/mais-de-450-filhos-de-imigrantes-nasceram-no-acre-entre-2011-e-2019-aponta-ibge.ghtml", "URL")</f>
        <v/>
      </c>
      <c r="Q447">
        <f>HYPERLINK("https://raw.githubusercontent.com/marcosmapl/dataset_imigrantes/main/materias_filtered/g1/ambos/2021/08_set/html/g1_4989e324-2322-11ed-b24f-6dbe51e79fca_3744.html", "HTML")</f>
        <v/>
      </c>
      <c r="R447">
        <f>HYPERLINK("https://raw.githubusercontent.com/marcosmapl/dataset_imigrantes/main/materias_filtered/g1/ambos/2021/08_set/txt/g1_4989e324-2322-11ed-b24f-6dbe51e79fca_3744.txt", "TXT")</f>
        <v/>
      </c>
    </row>
    <row r="448">
      <c r="A448" s="1" t="n">
        <v>446</v>
      </c>
      <c r="B448" t="n">
        <v>2021</v>
      </c>
      <c r="C448" s="2" t="n">
        <v>44446.61299768519</v>
      </c>
      <c r="D448" t="inlineStr">
        <is>
          <t>A CRITICA</t>
        </is>
      </c>
      <c r="E448" t="inlineStr">
        <is>
          <t>VENEZUELANOS</t>
        </is>
      </c>
      <c r="F448" t="inlineStr">
        <is>
          <t>POLICIA</t>
        </is>
      </c>
      <c r="G448" t="inlineStr">
        <is>
          <t>KAROL ROCHA</t>
        </is>
      </c>
      <c r="H448" t="inlineStr">
        <is>
          <t>HOMEM É ASSASSINADO EM ÁREA CONHECIDA COMO 'INVASÃO DOS VENEZUELANOS', NA ZONA LESTE</t>
        </is>
      </c>
      <c r="I448" t="inlineStr">
        <is>
          <t>OUTRAS DUAS PESSOAS QUE ESTAVAM COM A VÍTIMA TAMBÉM FORAM BALEADAS E ENCAMINHADAS AO HOSPITAL; NÃO HÁ SUSPEITOS PARA O CRIME</t>
        </is>
      </c>
      <c r="J448" t="inlineStr"/>
      <c r="K448" t="n">
        <v>0</v>
      </c>
      <c r="L448" t="n">
        <v>1</v>
      </c>
      <c r="M448" t="n">
        <v>0</v>
      </c>
      <c r="N448" t="n">
        <v>0</v>
      </c>
      <c r="O448" t="n">
        <v>0</v>
      </c>
      <c r="P448">
        <f>HYPERLINK("https://www.acritica.com/policia/homem-e-assassinado-em-area-conhecida-como-invas-o-dos-venezuelanos-na-zona-leste-1.9588", "URL")</f>
        <v/>
      </c>
      <c r="Q448">
        <f>HYPERLINK("https://raw.githubusercontent.com/marcosmapl/dataset_imigrantes/main/materias_filtered/a_critica/venezuelanos/2021/08_set/html/1.9588_2.html", "HTML")</f>
        <v/>
      </c>
      <c r="R448">
        <f>HYPERLINK("https://raw.githubusercontent.com/marcosmapl/dataset_imigrantes/main/materias_filtered/a_critica/venezuelanos/2021/08_set/txt/1.9588_2.txt", "TXT")</f>
        <v/>
      </c>
    </row>
    <row r="449">
      <c r="A449" s="1" t="n">
        <v>447</v>
      </c>
      <c r="B449" t="n">
        <v>2021</v>
      </c>
      <c r="C449" s="2" t="n">
        <v>44444.60500673611</v>
      </c>
      <c r="D449" t="inlineStr">
        <is>
          <t>G1</t>
        </is>
      </c>
      <c r="E449" t="inlineStr">
        <is>
          <t>HAITIANOS</t>
        </is>
      </c>
      <c r="F449" t="inlineStr">
        <is>
          <t>SOROCABA E JUNDIAÍ</t>
        </is>
      </c>
      <c r="G449" t="inlineStr">
        <is>
          <t>TALISSA MEDEIROS*, G1 SOROCABA E JUNDIAÍ</t>
        </is>
      </c>
      <c r="H449" t="inlineStr">
        <is>
          <t>HAITIANA QUE MORA NO BRASIL TENTA TRAZER FILHO DE 6 ANOS AO PAÍS APÓS MORTE DOS AVÓS EM TERREMOTO NO HAITI</t>
        </is>
      </c>
      <c r="I449" t="inlineStr">
        <is>
          <t>MULHER TENTA ARRECADAR DINHEIRO PARA TRAZER CRIANÇA, QUE ERA CUIDADA PELOS AVÓS, PARA SOROCABA, NO INTERIOR DE SP; INSTITUTO AJUDA NA CAMPANHA.</t>
        </is>
      </c>
      <c r="J449" t="inlineStr"/>
      <c r="K449" t="n">
        <v>0</v>
      </c>
      <c r="L449" t="n">
        <v>2</v>
      </c>
      <c r="M449" t="n">
        <v>1</v>
      </c>
      <c r="N449" t="n">
        <v>0</v>
      </c>
      <c r="O449" t="n">
        <v>4</v>
      </c>
      <c r="P449">
        <f>HYPERLINK("https://g1.globo.com/sp/sorocaba-jundiai/noticia/2021/09/05/haitiana-que-mora-no-brasil-tenta-trazer-filho-ao-pais-apos-morte-dos-avos-em-terremoto-no-haiti.ghtml", "URL")</f>
        <v/>
      </c>
      <c r="Q449">
        <f>HYPERLINK("https://raw.githubusercontent.com/marcosmapl/dataset_imigrantes/main/materias_filtered/g1/haitianos/2021/08_set/html/g1_a7e81070-22ec-11ed-b24f-6dbe51e79fca_1664.html", "HTML")</f>
        <v/>
      </c>
      <c r="R449">
        <f>HYPERLINK("https://raw.githubusercontent.com/marcosmapl/dataset_imigrantes/main/materias_filtered/g1/haitianos/2021/08_set/txt/g1_a7e81070-22ec-11ed-b24f-6dbe51e79fca_1664.txt", "TXT")</f>
        <v/>
      </c>
    </row>
    <row r="450">
      <c r="A450" s="1" t="n">
        <v>448</v>
      </c>
      <c r="B450" t="n">
        <v>2021</v>
      </c>
      <c r="C450" s="2" t="n">
        <v>44444.57328703703</v>
      </c>
      <c r="D450" t="inlineStr">
        <is>
          <t>A CRITICA</t>
        </is>
      </c>
      <c r="E450" t="inlineStr">
        <is>
          <t>VENEZUELANOS</t>
        </is>
      </c>
      <c r="F450" t="inlineStr"/>
      <c r="G450" t="inlineStr">
        <is>
          <t>AFP</t>
        </is>
      </c>
      <c r="H450" t="inlineStr">
        <is>
          <t>GOVERNO DE MADURO DIZ TER ALCANÇADO 'ACORDOS PARCIAIS' COM OPOSIÇÃO</t>
        </is>
      </c>
      <c r="I450" t="inlineStr">
        <is>
          <t>O GOVERNO E A OPOSIÇÃO DA VENEZUELA CONCLUÍRAM, NO SÁBADO, NO MÉXICO, O SEGUNDO DIA DE UMA NOVA RODADA DE NEGOCIAÇÕES</t>
        </is>
      </c>
      <c r="J450" t="inlineStr"/>
      <c r="K450" t="n">
        <v>0</v>
      </c>
      <c r="L450" t="n">
        <v>1</v>
      </c>
      <c r="M450" t="n">
        <v>0</v>
      </c>
      <c r="N450" t="n">
        <v>0</v>
      </c>
      <c r="O450" t="n">
        <v>0</v>
      </c>
      <c r="P450">
        <f>HYPERLINK("https://www.acritica.com/governo-de-maduro-diz-ter-alcancado-acordos-parciais-com-oposic-o-1.10973", "URL")</f>
        <v/>
      </c>
      <c r="Q450">
        <f>HYPERLINK("https://raw.githubusercontent.com/marcosmapl/dataset_imigrantes/main/materias_filtered/a_critica/venezuelanos/2021/08_set/html/1.10973_686.html", "HTML")</f>
        <v/>
      </c>
      <c r="R450">
        <f>HYPERLINK("https://raw.githubusercontent.com/marcosmapl/dataset_imigrantes/main/materias_filtered/a_critica/venezuelanos/2021/08_set/txt/1.10973_686.txt", "TXT")</f>
        <v/>
      </c>
    </row>
    <row r="451">
      <c r="A451" s="1" t="n">
        <v>449</v>
      </c>
      <c r="B451" t="n">
        <v>2021</v>
      </c>
      <c r="C451" s="2" t="n">
        <v>44443.47222222222</v>
      </c>
      <c r="D451" t="inlineStr">
        <is>
          <t>A CRITICA</t>
        </is>
      </c>
      <c r="E451" t="inlineStr">
        <is>
          <t>VENEZUELANOS</t>
        </is>
      </c>
      <c r="F451" t="inlineStr">
        <is>
          <t>OPINIAO</t>
        </is>
      </c>
      <c r="G451" t="inlineStr">
        <is>
          <t>MARCUS LACERDA</t>
        </is>
      </c>
      <c r="H451" t="inlineStr">
        <is>
          <t>DEIXA O BICHINHO VIVER</t>
        </is>
      </c>
      <c r="I451" t="inlineStr">
        <is>
          <t>NOSSOS CORAÇÕES SE ENCHEM DE UM SANGUE NOVO. DOS ROSTOS DE MUITOS ESCORREM LÁGRIMAS, POR PODERMOS NOVAMENTE ESTAR ALI.</t>
        </is>
      </c>
      <c r="J451" t="inlineStr">
        <is>
          <t>QUARENTENA-NO-RIO-NEGRO-POR-MARCUS-LACERDA</t>
        </is>
      </c>
      <c r="K451" t="n">
        <v>1</v>
      </c>
      <c r="L451" t="n">
        <v>1</v>
      </c>
      <c r="M451" t="n">
        <v>0</v>
      </c>
      <c r="N451" t="n">
        <v>0</v>
      </c>
      <c r="O451" t="n">
        <v>1</v>
      </c>
      <c r="P451">
        <f>HYPERLINK("https://www.acritica.com/opiniao/deixa-o-bichinho-viver-1.215508", "URL")</f>
        <v/>
      </c>
      <c r="Q451">
        <f>HYPERLINK("https://raw.githubusercontent.com/marcosmapl/dataset_imigrantes/main/materias_filtered/a_critica/venezuelanos/2021/08_set/html/1.215508_1156.html", "HTML")</f>
        <v/>
      </c>
      <c r="R451">
        <f>HYPERLINK("https://raw.githubusercontent.com/marcosmapl/dataset_imigrantes/main/materias_filtered/a_critica/venezuelanos/2021/08_set/txt/1.215508_1156.txt", "TXT")</f>
        <v/>
      </c>
    </row>
    <row r="452">
      <c r="A452" s="1" t="n">
        <v>450</v>
      </c>
      <c r="B452" t="n">
        <v>2021</v>
      </c>
      <c r="C452" s="2" t="n">
        <v>44443.06653613426</v>
      </c>
      <c r="D452" t="inlineStr">
        <is>
          <t>G1</t>
        </is>
      </c>
      <c r="E452" t="inlineStr">
        <is>
          <t>HAITIANOS</t>
        </is>
      </c>
      <c r="F452" t="inlineStr">
        <is>
          <t>MUNDO</t>
        </is>
      </c>
      <c r="G452" t="inlineStr">
        <is>
          <t>G1</t>
        </is>
      </c>
      <c r="H452" t="inlineStr">
        <is>
          <t>GOVERNO BRASILEIRO AUTORIZA A CONCESSÃO DE VISTO HUMANITÁRIO A AFEGÃOS</t>
        </is>
      </c>
      <c r="I452" t="inlineStr">
        <is>
          <t>MEDIDA É PARECIDA COM A QUE JÁ OCORRE COM SÍRIOS E HAITIANOS. DOCUMENTO É FEITO FORA DO BRASIL, EM CONSULADOS OU EMBAIXADAS BRASILEIRAS NO EXTERIOR – COMO A DE ISLAMABAD, NO PAQUISTÃO.</t>
        </is>
      </c>
      <c r="J452" t="inlineStr"/>
      <c r="K452" t="n">
        <v>0</v>
      </c>
      <c r="L452" t="n">
        <v>3</v>
      </c>
      <c r="M452" t="n">
        <v>1</v>
      </c>
      <c r="N452" t="n">
        <v>0</v>
      </c>
      <c r="O452" t="n">
        <v>10</v>
      </c>
      <c r="P452">
        <f>HYPERLINK("https://g1.globo.com/mundo/noticia/2021/09/03/governo-brasileiro-autoriza-a-concessao-de-visto-humanitario-a-afegaos.ghtml", "URL")</f>
        <v/>
      </c>
      <c r="Q452">
        <f>HYPERLINK("https://raw.githubusercontent.com/marcosmapl/dataset_imigrantes/main/materias_filtered/g1/haitianos/2021/08_set/html/g1_762f6474-22f7-11ed-b24f-6dbe51e79fca_2080.html", "HTML")</f>
        <v/>
      </c>
      <c r="R452">
        <f>HYPERLINK("https://raw.githubusercontent.com/marcosmapl/dataset_imigrantes/main/materias_filtered/g1/haitianos/2021/08_set/txt/g1_762f6474-22f7-11ed-b24f-6dbe51e79fca_2080.txt", "TXT")</f>
        <v/>
      </c>
    </row>
    <row r="453">
      <c r="A453" s="1" t="n">
        <v>451</v>
      </c>
      <c r="B453" t="n">
        <v>2021</v>
      </c>
      <c r="C453" s="2" t="n">
        <v>44443.02296069444</v>
      </c>
      <c r="D453" t="inlineStr">
        <is>
          <t>G1</t>
        </is>
      </c>
      <c r="E453" t="inlineStr">
        <is>
          <t>HAITIANOS</t>
        </is>
      </c>
      <c r="F453" t="inlineStr">
        <is>
          <t>MUNDO</t>
        </is>
      </c>
      <c r="G453" t="inlineStr">
        <is>
          <t>EDISON VEIGA, BBC</t>
        </is>
      </c>
      <c r="H453" t="inlineStr">
        <is>
          <t>MADRE TERESA: AS VIRTUDES E CONTROVÉRSIAS DA RELIGIOSA QUE VIROU SANTA HÁ CINCO ANOS</t>
        </is>
      </c>
      <c r="I453" t="inlineStr">
        <is>
          <t>EM 1971, QUANDO FOI NOTICIADO QUE MULHERES EM BANGLADESH HAVIAM FICADO GRÁVIDAS DEPOIS DE TEREM SIDO ESTUPRADAS POR SOLDADOS PAQUISTANESES DURANTE A GUERRA DE INDEPENDÊNCIA ALI TRAVADA, A VOZ DE MADRE TERESA NÃO FOI PARA COMBATER AS ATROCIDADES PERPETRADAS PELOS MILITARES, MAS SIM PARA DEFENDER QUE AS MULHERES PROSSEGUISSEM COM SUAS GRAVIDEZES.</t>
        </is>
      </c>
      <c r="J453" t="inlineStr"/>
      <c r="K453" t="n">
        <v>0</v>
      </c>
      <c r="L453" t="n">
        <v>1</v>
      </c>
      <c r="M453" t="n">
        <v>0</v>
      </c>
      <c r="N453" t="n">
        <v>0</v>
      </c>
      <c r="O453" t="n">
        <v>2</v>
      </c>
      <c r="P453">
        <f>HYPERLINK("https://g1.globo.com/mundo/noticia/2021/09/03/madre-teresa-as-virtudes-e-controversias-da-religiosa-que-virou-santa-ha-cinco-anos.ghtml", "URL")</f>
        <v/>
      </c>
      <c r="Q453">
        <f>HYPERLINK("https://raw.githubusercontent.com/marcosmapl/dataset_imigrantes/main/materias_filtered/g1/haitianos/2021/08_set/html/g1_28e8c23e-231d-11ed-b24f-6dbe51e79fca_3486.html", "HTML")</f>
        <v/>
      </c>
      <c r="R453">
        <f>HYPERLINK("https://raw.githubusercontent.com/marcosmapl/dataset_imigrantes/main/materias_filtered/g1/haitianos/2021/08_set/txt/g1_28e8c23e-231d-11ed-b24f-6dbe51e79fca_3486.txt", "TXT")</f>
        <v/>
      </c>
    </row>
    <row r="454">
      <c r="A454" s="1" t="n">
        <v>452</v>
      </c>
      <c r="B454" t="n">
        <v>2021</v>
      </c>
      <c r="C454" s="2" t="n">
        <v>44441.75467592593</v>
      </c>
      <c r="D454" t="inlineStr">
        <is>
          <t>A CRITICA</t>
        </is>
      </c>
      <c r="E454" t="inlineStr">
        <is>
          <t>VENEZUELANOS</t>
        </is>
      </c>
      <c r="F454" t="inlineStr">
        <is>
          <t>ENTRETENIMENTO</t>
        </is>
      </c>
      <c r="G454" t="inlineStr">
        <is>
          <t>PORTAL A CRÍTICA</t>
        </is>
      </c>
      <c r="H454" t="inlineStr">
        <is>
          <t>EM MANAUS, PESSOAS MIGRANTES E REFUGIADAS PROMOVEM DESFILE COM CRIAÇÕES PRÓPRIAS</t>
        </is>
      </c>
      <c r="I454" t="inlineStr">
        <is>
          <t>CURSO OFERECIDO PELO PROJETO VEN, TÚ PUEDES ENCERRA COM APRESENTAÇÃO DE ROUPAS FEITAS PELOS ESTUDANTES DURANTE A CAPACITAÇÃO</t>
        </is>
      </c>
      <c r="J454" t="inlineStr"/>
      <c r="K454" t="n">
        <v>0</v>
      </c>
      <c r="L454" t="n">
        <v>1</v>
      </c>
      <c r="M454" t="n">
        <v>0</v>
      </c>
      <c r="N454" t="n">
        <v>0</v>
      </c>
      <c r="O454" t="n">
        <v>1</v>
      </c>
      <c r="P454">
        <f>HYPERLINK("https://www.acritica.com/entretenimento/em-manaus-pessoas-migrantes-e-refugiadas-promovem-desfile-com-criac-es-proprias-1.11089", "URL")</f>
        <v/>
      </c>
      <c r="Q454">
        <f>HYPERLINK("https://raw.githubusercontent.com/marcosmapl/dataset_imigrantes/main/materias_filtered/a_critica/venezuelanos/2021/08_set/html/1.11089_776.html", "HTML")</f>
        <v/>
      </c>
      <c r="R454">
        <f>HYPERLINK("https://raw.githubusercontent.com/marcosmapl/dataset_imigrantes/main/materias_filtered/a_critica/venezuelanos/2021/08_set/txt/1.11089_776.txt", "TXT")</f>
        <v/>
      </c>
    </row>
    <row r="455">
      <c r="A455" s="1" t="n">
        <v>453</v>
      </c>
      <c r="B455" t="n">
        <v>2021</v>
      </c>
      <c r="C455" s="2" t="n">
        <v>44441.74346175926</v>
      </c>
      <c r="D455" t="inlineStr">
        <is>
          <t>G1</t>
        </is>
      </c>
      <c r="E455" t="inlineStr">
        <is>
          <t>VENEZUELANOS</t>
        </is>
      </c>
      <c r="F455" t="inlineStr">
        <is>
          <t>TOCANTINS</t>
        </is>
      </c>
      <c r="G455" t="inlineStr">
        <is>
          <t>G1 TOCANTINS</t>
        </is>
      </c>
      <c r="H455" t="inlineStr">
        <is>
          <t>COM CARTAZ, VENEZUELANO PEDE EMPREGO NAS RUAS DE PALMAS: 'POR FAVOR ME AJUDEM'</t>
        </is>
      </c>
      <c r="I455" t="inlineStr">
        <is>
          <t>HERNAN JOSÉ RIVERO, DE 35 ANOS, MORA NA CAPITAL HÁ QUATRO MESES. PERTO DE SEMÁFOROS, O HOMEM EXPÕE A PLACA QUE CONTA PARTE DAS DIFICULDADES ENFRENTADAS PELA FAMÍLIA.</t>
        </is>
      </c>
      <c r="J455" t="inlineStr"/>
      <c r="K455" t="n">
        <v>0</v>
      </c>
      <c r="L455" t="n">
        <v>2</v>
      </c>
      <c r="M455" t="n">
        <v>0</v>
      </c>
      <c r="N455" t="n">
        <v>0</v>
      </c>
      <c r="O455" t="n">
        <v>1</v>
      </c>
      <c r="P455">
        <f>HYPERLINK("https://g1.globo.com/to/tocantins/noticia/2021/09/02/com-cartaz-venezuelano-pede-emprego-nas-ruas-de-palmas-por-favor-me-ajudem.ghtml", "URL")</f>
        <v/>
      </c>
      <c r="Q455">
        <f>HYPERLINK("https://raw.githubusercontent.com/marcosmapl/dataset_imigrantes/main/materias_filtered/g1/venezuelanos/2021/08_set/html/g1_0191648c-2315-11ed-b24f-6dbe51e79fca_3061.html", "HTML")</f>
        <v/>
      </c>
      <c r="R455">
        <f>HYPERLINK("https://raw.githubusercontent.com/marcosmapl/dataset_imigrantes/main/materias_filtered/g1/venezuelanos/2021/08_set/txt/g1_0191648c-2315-11ed-b24f-6dbe51e79fca_3061.txt", "TXT")</f>
        <v/>
      </c>
    </row>
    <row r="456">
      <c r="A456" s="1" t="n">
        <v>454</v>
      </c>
      <c r="B456" t="n">
        <v>2021</v>
      </c>
      <c r="C456" s="2" t="n">
        <v>44440.62608412037</v>
      </c>
      <c r="D456" t="inlineStr">
        <is>
          <t>G1</t>
        </is>
      </c>
      <c r="E456" t="inlineStr">
        <is>
          <t>VENEZUELANOS</t>
        </is>
      </c>
      <c r="F456" t="inlineStr">
        <is>
          <t>TOCANTINS</t>
        </is>
      </c>
      <c r="G456" t="inlineStr">
        <is>
          <t>ELMA ROCHA E JESANA DE JESUS, TV ANHANGUERA E G1 TOCANTINS</t>
        </is>
      </c>
      <c r="H456" t="inlineStr">
        <is>
          <t>ARAGUAÍNA TEM 10 DIAS PARA PROVIDENCIAR MORADIA ADEQUADA A VENEZUELANOS REFUGIADOS</t>
        </is>
      </c>
      <c r="I456" t="inlineStr">
        <is>
          <t>PRAZO FOI ESTABELECIDO DURANTE AUDIÊNCIA NA JUSTIÇA FEDERAL. CERCA DE 100 VENEZUELANOS DA ETNIA WARAO VIVEM EM UM LOCAL IMPROVISADO E SEM ESTRUTURA.</t>
        </is>
      </c>
      <c r="J456" t="inlineStr"/>
      <c r="K456" t="n">
        <v>0</v>
      </c>
      <c r="L456" t="n">
        <v>2</v>
      </c>
      <c r="M456" t="n">
        <v>1</v>
      </c>
      <c r="N456" t="n">
        <v>0</v>
      </c>
      <c r="O456" t="n">
        <v>3</v>
      </c>
      <c r="P456">
        <f>HYPERLINK("https://g1.globo.com/to/tocantins/noticia/2021/09/01/araguaina-tem-10-dias-para-providenciar-moradia-adequada-a-venezuelanos-refugiados.ghtml", "URL")</f>
        <v/>
      </c>
      <c r="Q456">
        <f>HYPERLINK("https://raw.githubusercontent.com/marcosmapl/dataset_imigrantes/main/materias_filtered/g1/venezuelanos/2021/08_set/html/g1_39e5e37c-2328-11ed-b24f-6dbe51e79fca_4068.html", "HTML")</f>
        <v/>
      </c>
      <c r="R456">
        <f>HYPERLINK("https://raw.githubusercontent.com/marcosmapl/dataset_imigrantes/main/materias_filtered/g1/venezuelanos/2021/08_set/txt/g1_39e5e37c-2328-11ed-b24f-6dbe51e79fca_4068.txt", "TXT")</f>
        <v/>
      </c>
    </row>
    <row r="457">
      <c r="A457" s="1" t="n">
        <v>455</v>
      </c>
      <c r="B457" t="n">
        <v>2021</v>
      </c>
      <c r="C457" s="2" t="n">
        <v>44440.00702569445</v>
      </c>
      <c r="D457" t="inlineStr">
        <is>
          <t>G1</t>
        </is>
      </c>
      <c r="E457" t="inlineStr">
        <is>
          <t>VENEZUELANOS</t>
        </is>
      </c>
      <c r="F457" t="inlineStr">
        <is>
          <t>MUNDO</t>
        </is>
      </c>
      <c r="G457" t="inlineStr">
        <is>
          <t>FRANCE PRESSE</t>
        </is>
      </c>
      <c r="H457" t="inlineStr">
        <is>
          <t>OPOSIÇÃO VENEZUELANA ROMPE TRÊS ANOS DE BOICOTE E ANUNCIA PARTICIPAÇÃO EM ELEIÇÕES REGIONAIS DE NOVEMBRO</t>
        </is>
      </c>
      <c r="I457" t="inlineStr">
        <is>
          <t>'SABEMOS QUE ESSAS ELEIÇÕES NÃO SERÃO NEM JUSTAS, NEM CONVENCIONAIS', DIZ COMUNICADO DIVULGADO NESTA TERÇA (31) POR PARTIDOS QUE INTEGRAM MESA DA UNIDADE DEMOCRÁTICA (MUD). OPOSIÇÃO RESSALTA, PORÉM, IMPORTÂNCIA DE 'FORTALECER A CIDADANIA E PROMOVER VERDADEIRA SOLUÇÃO PARA A GRAVE CRISE NO PAÍS'.</t>
        </is>
      </c>
      <c r="J457" t="inlineStr"/>
      <c r="K457" t="n">
        <v>0</v>
      </c>
      <c r="L457" t="n">
        <v>1</v>
      </c>
      <c r="M457" t="n">
        <v>0</v>
      </c>
      <c r="N457" t="n">
        <v>0</v>
      </c>
      <c r="O457" t="n">
        <v>3</v>
      </c>
      <c r="P457">
        <f>HYPERLINK("https://g1.globo.com/mundo/noticia/2021/08/31/oposicao-venezuelana-rompe-tres-anos-de-boicote-e-anuncia-participacao-em-eleicoes-regionais-de-novembro.ghtml", "URL")</f>
        <v/>
      </c>
      <c r="Q457">
        <f>HYPERLINK("https://raw.githubusercontent.com/marcosmapl/dataset_imigrantes/main/materias_filtered/g1/venezuelanos/2021/08_set/html/g1_badd5740-2318-11ed-b24f-6dbe51e79fca_3275.html", "HTML")</f>
        <v/>
      </c>
      <c r="R457">
        <f>HYPERLINK("https://raw.githubusercontent.com/marcosmapl/dataset_imigrantes/main/materias_filtered/g1/venezuelanos/2021/08_set/txt/g1_badd5740-2318-11ed-b24f-6dbe51e79fca_3275.txt", "TXT")</f>
        <v/>
      </c>
    </row>
    <row r="458">
      <c r="A458" s="1" t="n">
        <v>456</v>
      </c>
      <c r="B458" t="n">
        <v>2021</v>
      </c>
      <c r="C458" s="2" t="n">
        <v>44439.59295592592</v>
      </c>
      <c r="D458" t="inlineStr">
        <is>
          <t>G1</t>
        </is>
      </c>
      <c r="E458" t="inlineStr">
        <is>
          <t>HAITIANOS</t>
        </is>
      </c>
      <c r="F458" t="inlineStr">
        <is>
          <t>MATO GROSSO DO SUL</t>
        </is>
      </c>
      <c r="G458" t="inlineStr">
        <is>
          <t>GRAZIELA REZENDE, G1 MS</t>
        </is>
      </c>
      <c r="H458" t="inlineStr">
        <is>
          <t>PF FAZ AÇÃO CONTRA GRUPO CRIMINOSO QUE FAZIA TRAVESSIA DE HAITIANOS EM TRILHA NA FRONTEIRA DO BRASIL COM BOLÍVIA</t>
        </is>
      </c>
      <c r="I458" t="inlineStr">
        <is>
          <t>NO DECORRER DA INVESTIGAÇÃO, QUE DUROU ALGUNS MESES, A PF APONTA QUE, A CADA DIA, CERCA DE 150 HAITIANOS PASSAVAM PELO LOCAL. AO TODO, FORAM CUMPRIDOS 1 MANDADO DE PRISÃO E MAIS 4 DE BUSCA E APREENSÃO.</t>
        </is>
      </c>
      <c r="J458" t="inlineStr"/>
      <c r="K458" t="n">
        <v>0</v>
      </c>
      <c r="L458" t="n">
        <v>2</v>
      </c>
      <c r="M458" t="n">
        <v>0</v>
      </c>
      <c r="N458" t="n">
        <v>0</v>
      </c>
      <c r="O458" t="n">
        <v>0</v>
      </c>
      <c r="P458">
        <f>HYPERLINK("https://g1.globo.com/ms/mato-grosso-do-sul/noticia/2021/08/31/pf-faz-acao-contra-grupo-criminoso-que-fazia-travessia-haitianos-em-trilha-na-fronteira-do-brasil-com-a-bolivia.ghtml", "URL")</f>
        <v/>
      </c>
      <c r="Q458">
        <f>HYPERLINK("https://raw.githubusercontent.com/marcosmapl/dataset_imigrantes/main/materias_filtered/g1/haitianos/2021/07_ago/html/g1_4e39e41c-22f2-11ed-b24f-6dbe51e79fca_1791.html", "HTML")</f>
        <v/>
      </c>
      <c r="R458">
        <f>HYPERLINK("https://raw.githubusercontent.com/marcosmapl/dataset_imigrantes/main/materias_filtered/g1/haitianos/2021/07_ago/txt/g1_4e39e41c-22f2-11ed-b24f-6dbe51e79fca_1791.txt", "TXT")</f>
        <v/>
      </c>
    </row>
    <row r="459">
      <c r="A459" s="1" t="n">
        <v>457</v>
      </c>
      <c r="B459" t="n">
        <v>2021</v>
      </c>
      <c r="C459" s="2" t="n">
        <v>44437.37548324074</v>
      </c>
      <c r="D459" t="inlineStr">
        <is>
          <t>G1</t>
        </is>
      </c>
      <c r="E459" t="inlineStr">
        <is>
          <t>VENEZUELANOS</t>
        </is>
      </c>
      <c r="F459" t="inlineStr">
        <is>
          <t>RORAIMA</t>
        </is>
      </c>
      <c r="G459" t="inlineStr">
        <is>
          <t>CAÍQUE RODRIGUES, G1 RR — BOA VISTA</t>
        </is>
      </c>
      <c r="H459" t="inlineStr">
        <is>
          <t>VENEZUELANOS QUE EMIGRAM PARA O BRASIL PASSAM FOME E VIVEM NAS RUAS EM RORAIMA</t>
        </is>
      </c>
      <c r="I459" t="inlineStr">
        <is>
          <t>EM PACARAIMA, MIGRANTES VENEZUELANOS FICAM À MERCÊ DA PRÓPRIA SORTE PARA CONSEGUIR ALIMENTO, ABRIGO E HIGIENE BÁSICA. DESDE QUE HOUVE A FLEXIBILIZAÇÃO DAS FRONTEIRA PARA PESSOAS COM VULNERABILIDADE, A ENTRADA DE MIGRANTES NO MUNICÍPIO É CONSTANTE.</t>
        </is>
      </c>
      <c r="J459" t="inlineStr"/>
      <c r="K459" t="n">
        <v>0</v>
      </c>
      <c r="L459" t="n">
        <v>2</v>
      </c>
      <c r="M459" t="n">
        <v>1</v>
      </c>
      <c r="N459" t="n">
        <v>0</v>
      </c>
      <c r="O459" t="n">
        <v>4</v>
      </c>
      <c r="P459">
        <f>HYPERLINK("https://g1.globo.com/rr/roraima/noticia/2021/08/29/nao-temos-um-real-sequer-temos-fome-venezuelanos-que-tentam-vida-melhor-no-brasil-sofrem-para-encontrar-o-que-comer.ghtml", "URL")</f>
        <v/>
      </c>
      <c r="Q459">
        <f>HYPERLINK("https://raw.githubusercontent.com/marcosmapl/dataset_imigrantes/main/materias_filtered/g1/venezuelanos/2021/07_ago/html/g1_51b51a36-230f-11ed-b24f-6dbe51e79fca_2789.html", "HTML")</f>
        <v/>
      </c>
      <c r="R459">
        <f>HYPERLINK("https://raw.githubusercontent.com/marcosmapl/dataset_imigrantes/main/materias_filtered/g1/venezuelanos/2021/07_ago/txt/g1_51b51a36-230f-11ed-b24f-6dbe51e79fca_2789.txt", "TXT")</f>
        <v/>
      </c>
    </row>
    <row r="460">
      <c r="A460" s="1" t="n">
        <v>458</v>
      </c>
      <c r="B460" t="n">
        <v>2021</v>
      </c>
      <c r="C460" s="2" t="n">
        <v>44436.67677258102</v>
      </c>
      <c r="D460" t="inlineStr">
        <is>
          <t>G1</t>
        </is>
      </c>
      <c r="E460" t="inlineStr">
        <is>
          <t>VENEZUELANOS</t>
        </is>
      </c>
      <c r="F460" t="inlineStr">
        <is>
          <t>RORAIMA</t>
        </is>
      </c>
      <c r="G460" t="inlineStr">
        <is>
          <t>G1 RR — BOA VISTA</t>
        </is>
      </c>
      <c r="H460" t="inlineStr">
        <is>
          <t>VENEZUELANO É ASSASSINADO COM MAIS DE 10 TIROS EM BOA VISTA</t>
        </is>
      </c>
      <c r="I460" t="inlineStr">
        <is>
          <t>VÍTIMA ERA O JOVEM TOMAS ANTONIO, DE 21 ANOS.</t>
        </is>
      </c>
      <c r="J460" t="inlineStr"/>
      <c r="K460" t="n">
        <v>0</v>
      </c>
      <c r="L460" t="n">
        <v>1</v>
      </c>
      <c r="M460" t="n">
        <v>0</v>
      </c>
      <c r="N460" t="n">
        <v>0</v>
      </c>
      <c r="O460" t="n">
        <v>0</v>
      </c>
      <c r="P460">
        <f>HYPERLINK("https://g1.globo.com/rr/roraima/noticia/2021/08/28/venezuelano-e-assassinado-com-mais-de-10-tiros-em-boa-vista.ghtml", "URL")</f>
        <v/>
      </c>
      <c r="Q460">
        <f>HYPERLINK("https://raw.githubusercontent.com/marcosmapl/dataset_imigrantes/main/materias_filtered/g1/venezuelanos/2021/07_ago/html/g1_0cd73e3e-2310-11ed-b24f-6dbe51e79fca_2836.html", "HTML")</f>
        <v/>
      </c>
      <c r="R460">
        <f>HYPERLINK("https://raw.githubusercontent.com/marcosmapl/dataset_imigrantes/main/materias_filtered/g1/venezuelanos/2021/07_ago/txt/g1_0cd73e3e-2310-11ed-b24f-6dbe51e79fca_2836.txt", "TXT")</f>
        <v/>
      </c>
    </row>
    <row r="461">
      <c r="A461" s="1" t="n">
        <v>459</v>
      </c>
      <c r="B461" t="n">
        <v>2021</v>
      </c>
      <c r="C461" s="2" t="n">
        <v>44436.50900462963</v>
      </c>
      <c r="D461" t="inlineStr">
        <is>
          <t>A CRITICA</t>
        </is>
      </c>
      <c r="E461" t="inlineStr">
        <is>
          <t>VENEZUELANOS</t>
        </is>
      </c>
      <c r="F461" t="inlineStr"/>
      <c r="G461" t="inlineStr">
        <is>
          <t>PORTAL A CRÍTICA</t>
        </is>
      </c>
      <c r="H461" t="inlineStr">
        <is>
          <t>COMEÇA MARATONA QUE VAI DESENVOLVER SOLUÇÕES TECNOLÓGICAS PARA O SERVIÇO PÚBLICO</t>
        </is>
      </c>
      <c r="I461" t="inlineStr">
        <is>
          <t>O PROJETO “MANAUS VISÃO HACK 2021” PREVÊ A REALIZAÇÃO DE UM CONJUNTO DE AÇÕES, QUE POSSUEM A FINALIDADE DE PROSPECTAR SOLUÇÕES INOVADORAS E SUSTENTÁVEIS, PARA ALGUMAS ÁREAS ESTRATÉGICAS DA ADMINISTRAÇÃO PÚBLICA MUNICIPAL</t>
        </is>
      </c>
      <c r="J461" t="inlineStr"/>
      <c r="K461" t="n">
        <v>0</v>
      </c>
      <c r="L461" t="n">
        <v>1</v>
      </c>
      <c r="M461" t="n">
        <v>0</v>
      </c>
      <c r="N461" t="n">
        <v>0</v>
      </c>
      <c r="O461" t="n">
        <v>1</v>
      </c>
      <c r="P461">
        <f>HYPERLINK("https://www.acritica.com/comeca-maratona-que-vai-desenvolver-soluc-es-tecnologicas-para-o-servico-publico-1.11398", "URL")</f>
        <v/>
      </c>
      <c r="Q461">
        <f>HYPERLINK("https://raw.githubusercontent.com/marcosmapl/dataset_imigrantes/main/materias_filtered/a_critica/venezuelanos/2021/07_ago/html/1.11398_261.html", "HTML")</f>
        <v/>
      </c>
      <c r="R461">
        <f>HYPERLINK("https://raw.githubusercontent.com/marcosmapl/dataset_imigrantes/main/materias_filtered/a_critica/venezuelanos/2021/07_ago/txt/1.11398_261.txt", "TXT")</f>
        <v/>
      </c>
    </row>
    <row r="462">
      <c r="A462" s="1" t="n">
        <v>460</v>
      </c>
      <c r="B462" t="n">
        <v>2021</v>
      </c>
      <c r="C462" s="2" t="n">
        <v>44435.65285958333</v>
      </c>
      <c r="D462" t="inlineStr">
        <is>
          <t>G1</t>
        </is>
      </c>
      <c r="E462" t="inlineStr">
        <is>
          <t>VENEZUELANOS</t>
        </is>
      </c>
      <c r="F462" t="inlineStr">
        <is>
          <t>RORAIMA</t>
        </is>
      </c>
      <c r="G462" t="inlineStr">
        <is>
          <t>VALÉRIA OLIVEIRA E YARA RAMALHO, G1 RR — BOA VISTA</t>
        </is>
      </c>
      <c r="H462" t="inlineStr">
        <is>
          <t>IMPULSIONADO PELA MIGRAÇÃO DE VENEZUELANOS, RORAIMA TEM MAIOR CRESCIMENTO POPULACIONAL DO PAÍS</t>
        </is>
      </c>
      <c r="I462" t="inlineStr">
        <is>
          <t>POPULAÇÃO ESTIMADA DE RORAIMA É DE 652.713 PESSOAS. CAPITAL BOA VISTA CONCENTRA 66,88% DA POPULAÇÃO TOTAL DO ESTADO (436.591 HABITANTES).</t>
        </is>
      </c>
      <c r="J462" t="inlineStr"/>
      <c r="K462" t="n">
        <v>0</v>
      </c>
      <c r="L462" t="n">
        <v>2</v>
      </c>
      <c r="M462" t="n">
        <v>1</v>
      </c>
      <c r="N462" t="n">
        <v>0</v>
      </c>
      <c r="O462" t="n">
        <v>6</v>
      </c>
      <c r="P462">
        <f>HYPERLINK("https://g1.globo.com/rr/roraima/noticia/2021/08/27/impulsionado-pela-migracao-de-venezuelanos-roraima-tem-maior-crescimento-populacional-do-pais.ghtml", "URL")</f>
        <v/>
      </c>
      <c r="Q462">
        <f>HYPERLINK("https://raw.githubusercontent.com/marcosmapl/dataset_imigrantes/main/materias_filtered/g1/venezuelanos/2021/07_ago/html/g1_ac04301e-2326-11ed-b24f-6dbe51e79fca_3991.html", "HTML")</f>
        <v/>
      </c>
      <c r="R462">
        <f>HYPERLINK("https://raw.githubusercontent.com/marcosmapl/dataset_imigrantes/main/materias_filtered/g1/venezuelanos/2021/07_ago/txt/g1_ac04301e-2326-11ed-b24f-6dbe51e79fca_3991.txt", "TXT")</f>
        <v/>
      </c>
    </row>
    <row r="463">
      <c r="A463" s="1" t="n">
        <v>461</v>
      </c>
      <c r="B463" t="n">
        <v>2021</v>
      </c>
      <c r="C463" s="2" t="n">
        <v>44435.52418981482</v>
      </c>
      <c r="D463" t="inlineStr">
        <is>
          <t>A CRITICA</t>
        </is>
      </c>
      <c r="E463" t="inlineStr">
        <is>
          <t>AMBOS</t>
        </is>
      </c>
      <c r="F463" t="inlineStr"/>
      <c r="G463" t="inlineStr">
        <is>
          <t>PORTAL A CRÍTICA</t>
        </is>
      </c>
      <c r="H463" t="inlineStr">
        <is>
          <t>MINISTÉRIO DA JUSTIÇA E SEGURANÇA PÚBLICA LANÇA MAPEAMENTO SOBRE ASSISTÊNCIA EM SAÚDE MENTAL DE MIGRANTES E REFUGIADOS NO BRASIL</t>
        </is>
      </c>
      <c r="I463" t="inlineStr">
        <is>
          <t>DADOS DE 7 INSTITUIÇÕES DA REGIÃO NORTE INTEGRAM PUBLICAÇÃO INÉDITA, QUE CONTRIBUI PARA O DESENVOLVIMENTO DE AÇÕES, CAPACITAÇÕES E POLÍTICAS PÚBLICAS PARA ESSA POPULAÇÃO NO PAÍS</t>
        </is>
      </c>
      <c r="J463" t="inlineStr"/>
      <c r="K463" t="n">
        <v>0</v>
      </c>
      <c r="L463" t="n">
        <v>1</v>
      </c>
      <c r="M463" t="n">
        <v>0</v>
      </c>
      <c r="N463" t="n">
        <v>0</v>
      </c>
      <c r="O463" t="n">
        <v>1</v>
      </c>
      <c r="P463">
        <f>HYPERLINK("https://www.acritica.com/ministerio-da-justica-e-seguranca-publica-lanca-mapeamento-sobre-assistencia-em-saude-mental-de-migrantes-e-refugiados-no-brasil-1.9932", "URL")</f>
        <v/>
      </c>
      <c r="Q463">
        <f>HYPERLINK("https://raw.githubusercontent.com/marcosmapl/dataset_imigrantes/main/materias_filtered/a_critica/ambos/2021/07_ago/html/1.9932_1222.html", "HTML")</f>
        <v/>
      </c>
      <c r="R463">
        <f>HYPERLINK("https://raw.githubusercontent.com/marcosmapl/dataset_imigrantes/main/materias_filtered/a_critica/ambos/2021/07_ago/txt/1.9932_1222.txt", "TXT")</f>
        <v/>
      </c>
    </row>
    <row r="464">
      <c r="A464" s="1" t="n">
        <v>462</v>
      </c>
      <c r="B464" t="n">
        <v>2021</v>
      </c>
      <c r="C464" s="2" t="n">
        <v>44435.375</v>
      </c>
      <c r="D464" t="inlineStr">
        <is>
          <t>PORTAL AMAZONIA</t>
        </is>
      </c>
      <c r="E464" t="inlineStr">
        <is>
          <t>VENEZUELANOS</t>
        </is>
      </c>
      <c r="F464" t="inlineStr">
        <is>
          <t>AMAZÔNIA</t>
        </is>
      </c>
      <c r="G464" t="inlineStr">
        <is>
          <t>REDAÇÃO - JORNALISMO@PORTALAMAZONIA.COM</t>
        </is>
      </c>
      <c r="H464" t="inlineStr">
        <is>
          <t>CONHEÇA OITO ETNIAS INDÍGENAS QUE INTEGRAM A AMAZÔNIA INTERNACIONAL</t>
        </is>
      </c>
      <c r="I464" t="inlineStr">
        <is>
          <t>RELEMBRE ALGUNS DOS PRINCIPAIS POVOS INDÍGENAS DA AMAZÔNIA INTERNACIONAL, MAS QUE NÃO SÃO TÃO CONHECIDOS PELOS BRASILEIROS</t>
        </is>
      </c>
      <c r="J464" t="inlineStr">
        <is>
          <t>AMAZONIA, AMAZÔNIA, DIA INTERNACIONAL DOS POVOS INDIGENAS, INDÍGENAS</t>
        </is>
      </c>
      <c r="K464" t="n">
        <v>4</v>
      </c>
      <c r="L464" t="n">
        <v>7</v>
      </c>
      <c r="M464" t="n">
        <v>0</v>
      </c>
      <c r="N464" t="n">
        <v>0</v>
      </c>
      <c r="O464" t="n">
        <v>15</v>
      </c>
      <c r="P464">
        <f>HYPERLINK("https://portalamazonia.com/amazonia/conheca-oito-etnias-indigenas-que-integram-a-amazonia-internacional", "URL")</f>
        <v/>
      </c>
      <c r="Q464">
        <f>HYPERLINK("https://raw.githubusercontent.com/marcosmapl/dataset_imigrantes/main/materias_filtered/portal_amazonia/venezuelanos/2021/07_ago/html/24444.80461_1537.html", "HTML")</f>
        <v/>
      </c>
      <c r="R464">
        <f>HYPERLINK("https://raw.githubusercontent.com/marcosmapl/dataset_imigrantes/main/materias_filtered/portal_amazonia/venezuelanos/2021/07_ago/txt/24444.80461_1537.txt", "TXT")</f>
        <v/>
      </c>
    </row>
    <row r="465">
      <c r="A465" s="1" t="n">
        <v>463</v>
      </c>
      <c r="B465" t="n">
        <v>2021</v>
      </c>
      <c r="C465" s="2" t="n">
        <v>44434.50854707176</v>
      </c>
      <c r="D465" t="inlineStr">
        <is>
          <t>G1</t>
        </is>
      </c>
      <c r="E465" t="inlineStr">
        <is>
          <t>VENEZUELANOS</t>
        </is>
      </c>
      <c r="F465" t="inlineStr">
        <is>
          <t>POP &amp; ARTE</t>
        </is>
      </c>
      <c r="G465" t="inlineStr">
        <is>
          <t>G1</t>
        </is>
      </c>
      <c r="H465" t="inlineStr">
        <is>
          <t>EDGAR RAMIREZ DESABAFA APÓS PERDER TIOS, AVÓ E AGENTE PARA COVID-19: 'CORAÇÃO NÃO AGUENTA MAIS TANTA DOR'</t>
        </is>
      </c>
      <c r="I465" t="inlineStr">
        <is>
          <t>'NENHUM TEVE ACESSO A UMA VACINA NA VENEZUELA. ENQUANTO ISSO, NOS ESTADOS UNIDOS, SE DESCARTAM DEZENAS DE MILHARES DE VACINAS PORQUE UM GRANDE NÚMERO DE PESSOAS NÃO AS QUER', LAMENTOU O ATOR VENEZUELANO.</t>
        </is>
      </c>
      <c r="J465" t="inlineStr"/>
      <c r="K465" t="n">
        <v>0</v>
      </c>
      <c r="L465" t="n">
        <v>1</v>
      </c>
      <c r="M465" t="n">
        <v>0</v>
      </c>
      <c r="N465" t="n">
        <v>0</v>
      </c>
      <c r="O465" t="n">
        <v>1</v>
      </c>
      <c r="P465">
        <f>HYPERLINK("https://g1.globo.com/pop-arte/noticia/2021/08/26/edgar-ramirez-desabafa-apos-perder-tios-avo-e-agente-para-covid-19-coracao-nao-aguenta-mais-tanta-dor.ghtml", "URL")</f>
        <v/>
      </c>
      <c r="Q465">
        <f>HYPERLINK("https://raw.githubusercontent.com/marcosmapl/dataset_imigrantes/main/materias_filtered/g1/venezuelanos/2021/07_ago/html/g1_3db63cb0-2312-11ed-b24f-6dbe51e79fca_2957.html", "HTML")</f>
        <v/>
      </c>
      <c r="R465">
        <f>HYPERLINK("https://raw.githubusercontent.com/marcosmapl/dataset_imigrantes/main/materias_filtered/g1/venezuelanos/2021/07_ago/txt/g1_3db63cb0-2312-11ed-b24f-6dbe51e79fca_2957.txt", "TXT")</f>
        <v/>
      </c>
    </row>
    <row r="466">
      <c r="A466" s="1" t="n">
        <v>464</v>
      </c>
      <c r="B466" t="n">
        <v>2021</v>
      </c>
      <c r="C466" s="2" t="n">
        <v>44433.66176648148</v>
      </c>
      <c r="D466" t="inlineStr">
        <is>
          <t>G1</t>
        </is>
      </c>
      <c r="E466" t="inlineStr">
        <is>
          <t>VENEZUELANOS</t>
        </is>
      </c>
      <c r="F466" t="inlineStr">
        <is>
          <t>RORAIMA</t>
        </is>
      </c>
      <c r="G466" t="inlineStr">
        <is>
          <t>G1 RR — BOA VISTA</t>
        </is>
      </c>
      <c r="H466" t="inlineStr">
        <is>
          <t>OPERAÇÃO ACOLHIDA, RESPONSÁVEL POR ATENDER VENEZUELANOS EM RR, ANUNCIA MUDANÇA NO COMANDO</t>
        </is>
      </c>
      <c r="I466" t="inlineStr">
        <is>
          <t>GENERAL SÉRGIO SCHWINGEL ASSUME FUNÇÃO NO LUGAR DO TAMBÉM GENERAL ANTÔNIO MANOEL DE BARROS. TROCA DE COMANDO OCORRE NO DIA 31 DE AGOSTO, EM BOA VISTA.</t>
        </is>
      </c>
      <c r="J466" t="inlineStr"/>
      <c r="K466" t="n">
        <v>0</v>
      </c>
      <c r="L466" t="n">
        <v>1</v>
      </c>
      <c r="M466" t="n">
        <v>0</v>
      </c>
      <c r="N466" t="n">
        <v>0</v>
      </c>
      <c r="O466" t="n">
        <v>8</v>
      </c>
      <c r="P466">
        <f>HYPERLINK("https://g1.globo.com/rr/roraima/noticia/2021/08/25/operacao-acolhida-responsavel-por-atender-venezuelanos-em-rr-anuncia-mudanca-no-comando.ghtml", "URL")</f>
        <v/>
      </c>
      <c r="Q466">
        <f>HYPERLINK("https://raw.githubusercontent.com/marcosmapl/dataset_imigrantes/main/materias_filtered/g1/venezuelanos/2021/07_ago/html/g1_33d11e24-2329-11ed-b24f-6dbe51e79fca_4102.html", "HTML")</f>
        <v/>
      </c>
      <c r="R466">
        <f>HYPERLINK("https://raw.githubusercontent.com/marcosmapl/dataset_imigrantes/main/materias_filtered/g1/venezuelanos/2021/07_ago/txt/g1_33d11e24-2329-11ed-b24f-6dbe51e79fca_4102.txt", "TXT")</f>
        <v/>
      </c>
    </row>
    <row r="467">
      <c r="A467" s="1" t="n">
        <v>465</v>
      </c>
      <c r="B467" t="n">
        <v>2021</v>
      </c>
      <c r="C467" s="2" t="n">
        <v>44433.50553609954</v>
      </c>
      <c r="D467" t="inlineStr">
        <is>
          <t>G1</t>
        </is>
      </c>
      <c r="E467" t="inlineStr">
        <is>
          <t>VENEZUELANOS</t>
        </is>
      </c>
      <c r="F467" t="inlineStr">
        <is>
          <t>ZONA DA MATA</t>
        </is>
      </c>
      <c r="G467" t="inlineStr">
        <is>
          <t>MG2</t>
        </is>
      </c>
      <c r="H467" t="inlineStr">
        <is>
          <t>GRUPO DE VENEZUELANOS PEDE REFÚGIO EM BARBACENA</t>
        </is>
      </c>
      <c r="I467" t="inlineStr">
        <is>
          <t>CERCA DE 17 PESSOAS, ENTRE MULHERES E CRIANÇAS, SE MOBILIZARAM PARA PEDIR ALIMENTOS E EMPREGO COM USO DE CARTAZES NA PRAÇA DA MATRIZ DA PIEDADE NA REGIÃO CENTRAL DA CIDADE.</t>
        </is>
      </c>
      <c r="J467" t="inlineStr"/>
      <c r="K467" t="n">
        <v>0</v>
      </c>
      <c r="L467" t="n">
        <v>5</v>
      </c>
      <c r="M467" t="n">
        <v>0</v>
      </c>
      <c r="N467" t="n">
        <v>0</v>
      </c>
      <c r="O467" t="n">
        <v>5</v>
      </c>
      <c r="P467">
        <f>HYPERLINK("https://g1.globo.com/mg/zona-da-mata/noticia/2021/08/25/grupo-de-venezuelanos-pede-refugio-em-barbacena.ghtml", "URL")</f>
        <v/>
      </c>
      <c r="Q467">
        <f>HYPERLINK("https://raw.githubusercontent.com/marcosmapl/dataset_imigrantes/main/materias_filtered/g1/venezuelanos/2021/07_ago/html/g1_a4accb26-231e-11ed-b24f-6dbe51e79fca_3574.html", "HTML")</f>
        <v/>
      </c>
      <c r="R467">
        <f>HYPERLINK("https://raw.githubusercontent.com/marcosmapl/dataset_imigrantes/main/materias_filtered/g1/venezuelanos/2021/07_ago/txt/g1_a4accb26-231e-11ed-b24f-6dbe51e79fca_3574.txt", "TXT")</f>
        <v/>
      </c>
    </row>
    <row r="468">
      <c r="A468" s="1" t="n">
        <v>466</v>
      </c>
      <c r="B468" t="n">
        <v>2021</v>
      </c>
      <c r="C468" s="2" t="n">
        <v>44432.65482480324</v>
      </c>
      <c r="D468" t="inlineStr">
        <is>
          <t>G1</t>
        </is>
      </c>
      <c r="E468" t="inlineStr">
        <is>
          <t>HAITIANOS</t>
        </is>
      </c>
      <c r="F468" t="inlineStr">
        <is>
          <t>MINAS GERAIS</t>
        </is>
      </c>
      <c r="G468" t="inlineStr">
        <is>
          <t>RAQUEL FREITAS, G1 MINAS — BELO HORIZONTE</t>
        </is>
      </c>
      <c r="H468" t="inlineStr">
        <is>
          <t>BOMBEIROS DE MG DIZEM QUE DEVASTAÇÃO NO HAITI SE ASSEMELHA À DE MOÇAMBIQUE HÁ 2 ANOS: 'TRABALHO SERÁ ÁRDUO'</t>
        </is>
      </c>
      <c r="I468" t="inlineStr">
        <is>
          <t>MILITARES MINEIROS INTEGRAM MISSÃO DE AJUDA HUMANITÁRIA DO GOVERNO BRASILEIRO NO PAÍS CARIBENHO. HÁ 2 ANOS, EQUIPES DO ESTADO TAMBÉM FORAM ENVIADAS À ÁFRICA APÓS PASSAGEM DE CICLONE.</t>
        </is>
      </c>
      <c r="J468" t="inlineStr"/>
      <c r="K468" t="n">
        <v>0</v>
      </c>
      <c r="L468" t="n">
        <v>3</v>
      </c>
      <c r="M468" t="n">
        <v>1</v>
      </c>
      <c r="N468" t="n">
        <v>0</v>
      </c>
      <c r="O468" t="n">
        <v>7</v>
      </c>
      <c r="P468">
        <f>HYPERLINK("https://g1.globo.com/mg/minas-gerais/noticia/2021/08/24/bombeiros-de-mg-dizem-que-devastacao-no-haiti-se-assemelha-a-de-mocambique-ha-2-anos-trabalho-sera-arduo.ghtml", "URL")</f>
        <v/>
      </c>
      <c r="Q468">
        <f>HYPERLINK("https://raw.githubusercontent.com/marcosmapl/dataset_imigrantes/main/materias_filtered/g1/haitianos/2021/07_ago/html/g1_2e4d0532-2318-11ed-b24f-6dbe51e79fca_3247.html", "HTML")</f>
        <v/>
      </c>
      <c r="R468">
        <f>HYPERLINK("https://raw.githubusercontent.com/marcosmapl/dataset_imigrantes/main/materias_filtered/g1/haitianos/2021/07_ago/txt/g1_2e4d0532-2318-11ed-b24f-6dbe51e79fca_3247.txt", "TXT")</f>
        <v/>
      </c>
    </row>
    <row r="469">
      <c r="A469" s="1" t="n">
        <v>467</v>
      </c>
      <c r="B469" t="n">
        <v>2021</v>
      </c>
      <c r="C469" s="2" t="n">
        <v>44432.37152777778</v>
      </c>
      <c r="D469" t="inlineStr">
        <is>
          <t>PORTAL AMAZONIA</t>
        </is>
      </c>
      <c r="E469" t="inlineStr">
        <is>
          <t>AMBOS</t>
        </is>
      </c>
      <c r="F469" t="inlineStr">
        <is>
          <t>AMAZÔNIA,CIDADANIA,CIDADES</t>
        </is>
      </c>
      <c r="G469" t="inlineStr">
        <is>
          <t>REDAÇÃO - JORNALISMO@PORTALAMAZONIA.COM</t>
        </is>
      </c>
      <c r="H469" t="inlineStr">
        <is>
          <t>MIGRAÇÃO NA AMAZÔNIA: CONHEÇA OS PRINCIPAIS FLUXOS DE PESSOAS NA REGIÃO</t>
        </is>
      </c>
      <c r="I469" t="inlineStr">
        <is>
          <t>FAMOSA POR SUAS RIQUEZAS CULTURAIS E NATURAIS, A AMAZÔNIA SEMPRE ATRAIU A ATENÇÃO MUNDO AFORA</t>
        </is>
      </c>
      <c r="J469" t="inlineStr">
        <is>
          <t>AMAZÔNIA, CIDADANIA, CIDADES, FLUXOS MIGRATÓRIOS, MIGRAÇÃO</t>
        </is>
      </c>
      <c r="K469" t="n">
        <v>5</v>
      </c>
      <c r="L469" t="n">
        <v>2</v>
      </c>
      <c r="M469" t="n">
        <v>0</v>
      </c>
      <c r="N469" t="n">
        <v>0</v>
      </c>
      <c r="O469" t="n">
        <v>18</v>
      </c>
      <c r="P469">
        <f>HYPERLINK("https://portalamazonia.com/amazonia/migracao-na-amazonia-conheca-os-principais-fluxos-migratorios-da-regiao", "URL")</f>
        <v/>
      </c>
      <c r="Q469">
        <f>HYPERLINK("https://raw.githubusercontent.com/marcosmapl/dataset_imigrantes/main/materias_filtered/portal_amazonia/ambos/2021/07_ago/html/32143.80325_1481.html", "HTML")</f>
        <v/>
      </c>
      <c r="R469">
        <f>HYPERLINK("https://raw.githubusercontent.com/marcosmapl/dataset_imigrantes/main/materias_filtered/portal_amazonia/ambos/2021/07_ago/txt/32143.80325_1481.txt", "TXT")</f>
        <v/>
      </c>
    </row>
    <row r="470">
      <c r="A470" s="1" t="n">
        <v>468</v>
      </c>
      <c r="B470" t="n">
        <v>2021</v>
      </c>
      <c r="C470" s="2" t="n">
        <v>44431.92387421296</v>
      </c>
      <c r="D470" t="inlineStr">
        <is>
          <t>G1</t>
        </is>
      </c>
      <c r="E470" t="inlineStr">
        <is>
          <t>HAITIANOS</t>
        </is>
      </c>
      <c r="F470" t="inlineStr">
        <is>
          <t>MUNDO</t>
        </is>
      </c>
      <c r="G470" t="inlineStr">
        <is>
          <t>STEFANIE SCHÜLER E NICOLAS BENITA, RFI</t>
        </is>
      </c>
      <c r="H470" t="inlineStr">
        <is>
          <t>AJUDA A VILAREJOS ATINGIDOS PELO TERREMOTO NO HAITI SERÁ FEITA POR HELICÓPTERO PARA EVITAR SAQUES</t>
        </is>
      </c>
      <c r="I470" t="inlineStr">
        <is>
          <t>ENQUANTO A AJUDA INTERNACIONAL NÃO CHEGA, MUITOS VILAREJOS E MUNICÍPIOS TENTAM SE VIRAR COMO PODEM. RITMO DAS ENTREGAS SE ACELERA, MAS O ABASTECIMENTO POR VIA AÉREA NÃO ACONTECE SEM DIFICULDADES.</t>
        </is>
      </c>
      <c r="J470" t="inlineStr"/>
      <c r="K470" t="n">
        <v>0</v>
      </c>
      <c r="L470" t="n">
        <v>1</v>
      </c>
      <c r="M470" t="n">
        <v>0</v>
      </c>
      <c r="N470" t="n">
        <v>0</v>
      </c>
      <c r="O470" t="n">
        <v>4</v>
      </c>
      <c r="P470">
        <f>HYPERLINK("https://g1.globo.com/mundo/noticia/2021/08/23/ajuda-a-vilarejos-atingidos-pelo-terremoto-no-haiti-sera-feita-por-helicoptero-para-evitar-saques.ghtml", "URL")</f>
        <v/>
      </c>
      <c r="Q470">
        <f>HYPERLINK("https://raw.githubusercontent.com/marcosmapl/dataset_imigrantes/main/materias_filtered/g1/haitianos/2021/07_ago/html/g1_53b59a76-2324-11ed-b24f-6dbe51e79fca_3864.html", "HTML")</f>
        <v/>
      </c>
      <c r="R470">
        <f>HYPERLINK("https://raw.githubusercontent.com/marcosmapl/dataset_imigrantes/main/materias_filtered/g1/haitianos/2021/07_ago/txt/g1_53b59a76-2324-11ed-b24f-6dbe51e79fca_3864.txt", "TXT")</f>
        <v/>
      </c>
    </row>
    <row r="471">
      <c r="A471" s="1" t="n">
        <v>469</v>
      </c>
      <c r="B471" t="n">
        <v>2021</v>
      </c>
      <c r="C471" s="2" t="n">
        <v>44431.62599758102</v>
      </c>
      <c r="D471" t="inlineStr">
        <is>
          <t>G1</t>
        </is>
      </c>
      <c r="E471" t="inlineStr">
        <is>
          <t>HAITIANOS</t>
        </is>
      </c>
      <c r="F471" t="inlineStr">
        <is>
          <t>DISTRITO FEDERAL</t>
        </is>
      </c>
      <c r="G471" t="inlineStr">
        <is>
          <t>WALDER GALVÃO, G1 DF</t>
        </is>
      </c>
      <c r="H471" t="inlineStr">
        <is>
          <t>TERREMOTO NO HAITI: BOMBEIROS DO DF ENVIADOS EM MISSÃO HUMANITÁRIA VÃO ATUAR NO RESGATE E SOCORRO ÀS VÍTIMAS</t>
        </is>
      </c>
      <c r="I471" t="inlineStr">
        <is>
          <t>MILITARES DEIXARAM CAPITAL FEDERAL NO DOMINGO (22) E DEVEM CHEGAR A PORTO PRÍNCIPE NESTA SEGUNDA-FEIRA (23). PAÍS NO CARIBE REGISTRA 2,2 MIL MORTOS APÓS TREMORES DE TERRA E CICLONE TROPICAL.</t>
        </is>
      </c>
      <c r="J471" t="inlineStr"/>
      <c r="K471" t="n">
        <v>0</v>
      </c>
      <c r="L471" t="n">
        <v>3</v>
      </c>
      <c r="M471" t="n">
        <v>2</v>
      </c>
      <c r="N471" t="n">
        <v>0</v>
      </c>
      <c r="O471" t="n">
        <v>19</v>
      </c>
      <c r="P471">
        <f>HYPERLINK("https://g1.globo.com/df/distrito-federal/noticia/2021/08/23/terremoto-no-haiti-bombeiros-do-df-enviados-em-missao-humanitaria-vao-atuar-no-resgate-e-socorro-as-vitimas.ghtml", "URL")</f>
        <v/>
      </c>
      <c r="Q471">
        <f>HYPERLINK("https://raw.githubusercontent.com/marcosmapl/dataset_imigrantes/main/materias_filtered/g1/haitianos/2021/07_ago/html/g1_3d464436-230e-11ed-b24f-6dbe51e79fca_2729.html", "HTML")</f>
        <v/>
      </c>
      <c r="R471">
        <f>HYPERLINK("https://raw.githubusercontent.com/marcosmapl/dataset_imigrantes/main/materias_filtered/g1/haitianos/2021/07_ago/txt/g1_3d464436-230e-11ed-b24f-6dbe51e79fca_2729.txt", "TXT")</f>
        <v/>
      </c>
    </row>
    <row r="472">
      <c r="A472" s="1" t="n">
        <v>470</v>
      </c>
      <c r="B472" t="n">
        <v>2021</v>
      </c>
      <c r="C472" s="2" t="n">
        <v>44431.52092592593</v>
      </c>
      <c r="D472" t="inlineStr">
        <is>
          <t>A CRITICA</t>
        </is>
      </c>
      <c r="E472" t="inlineStr">
        <is>
          <t>VENEZUELANOS</t>
        </is>
      </c>
      <c r="F472" t="inlineStr"/>
      <c r="G472" t="inlineStr">
        <is>
          <t>GIOVANNA MARINHO</t>
        </is>
      </c>
      <c r="H472" t="inlineStr">
        <is>
          <t>‘MANAUS ME AJUDOU, AQUI POSSO TRABALHAR’</t>
        </is>
      </c>
      <c r="I472" t="inlineStr">
        <is>
          <t>VENEZUELANOS QUE VIVEM EM MANAUS UTILIZAM PARTE DO DINHEIRO QUE GANHAM PARA AJUDAR OU TRAZER OS PARENTES DEIXADOS NO PAÍS VIZINHO</t>
        </is>
      </c>
      <c r="J472" t="inlineStr"/>
      <c r="K472" t="n">
        <v>0</v>
      </c>
      <c r="L472" t="n">
        <v>1</v>
      </c>
      <c r="M472" t="n">
        <v>0</v>
      </c>
      <c r="N472" t="n">
        <v>0</v>
      </c>
      <c r="O472" t="n">
        <v>0</v>
      </c>
      <c r="P472">
        <f>HYPERLINK("https://www.acritica.com/manaus-me-ajudou-aqui-posso-trabalhar-1.11598", "URL")</f>
        <v/>
      </c>
      <c r="Q472">
        <f>HYPERLINK("https://raw.githubusercontent.com/marcosmapl/dataset_imigrantes/main/materias_filtered/a_critica/venezuelanos/2021/07_ago/html/1.11598_1207.html", "HTML")</f>
        <v/>
      </c>
      <c r="R472">
        <f>HYPERLINK("https://raw.githubusercontent.com/marcosmapl/dataset_imigrantes/main/materias_filtered/a_critica/venezuelanos/2021/07_ago/txt/1.11598_1207.txt", "TXT")</f>
        <v/>
      </c>
    </row>
    <row r="473">
      <c r="A473" s="1" t="n">
        <v>471</v>
      </c>
      <c r="B473" t="n">
        <v>2021</v>
      </c>
      <c r="C473" s="2" t="n">
        <v>44430.90082496528</v>
      </c>
      <c r="D473" t="inlineStr">
        <is>
          <t>G1</t>
        </is>
      </c>
      <c r="E473" t="inlineStr">
        <is>
          <t>HAITIANOS</t>
        </is>
      </c>
      <c r="F473" t="inlineStr">
        <is>
          <t>POLÍTICA</t>
        </is>
      </c>
      <c r="G473" t="inlineStr">
        <is>
          <t>RONIARA CASTILHOS E MARCELA MATTOS, TV GLOBO E G1 — BRASÍLIA</t>
        </is>
      </c>
      <c r="H473" t="inlineStr">
        <is>
          <t>'QUESTÃO TÉCNICA' LEVA FAB A TROCAR AERONAVE E ATRASA VOO QUE LEVARÁ SUPRIMENTOS E REMÉDIOS AO HAITI</t>
        </is>
      </c>
      <c r="I473" t="inlineStr">
        <is>
          <t>PELA PREVISÃO INICIAL, AJUDA ÀS VÍTIMAS CHEGARIA A PORTO PRÍNCIPE NA NOITE DESTE DOMINGO. PARTIDA PARA A CAPITAL HAITIANA FOI REMARCADA PARA ESTA SEGUNDA; PAÍS ENFRENTOU TERREMOTOS E CICLONE.</t>
        </is>
      </c>
      <c r="J473" t="inlineStr"/>
      <c r="K473" t="n">
        <v>0</v>
      </c>
      <c r="L473" t="n">
        <v>3</v>
      </c>
      <c r="M473" t="n">
        <v>3</v>
      </c>
      <c r="N473" t="n">
        <v>0</v>
      </c>
      <c r="O473" t="n">
        <v>7</v>
      </c>
      <c r="P473">
        <f>HYPERLINK("https://g1.globo.com/politica/noticia/2021/08/22/questao-tecnica-faz-fab-trocar-aeronave-e-atrasa-voo-que-levara-suprimentos-e-remedios-ao-haiti.ghtml", "URL")</f>
        <v/>
      </c>
      <c r="Q473">
        <f>HYPERLINK("https://raw.githubusercontent.com/marcosmapl/dataset_imigrantes/main/materias_filtered/g1/haitianos/2021/07_ago/html/g1_bae0cf06-2309-11ed-b24f-6dbe51e79fca_2459.html", "HTML")</f>
        <v/>
      </c>
      <c r="R473">
        <f>HYPERLINK("https://raw.githubusercontent.com/marcosmapl/dataset_imigrantes/main/materias_filtered/g1/haitianos/2021/07_ago/txt/g1_bae0cf06-2309-11ed-b24f-6dbe51e79fca_2459.txt", "TXT")</f>
        <v/>
      </c>
    </row>
    <row r="474">
      <c r="A474" s="1" t="n">
        <v>472</v>
      </c>
      <c r="B474" t="n">
        <v>2021</v>
      </c>
      <c r="C474" s="2" t="n">
        <v>44430.53933287037</v>
      </c>
      <c r="D474" t="inlineStr">
        <is>
          <t>G1</t>
        </is>
      </c>
      <c r="E474" t="inlineStr">
        <is>
          <t>HAITIANOS</t>
        </is>
      </c>
      <c r="F474" t="inlineStr">
        <is>
          <t>SOROCABA E JUNDIAÍ</t>
        </is>
      </c>
      <c r="G474" t="inlineStr">
        <is>
          <t>JULIA VERONEZE*, G1 SOROCABA E JUNDIAÍ</t>
        </is>
      </c>
      <c r="H474" t="inlineStr">
        <is>
          <t>JOVEM FAZ AÇÃO PARA AJUDAR AMIGO HAITIANO QUE MOROU NA SUA CASA EM INTERCÂMBIO NO BRASIL: 'NÃO QUERO DEIXAR ELE SEM COMER'</t>
        </is>
      </c>
      <c r="I474" t="inlineStr">
        <is>
          <t>ESTUDANTE NICOLE BERNARDI FAZ VAQUINHA PARA AMIGO HAITIANO DEPOIS QUE ELE RELATOU QUE ESTAVA PASSANDO FOME EM PORTO PRÍNCIPE, CAPITAL DO HAITI, JUNTO COM OUTRAS SETE PESSOAS DA FAMÍLIA. HAITIANO FEZ INTERCÂMBIO NO BRASIL EM 2017 E MOROU NA CASA DE NICOLE, NO INTERIOR PAULISTA.</t>
        </is>
      </c>
      <c r="J474" t="inlineStr"/>
      <c r="K474" t="n">
        <v>0</v>
      </c>
      <c r="L474" t="n">
        <v>3</v>
      </c>
      <c r="M474" t="n">
        <v>1</v>
      </c>
      <c r="N474" t="n">
        <v>0</v>
      </c>
      <c r="O474" t="n">
        <v>13</v>
      </c>
      <c r="P474">
        <f>HYPERLINK("https://g1.globo.com/sp/sorocaba-jundiai/noticia/2021/08/22/jovem-faz-acao-para-ajudar-amigo-haitiano-que-morou-na-sua-casa-em-intercambio-no-brasil-nao-quero-deixar-ele-sem-comer.ghtml", "URL")</f>
        <v/>
      </c>
      <c r="Q474">
        <f>HYPERLINK("https://raw.githubusercontent.com/marcosmapl/dataset_imigrantes/main/materias_filtered/g1/haitianos/2021/07_ago/html/g1_721b4862-22b1-11ed-b24f-6dbe51e79fca_1633.html", "HTML")</f>
        <v/>
      </c>
      <c r="R474">
        <f>HYPERLINK("https://raw.githubusercontent.com/marcosmapl/dataset_imigrantes/main/materias_filtered/g1/haitianos/2021/07_ago/txt/g1_721b4862-22b1-11ed-b24f-6dbe51e79fca_1633.txt", "TXT")</f>
        <v/>
      </c>
    </row>
    <row r="475">
      <c r="A475" s="1" t="n">
        <v>473</v>
      </c>
      <c r="B475" t="n">
        <v>2021</v>
      </c>
      <c r="C475" s="2" t="n">
        <v>44430.51793981482</v>
      </c>
      <c r="D475" t="inlineStr">
        <is>
          <t>A CRITICA</t>
        </is>
      </c>
      <c r="E475" t="inlineStr">
        <is>
          <t>HAITIANOS</t>
        </is>
      </c>
      <c r="F475" t="inlineStr"/>
      <c r="G475" t="inlineStr">
        <is>
          <t>PORTAL A CRÍTICA</t>
        </is>
      </c>
      <c r="H475" t="inlineStr">
        <is>
          <t>BRASIL ENVIA AJUDA HUMANITÁRIA AO HAITI</t>
        </is>
      </c>
      <c r="I475" t="inlineStr">
        <is>
          <t>AVIÃO DA FORÇA AÉREA LEVA MAIS DE 10 TONELADAS DE INSUMOS</t>
        </is>
      </c>
      <c r="J475" t="inlineStr"/>
      <c r="K475" t="n">
        <v>0</v>
      </c>
      <c r="L475" t="n">
        <v>1</v>
      </c>
      <c r="M475" t="n">
        <v>0</v>
      </c>
      <c r="N475" t="n">
        <v>0</v>
      </c>
      <c r="O475" t="n">
        <v>0</v>
      </c>
      <c r="P475">
        <f>HYPERLINK("https://www.acritica.com/brasil-envia-ajuda-humanitaria-ao-haiti-1.11557", "URL")</f>
        <v/>
      </c>
      <c r="Q475">
        <f>HYPERLINK("https://raw.githubusercontent.com/marcosmapl/dataset_imigrantes/main/materias_filtered/a_critica/haitianos/2021/07_ago/html/1.11557_457.html", "HTML")</f>
        <v/>
      </c>
      <c r="R475">
        <f>HYPERLINK("https://raw.githubusercontent.com/marcosmapl/dataset_imigrantes/main/materias_filtered/a_critica/haitianos/2021/07_ago/txt/1.11557_457.txt", "TXT")</f>
        <v/>
      </c>
    </row>
    <row r="476">
      <c r="A476" s="1" t="n">
        <v>474</v>
      </c>
      <c r="B476" t="n">
        <v>2021</v>
      </c>
      <c r="C476" s="2" t="n">
        <v>44430.4171334375</v>
      </c>
      <c r="D476" t="inlineStr">
        <is>
          <t>G1</t>
        </is>
      </c>
      <c r="E476" t="inlineStr">
        <is>
          <t>VENEZUELANOS</t>
        </is>
      </c>
      <c r="F476" t="inlineStr">
        <is>
          <t>RORAIMA</t>
        </is>
      </c>
      <c r="G476" t="inlineStr">
        <is>
          <t>G1 RR — BOA VISTA</t>
        </is>
      </c>
      <c r="H476" t="inlineStr">
        <is>
          <t>UFRR ABRE INSCRIÇÕES PARA PALESTRA SOBRE SABERES GUIANENSES E VENEZUELANOS</t>
        </is>
      </c>
      <c r="I476" t="inlineStr">
        <is>
          <t>EVENTO É GRATUITO E ABERTO A TODOS OS INTERESSADOS. INSCRIÇÕES DEVEM SER FEITAS ONLINE, ATÉ O DIA 27 DE AGOSTO.</t>
        </is>
      </c>
      <c r="J476" t="inlineStr"/>
      <c r="K476" t="n">
        <v>0</v>
      </c>
      <c r="L476" t="n">
        <v>1</v>
      </c>
      <c r="M476" t="n">
        <v>0</v>
      </c>
      <c r="N476" t="n">
        <v>0</v>
      </c>
      <c r="O476" t="n">
        <v>1</v>
      </c>
      <c r="P476">
        <f>HYPERLINK("https://g1.globo.com/rr/roraima/noticia/2021/08/22/ufrr-abre-inscricoes-para-palestra-sobre-saberes-guianenses-e-venezuelanos.ghtml", "URL")</f>
        <v/>
      </c>
      <c r="Q476">
        <f>HYPERLINK("https://raw.githubusercontent.com/marcosmapl/dataset_imigrantes/main/materias_filtered/g1/venezuelanos/2021/07_ago/html/g1_ec531610-2323-11ed-b24f-6dbe51e79fca_3836.html", "HTML")</f>
        <v/>
      </c>
      <c r="R476">
        <f>HYPERLINK("https://raw.githubusercontent.com/marcosmapl/dataset_imigrantes/main/materias_filtered/g1/venezuelanos/2021/07_ago/txt/g1_ec531610-2323-11ed-b24f-6dbe51e79fca_3836.txt", "TXT")</f>
        <v/>
      </c>
    </row>
    <row r="477">
      <c r="A477" s="1" t="n">
        <v>475</v>
      </c>
      <c r="B477" t="n">
        <v>2021</v>
      </c>
      <c r="C477" s="2" t="n">
        <v>44429.5138371875</v>
      </c>
      <c r="D477" t="inlineStr">
        <is>
          <t>G1</t>
        </is>
      </c>
      <c r="E477" t="inlineStr">
        <is>
          <t>HAITIANOS</t>
        </is>
      </c>
      <c r="F477" t="inlineStr">
        <is>
          <t>MUNDO</t>
        </is>
      </c>
      <c r="G477" t="inlineStr">
        <is>
          <t>FRANCE PRESSE</t>
        </is>
      </c>
      <c r="H477" t="inlineStr">
        <is>
          <t>PREMIÊ DO HAITI PROMETE REALIZAR ELEIÇÕES 'O QUANTO ANTES'</t>
        </is>
      </c>
      <c r="I477" t="inlineStr">
        <is>
          <t>ARIEL HENRY ASSUMIU O CARGO DEPOIS DO ASSASSINATO DO PRESIDENTE JOVENEL MOISE, EM JULHO. SEGUNDO ELE, O PROCESSO ELEITORAL EM CURSO FOI INTERROMPIDO PELO TERRAMOTO QUE ATINGIU O PAÍS E DEIXOU MAIS DE 2 MIL MORTOS.</t>
        </is>
      </c>
      <c r="J477" t="inlineStr"/>
      <c r="K477" t="n">
        <v>0</v>
      </c>
      <c r="L477" t="n">
        <v>2</v>
      </c>
      <c r="M477" t="n">
        <v>1</v>
      </c>
      <c r="N477" t="n">
        <v>0</v>
      </c>
      <c r="O477" t="n">
        <v>7</v>
      </c>
      <c r="P477">
        <f>HYPERLINK("https://g1.globo.com/mundo/noticia/2021/08/21/premie-do-haiti-promete-realizar-eleicoes-o-quanto-antes.ghtml", "URL")</f>
        <v/>
      </c>
      <c r="Q477">
        <f>HYPERLINK("https://raw.githubusercontent.com/marcosmapl/dataset_imigrantes/main/materias_filtered/g1/haitianos/2021/07_ago/html/g1_0884f168-22ee-11ed-b24f-6dbe51e79fca_1696.html", "HTML")</f>
        <v/>
      </c>
      <c r="R477">
        <f>HYPERLINK("https://raw.githubusercontent.com/marcosmapl/dataset_imigrantes/main/materias_filtered/g1/haitianos/2021/07_ago/txt/g1_0884f168-22ee-11ed-b24f-6dbe51e79fca_1696.txt", "TXT")</f>
        <v/>
      </c>
    </row>
    <row r="478">
      <c r="A478" s="1" t="n">
        <v>476</v>
      </c>
      <c r="B478" t="n">
        <v>2021</v>
      </c>
      <c r="C478" s="2" t="n">
        <v>44429.35457414352</v>
      </c>
      <c r="D478" t="inlineStr">
        <is>
          <t>G1</t>
        </is>
      </c>
      <c r="E478" t="inlineStr">
        <is>
          <t>HAITIANOS</t>
        </is>
      </c>
      <c r="F478" t="inlineStr">
        <is>
          <t>PODCASTS</t>
        </is>
      </c>
      <c r="G478" t="inlineStr">
        <is>
          <t>G1</t>
        </is>
      </c>
      <c r="H478" t="inlineStr">
        <is>
          <t>O ASSUNTO #517 A #521: COLIGAÇÕES, AFEGANISTÃO E O TALIBÃ, HAITI, O BRASIL COM FOME DE NOVO, E IDOSOS E A 3ª DOSE</t>
        </is>
      </c>
      <c r="I478" t="inlineStr">
        <is>
          <t>O ASSUNTO É O PODCAST DIÁRIO COM RENATA LO PRETE. PERDEU ALGUM NESTA SEMANA? APROVEITE O FIM DE SEMANA PARA MARATONAR. NESTA SEMANA TAMBÉM NA APRESENTAÇÃO: NATUZA NERY.</t>
        </is>
      </c>
      <c r="J478" t="inlineStr"/>
      <c r="K478" t="n">
        <v>0</v>
      </c>
      <c r="L478" t="n">
        <v>0</v>
      </c>
      <c r="M478" t="n">
        <v>0</v>
      </c>
      <c r="N478" t="n">
        <v>0</v>
      </c>
      <c r="O478" t="n">
        <v>14</v>
      </c>
      <c r="P478">
        <f>HYPERLINK("https://g1.globo.com/podcast/o-assunto/noticia/2021/08/21/o-assunto-517-a-521-coligacoes-afeganistao-e-o-taliba-haiti-o-brasil-com-fome-de-novo-e-idosos-e-a-3a-dose.ghtml", "URL")</f>
        <v/>
      </c>
      <c r="Q478">
        <f>HYPERLINK("https://raw.githubusercontent.com/marcosmapl/dataset_imigrantes/main/materias_filtered/g1/haitianos/2021/07_ago/html/g1_dfdbc102-230f-11ed-b24f-6dbe51e79fca_2824.html", "HTML")</f>
        <v/>
      </c>
      <c r="R478">
        <f>HYPERLINK("https://raw.githubusercontent.com/marcosmapl/dataset_imigrantes/main/materias_filtered/g1/haitianos/2021/07_ago/txt/g1_dfdbc102-230f-11ed-b24f-6dbe51e79fca_2824.txt", "TXT")</f>
        <v/>
      </c>
    </row>
    <row r="479">
      <c r="A479" s="1" t="n">
        <v>477</v>
      </c>
      <c r="B479" t="n">
        <v>2021</v>
      </c>
      <c r="C479" s="2" t="n">
        <v>44428.78780668981</v>
      </c>
      <c r="D479" t="inlineStr">
        <is>
          <t>G1</t>
        </is>
      </c>
      <c r="E479" t="inlineStr">
        <is>
          <t>HAITIANOS</t>
        </is>
      </c>
      <c r="F479" t="inlineStr">
        <is>
          <t>MATO GROSSO</t>
        </is>
      </c>
      <c r="G479" t="inlineStr">
        <is>
          <t>CAROLINE MESQUITA, G1 MT</t>
        </is>
      </c>
      <c r="H479" t="inlineStr">
        <is>
          <t>CAMPANHA ARRECADA DOAÇÕES EM MT PARA RECONSTRUIR CASAS DESTRUÍDAS DURANTE TERREMOTO NO HAITI</t>
        </is>
      </c>
      <c r="I479" t="inlineStr">
        <is>
          <t>TODO O DINHEIRO ARRECADADO SERÁ ENVIADO PARA O PROJETO VILLAGE MARIE, QUE CONSTRÓI CASAS QUE FORAM DESTRUÍDAS POR ALGUM DESASTRE NATURAL.</t>
        </is>
      </c>
      <c r="J479" t="inlineStr"/>
      <c r="K479" t="n">
        <v>0</v>
      </c>
      <c r="L479" t="n">
        <v>4</v>
      </c>
      <c r="M479" t="n">
        <v>1</v>
      </c>
      <c r="N479" t="n">
        <v>0</v>
      </c>
      <c r="O479" t="n">
        <v>3</v>
      </c>
      <c r="P479">
        <f>HYPERLINK("https://g1.globo.com/mt/mato-grosso/noticia/2021/08/20/campanha-arrecada-doacoes-em-mt-para-reconstruir-casas-destruidas-durante-terremoto-no-haiti.ghtml", "URL")</f>
        <v/>
      </c>
      <c r="Q479">
        <f>HYPERLINK("https://raw.githubusercontent.com/marcosmapl/dataset_imigrantes/main/materias_filtered/g1/haitianos/2021/07_ago/html/g1_60429d2a-231a-11ed-b24f-6dbe51e79fca_3332.html", "HTML")</f>
        <v/>
      </c>
      <c r="R479">
        <f>HYPERLINK("https://raw.githubusercontent.com/marcosmapl/dataset_imigrantes/main/materias_filtered/g1/haitianos/2021/07_ago/txt/g1_60429d2a-231a-11ed-b24f-6dbe51e79fca_3332.txt", "TXT")</f>
        <v/>
      </c>
    </row>
    <row r="480">
      <c r="A480" s="1" t="n">
        <v>478</v>
      </c>
      <c r="B480" t="n">
        <v>2021</v>
      </c>
      <c r="C480" s="2" t="n">
        <v>44428.41714921296</v>
      </c>
      <c r="D480" t="inlineStr">
        <is>
          <t>G1</t>
        </is>
      </c>
      <c r="E480" t="inlineStr">
        <is>
          <t>VENEZUELANOS</t>
        </is>
      </c>
      <c r="F480" t="inlineStr">
        <is>
          <t>RORAIMA</t>
        </is>
      </c>
      <c r="G480" t="inlineStr">
        <is>
          <t>CAÍQUE RODRIGUES, G1 RR — BOA VISTA</t>
        </is>
      </c>
      <c r="H480" t="inlineStr">
        <is>
          <t>DRAG QUEEN VENEZUELANA FAZ PERFORMANCES EM BOA VISTA COM INFLUÊNCIAS LATINAS: 'MUITO LEGAL VER ACEITAÇÃO À ARTE'</t>
        </is>
      </c>
      <c r="I480" t="inlineStr">
        <is>
          <t>MELANNY D'LEON, ATUAL MISS DRAG RORAIMA, É UMA CRIAÇÃO DO JOVEM GILBER CEDENO, DE 22 ANOS, QUE ESCOLHEU O ESTADO PARA FAZER APRESENTAÇÕES.</t>
        </is>
      </c>
      <c r="J480" t="inlineStr"/>
      <c r="K480" t="n">
        <v>0</v>
      </c>
      <c r="L480" t="n">
        <v>2</v>
      </c>
      <c r="M480" t="n">
        <v>1</v>
      </c>
      <c r="N480" t="n">
        <v>0</v>
      </c>
      <c r="O480" t="n">
        <v>1</v>
      </c>
      <c r="P480">
        <f>HYPERLINK("https://g1.globo.com/rr/roraima/noticia/2021/08/20/drag-queen-venezuelana-faz-performances-em-boa-vista-com-influencias-latinas-muito-legal-ver-aceitacao-a-arte.ghtml", "URL")</f>
        <v/>
      </c>
      <c r="Q480">
        <f>HYPERLINK("https://raw.githubusercontent.com/marcosmapl/dataset_imigrantes/main/materias_filtered/g1/venezuelanos/2021/07_ago/html/g1_7512d62e-2311-11ed-b24f-6dbe51e79fca_2915.html", "HTML")</f>
        <v/>
      </c>
      <c r="R480">
        <f>HYPERLINK("https://raw.githubusercontent.com/marcosmapl/dataset_imigrantes/main/materias_filtered/g1/venezuelanos/2021/07_ago/txt/g1_7512d62e-2311-11ed-b24f-6dbe51e79fca_2915.txt", "TXT")</f>
        <v/>
      </c>
    </row>
    <row r="481">
      <c r="A481" s="1" t="n">
        <v>479</v>
      </c>
      <c r="B481" t="n">
        <v>2021</v>
      </c>
      <c r="C481" s="2" t="n">
        <v>44427.78187755787</v>
      </c>
      <c r="D481" t="inlineStr">
        <is>
          <t>G1</t>
        </is>
      </c>
      <c r="E481" t="inlineStr">
        <is>
          <t>HAITIANOS</t>
        </is>
      </c>
      <c r="F481" t="inlineStr">
        <is>
          <t>SÃO PAULO</t>
        </is>
      </c>
      <c r="G481" t="inlineStr">
        <is>
          <t>PAULA LAGO, G1 SP — SÃO PAULO</t>
        </is>
      </c>
      <c r="H481" t="inlineStr">
        <is>
          <t>ITAMARATY AVALIA CONCEDER VISTO HUMANITÁRIO E FACILITAR ENTRADA E PERMANÊNCIA DE AFEGÃOS NO BRASIL</t>
        </is>
      </c>
      <c r="I481" t="inlineStr">
        <is>
          <t>MEDIDA SERIA PARECIDA AO QUE JÁ OCORRE COM SÍRIOS E HAITIANOS. EMPREENDEDOR QUE ESCOLHEU MORAR EM SÃO PAULO CONTA A DIFICULDADE PARA OBTER VISTO PARA A FAMÍLIA SAIR DO AFEGANISTÃO. DESDE QUE O TALIBÃ ASSUMIU CABUL, ELE DIZ QUE NÃO SAI DE CASA E QUE NINGUÉM SE SENTE SEGURO.</t>
        </is>
      </c>
      <c r="J481" t="inlineStr"/>
      <c r="K481" t="n">
        <v>0</v>
      </c>
      <c r="L481" t="n">
        <v>2</v>
      </c>
      <c r="M481" t="n">
        <v>1</v>
      </c>
      <c r="N481" t="n">
        <v>0</v>
      </c>
      <c r="O481" t="n">
        <v>6</v>
      </c>
      <c r="P481">
        <f>HYPERLINK("https://g1.globo.com/sp/sao-paulo/noticia/2021/08/19/itamaraty-avalia-conceder-visto-humanitario-e-facilitar-entrada-e-permanencia-de-afegaos-no-brasil.ghtml", "URL")</f>
        <v/>
      </c>
      <c r="Q481">
        <f>HYPERLINK("https://raw.githubusercontent.com/marcosmapl/dataset_imigrantes/main/materias_filtered/g1/haitianos/2021/07_ago/html/g1_e4b446c6-22f7-11ed-b24f-6dbe51e79fca_2102.html", "HTML")</f>
        <v/>
      </c>
      <c r="R481">
        <f>HYPERLINK("https://raw.githubusercontent.com/marcosmapl/dataset_imigrantes/main/materias_filtered/g1/haitianos/2021/07_ago/txt/g1_e4b446c6-22f7-11ed-b24f-6dbe51e79fca_2102.txt", "TXT")</f>
        <v/>
      </c>
    </row>
    <row r="482">
      <c r="A482" s="1" t="n">
        <v>480</v>
      </c>
      <c r="B482" t="n">
        <v>2021</v>
      </c>
      <c r="C482" s="2" t="n">
        <v>44426.78414349537</v>
      </c>
      <c r="D482" t="inlineStr">
        <is>
          <t>G1</t>
        </is>
      </c>
      <c r="E482" t="inlineStr">
        <is>
          <t>HAITIANOS</t>
        </is>
      </c>
      <c r="F482" t="inlineStr">
        <is>
          <t>SANTA CATARINA</t>
        </is>
      </c>
      <c r="G482" t="inlineStr">
        <is>
          <t>CAROLINE BORGES, G1 SC</t>
        </is>
      </c>
      <c r="H482" t="inlineStr">
        <is>
          <t>APÓS PERDER PARENTES EM TERREMOTO, HAITIANA QUE MORA EM SC FALA SOBRE PREOCUPAÇÃO COM DESABRIGADOS: 'MUITAS PESSOAS ESTÃO NA RUA'</t>
        </is>
      </c>
      <c r="I482" t="inlineStr">
        <is>
          <t>MORADORA DE FLORIANÓPOLIS HÁ 6 ANOS, ARIANIDE JEAN BAPTISTE PERDEU DOIS FAMILIARES.</t>
        </is>
      </c>
      <c r="J482" t="inlineStr"/>
      <c r="K482" t="n">
        <v>0</v>
      </c>
      <c r="L482" t="n">
        <v>2</v>
      </c>
      <c r="M482" t="n">
        <v>1</v>
      </c>
      <c r="N482" t="n">
        <v>0</v>
      </c>
      <c r="O482" t="n">
        <v>7</v>
      </c>
      <c r="P482">
        <f>HYPERLINK("https://g1.globo.com/sc/santa-catarina/noticia/2021/08/18/apos-perder-parentes-em-terremoto-haitiana-que-mora-em-sc-fala-sobre-preocupacao-com-desabrigados-muitas-pessoas-estao-na-rua.ghtml", "URL")</f>
        <v/>
      </c>
      <c r="Q482">
        <f>HYPERLINK("https://raw.githubusercontent.com/marcosmapl/dataset_imigrantes/main/materias_filtered/g1/haitianos/2021/07_ago/html/g1_27352fba-232a-11ed-b24f-6dbe51e79fca_4160.html", "HTML")</f>
        <v/>
      </c>
      <c r="R482">
        <f>HYPERLINK("https://raw.githubusercontent.com/marcosmapl/dataset_imigrantes/main/materias_filtered/g1/haitianos/2021/07_ago/txt/g1_27352fba-232a-11ed-b24f-6dbe51e79fca_4160.txt", "TXT")</f>
        <v/>
      </c>
    </row>
    <row r="483">
      <c r="A483" s="1" t="n">
        <v>481</v>
      </c>
      <c r="B483" t="n">
        <v>2021</v>
      </c>
      <c r="C483" s="2" t="n">
        <v>44426.18735582176</v>
      </c>
      <c r="D483" t="inlineStr">
        <is>
          <t>G1</t>
        </is>
      </c>
      <c r="E483" t="inlineStr">
        <is>
          <t>HAITIANOS</t>
        </is>
      </c>
      <c r="F483" t="inlineStr">
        <is>
          <t>PODCASTS</t>
        </is>
      </c>
      <c r="G483" t="inlineStr">
        <is>
          <t>RENATA LO PRETE</t>
        </is>
      </c>
      <c r="H483" t="inlineStr">
        <is>
          <t>O ASSUNTO #519: HAITI - UM PAÍS DESOLADO</t>
        </is>
      </c>
      <c r="I483" t="inlineStr">
        <is>
          <t>DESDE O GRANDE TERREMOTO DE 2010, O HAITI NUNCA SE RECUPEROU. E, AGORA, PRECISA SUPERAR ALÉM MAIS TRAGÉDIAS CLIMÁTICAS - UM NOVO TREMOR SEGUIDO DE UM CICLONE ,- A TURBULÊNCIA POLÍTICA DEFLAGRADA COM O ASSASSINATO DO PRESIDENTE JOVENEL MOISE E O COMBATE À PANDEMIA SEM VACINAS.</t>
        </is>
      </c>
      <c r="J483" t="inlineStr"/>
      <c r="K483" t="n">
        <v>0</v>
      </c>
      <c r="L483" t="n">
        <v>1</v>
      </c>
      <c r="M483" t="n">
        <v>0</v>
      </c>
      <c r="N483" t="n">
        <v>0</v>
      </c>
      <c r="O483" t="n">
        <v>15</v>
      </c>
      <c r="P483">
        <f>HYPERLINK("https://g1.globo.com/podcast/o-assunto/noticia/2021/08/18/o-assunto-519-haiti-um-pais-desolado.ghtml", "URL")</f>
        <v/>
      </c>
      <c r="Q483">
        <f>HYPERLINK("https://raw.githubusercontent.com/marcosmapl/dataset_imigrantes/main/materias_filtered/g1/haitianos/2021/07_ago/html/g1_efae001c-230b-11ed-b24f-6dbe51e79fca_2597.html", "HTML")</f>
        <v/>
      </c>
      <c r="R483">
        <f>HYPERLINK("https://raw.githubusercontent.com/marcosmapl/dataset_imigrantes/main/materias_filtered/g1/haitianos/2021/07_ago/txt/g1_efae001c-230b-11ed-b24f-6dbe51e79fca_2597.txt", "TXT")</f>
        <v/>
      </c>
    </row>
    <row r="484">
      <c r="A484" s="1" t="n">
        <v>482</v>
      </c>
      <c r="B484" t="n">
        <v>2021</v>
      </c>
      <c r="C484" s="2" t="n">
        <v>44426.16707402778</v>
      </c>
      <c r="D484" t="inlineStr">
        <is>
          <t>G1</t>
        </is>
      </c>
      <c r="E484" t="inlineStr">
        <is>
          <t>HAITIANOS</t>
        </is>
      </c>
      <c r="F484" t="inlineStr">
        <is>
          <t>AGENDA DO DIA</t>
        </is>
      </c>
      <c r="G484" t="inlineStr">
        <is>
          <t>G1</t>
        </is>
      </c>
      <c r="H484" t="inlineStr">
        <is>
          <t>QUARTA-FEIRA, 18 DE AGOSTO</t>
        </is>
      </c>
      <c r="I484" t="inlineStr">
        <is>
          <t>VEJA O QUE VOCÊ PRECISA SABER PARA COMEÇAR O DIA BEM-INFORMADO.</t>
        </is>
      </c>
      <c r="J484" t="inlineStr"/>
      <c r="K484" t="n">
        <v>0</v>
      </c>
      <c r="L484" t="n">
        <v>4</v>
      </c>
      <c r="M484" t="n">
        <v>4</v>
      </c>
      <c r="N484" t="n">
        <v>0</v>
      </c>
      <c r="O484" t="n">
        <v>37</v>
      </c>
      <c r="P484">
        <f>HYPERLINK("https://g1.globo.com/agenda-do-dia/noticia/2021/08/18/quarta-feira-18-de-agosto.ghtml", "URL")</f>
        <v/>
      </c>
      <c r="Q484">
        <f>HYPERLINK("https://raw.githubusercontent.com/marcosmapl/dataset_imigrantes/main/materias_filtered/g1/haitianos/2021/07_ago/html/g1_51f5ff40-232a-11ed-b24f-6dbe51e79fca_4171.html", "HTML")</f>
        <v/>
      </c>
      <c r="R484">
        <f>HYPERLINK("https://raw.githubusercontent.com/marcosmapl/dataset_imigrantes/main/materias_filtered/g1/haitianos/2021/07_ago/txt/g1_51f5ff40-232a-11ed-b24f-6dbe51e79fca_4171.txt", "TXT")</f>
        <v/>
      </c>
    </row>
    <row r="485">
      <c r="A485" s="1" t="n">
        <v>483</v>
      </c>
      <c r="B485" t="n">
        <v>2021</v>
      </c>
      <c r="C485" s="2" t="n">
        <v>44425.81644047454</v>
      </c>
      <c r="D485" t="inlineStr">
        <is>
          <t>G1</t>
        </is>
      </c>
      <c r="E485" t="inlineStr">
        <is>
          <t>HAITIANOS</t>
        </is>
      </c>
      <c r="F485" t="inlineStr">
        <is>
          <t>SOROCABA E JUNDIAÍ</t>
        </is>
      </c>
      <c r="G485" t="inlineStr">
        <is>
          <t>GABRIELA ALMEIDA*, G1 SOROCABA E JUNDIAÍ</t>
        </is>
      </c>
      <c r="H485" t="inlineStr">
        <is>
          <t>APÓS CICLONE TROPICAL, HAITIANA NO BRASIL RECEBE VÍDEO QUE MOSTRA CASA DA FAMÍLIA ALAGADA E COM RACHADURAS</t>
        </is>
      </c>
      <c r="I485" t="inlineStr">
        <is>
          <t>APESAR DO SUSTO, FAMÍLIA DE FRANCELINE LORGEANT NÃO SOFREU FERIMENTOS. CICLONE TROPICAL ATINGIU O HAITI NA NOITE DE SEGUNDA-FEIRA (16) E DIFICULTOU BUSCA POR SOBREVIVENTES DE TERREMOTO DEVASTADOR.</t>
        </is>
      </c>
      <c r="J485" t="inlineStr"/>
      <c r="K485" t="n">
        <v>0</v>
      </c>
      <c r="L485" t="n">
        <v>3</v>
      </c>
      <c r="M485" t="n">
        <v>2</v>
      </c>
      <c r="N485" t="n">
        <v>0</v>
      </c>
      <c r="O485" t="n">
        <v>7</v>
      </c>
      <c r="P485">
        <f>HYPERLINK("https://g1.globo.com/sp/sorocaba-jundiai/noticia/2021/08/17/apos-ciclone-tropical-haitiana-no-brasil-recebe-video-que-mostra-casa-da-familia-alagada-e-com-rachaduras.ghtml", "URL")</f>
        <v/>
      </c>
      <c r="Q485">
        <f>HYPERLINK("https://raw.githubusercontent.com/marcosmapl/dataset_imigrantes/main/materias_filtered/g1/haitianos/2021/07_ago/html/g1_2eb23476-2326-11ed-b24f-6dbe51e79fca_3960.html", "HTML")</f>
        <v/>
      </c>
      <c r="R485">
        <f>HYPERLINK("https://raw.githubusercontent.com/marcosmapl/dataset_imigrantes/main/materias_filtered/g1/haitianos/2021/07_ago/txt/g1_2eb23476-2326-11ed-b24f-6dbe51e79fca_3960.txt", "TXT")</f>
        <v/>
      </c>
    </row>
    <row r="486">
      <c r="A486" s="1" t="n">
        <v>484</v>
      </c>
      <c r="B486" t="n">
        <v>2021</v>
      </c>
      <c r="C486" s="2" t="n">
        <v>44425.73801803241</v>
      </c>
      <c r="D486" t="inlineStr">
        <is>
          <t>G1</t>
        </is>
      </c>
      <c r="E486" t="inlineStr">
        <is>
          <t>HAITIANOS</t>
        </is>
      </c>
      <c r="F486" t="inlineStr">
        <is>
          <t>MUNDO</t>
        </is>
      </c>
      <c r="G486" t="inlineStr">
        <is>
          <t>RFI</t>
        </is>
      </c>
      <c r="H486" t="inlineStr">
        <is>
          <t>TERREMOTO NO HAITI: PESSOAS DORMEM NA RUA COM MEDO DE MAIS DESABAMENTOS</t>
        </is>
      </c>
      <c r="I486" t="inlineStr">
        <is>
          <t>EM ALGUMAS CIDADES, PRATICAMENTE TODAS AS CONSTRUÇÕES FORAM DESTRUÍDAS PELO TREMOR DE MAGNITUDE 7,2 – E AS QUE RESTARAM APRESENTAM RISCO DE IREM AO CHÃO A QUALQUER MOMENTO.</t>
        </is>
      </c>
      <c r="J486" t="inlineStr"/>
      <c r="K486" t="n">
        <v>0</v>
      </c>
      <c r="L486" t="n">
        <v>3</v>
      </c>
      <c r="M486" t="n">
        <v>1</v>
      </c>
      <c r="N486" t="n">
        <v>0</v>
      </c>
      <c r="O486" t="n">
        <v>4</v>
      </c>
      <c r="P486">
        <f>HYPERLINK("https://g1.globo.com/mundo/noticia/2021/08/17/terremoto-no-haiti-pessoas-dormem-na-rua-com-medo-de-mais-desabamentos.ghtml", "URL")</f>
        <v/>
      </c>
      <c r="Q486">
        <f>HYPERLINK("https://raw.githubusercontent.com/marcosmapl/dataset_imigrantes/main/materias_filtered/g1/haitianos/2021/07_ago/html/g1_6cfea9d0-230d-11ed-b24f-6dbe51e79fca_2686.html", "HTML")</f>
        <v/>
      </c>
      <c r="R486">
        <f>HYPERLINK("https://raw.githubusercontent.com/marcosmapl/dataset_imigrantes/main/materias_filtered/g1/haitianos/2021/07_ago/txt/g1_6cfea9d0-230d-11ed-b24f-6dbe51e79fca_2686.txt", "TXT")</f>
        <v/>
      </c>
    </row>
    <row r="487">
      <c r="A487" s="1" t="n">
        <v>485</v>
      </c>
      <c r="B487" t="n">
        <v>2021</v>
      </c>
      <c r="C487" s="2" t="n">
        <v>44425.71461133102</v>
      </c>
      <c r="D487" t="inlineStr">
        <is>
          <t>G1</t>
        </is>
      </c>
      <c r="E487" t="inlineStr">
        <is>
          <t>HAITIANOS</t>
        </is>
      </c>
      <c r="F487" t="inlineStr">
        <is>
          <t>CAMPINAS E REGIÃO</t>
        </is>
      </c>
      <c r="G487" t="inlineStr">
        <is>
          <t>EPTV 1</t>
        </is>
      </c>
      <c r="H487" t="inlineStr">
        <is>
          <t>HAITIANOS DE CAMPINAS RELATAM MEDO E APREENSÃO COM FAMILIARES APÓS TERREMOTO E CICLONE: 'ESCAPOU POR POUCO'</t>
        </is>
      </c>
      <c r="I487" t="inlineStr">
        <is>
          <t>SEGUNDO A PREFEITURA, 1.483 HAITIANOS MORAM NA CIDADE ATUALMENTE. O HAITI FOI ATINGIDO POR TERREMOTOS QUE DEIXARAM AO MENOS 1,4 MIL MORTOS NO FIM DE SEMANA E TAMBÉM FOI ATINGIDO POR UM CICLONE NESTA SEGUNDA (16).</t>
        </is>
      </c>
      <c r="J487" t="inlineStr"/>
      <c r="K487" t="n">
        <v>0</v>
      </c>
      <c r="L487" t="n">
        <v>2</v>
      </c>
      <c r="M487" t="n">
        <v>1</v>
      </c>
      <c r="N487" t="n">
        <v>0</v>
      </c>
      <c r="O487" t="n">
        <v>4</v>
      </c>
      <c r="P487">
        <f>HYPERLINK("https://g1.globo.com/sp/campinas-regiao/noticia/2021/08/17/haitianos-de-campinas-relatam-medo-e-apreensao-com-familiares-apos-terremoto-e-ciclone-escapou-por-pouco.ghtml", "URL")</f>
        <v/>
      </c>
      <c r="Q487">
        <f>HYPERLINK("https://raw.githubusercontent.com/marcosmapl/dataset_imigrantes/main/materias_filtered/g1/haitianos/2021/07_ago/html/g1_d7b52c56-22f2-11ed-b24f-6dbe51e79fca_1815.html", "HTML")</f>
        <v/>
      </c>
      <c r="R487">
        <f>HYPERLINK("https://raw.githubusercontent.com/marcosmapl/dataset_imigrantes/main/materias_filtered/g1/haitianos/2021/07_ago/txt/g1_d7b52c56-22f2-11ed-b24f-6dbe51e79fca_1815.txt", "TXT")</f>
        <v/>
      </c>
    </row>
    <row r="488">
      <c r="A488" s="1" t="n">
        <v>486</v>
      </c>
      <c r="B488" t="n">
        <v>2021</v>
      </c>
      <c r="C488" s="2" t="n">
        <v>44425.66885541667</v>
      </c>
      <c r="D488" t="inlineStr">
        <is>
          <t>G1</t>
        </is>
      </c>
      <c r="E488" t="inlineStr">
        <is>
          <t>HAITIANOS</t>
        </is>
      </c>
      <c r="F488" t="inlineStr">
        <is>
          <t>SÃO JOSÉ DO RIO PRETO E ARAÇATUBA</t>
        </is>
      </c>
      <c r="G488" t="inlineStr">
        <is>
          <t>RENATO PAVARINO, G1 RIO PRETO E ARAÇATUBA</t>
        </is>
      </c>
      <c r="H488" t="inlineStr">
        <is>
          <t>EM MISSÃO HÁ MAIS DE 10 ANOS NO HAITI, FREI BRASILEIRO DESCREVE SITUAÇÃO CAÓTICA APÓS TERREMOTO E CICLONE: 'SEM ÁGUA E ALIMENTAÇÃO'</t>
        </is>
      </c>
      <c r="I488" t="inlineStr">
        <is>
          <t>FREI GABRIEL ALVES FOI ENVIADO PELA ASSOCIAÇÃO E FRATERNIDADE SÃO FRANCISCO DE ASSIS NA PROVIDÊNCIA DE DEUS, QUE FICA EM JACI (SP), PARA PORTO PRÍNCIPE, CAPITAL DO HAITI. ELE ATUA COMO MISSIONÁRIO E AJUDA A POPULAÇÃO.</t>
        </is>
      </c>
      <c r="J488" t="inlineStr"/>
      <c r="K488" t="n">
        <v>0</v>
      </c>
      <c r="L488" t="n">
        <v>4</v>
      </c>
      <c r="M488" t="n">
        <v>2</v>
      </c>
      <c r="N488" t="n">
        <v>0</v>
      </c>
      <c r="O488" t="n">
        <v>7</v>
      </c>
      <c r="P488">
        <f>HYPERLINK("https://g1.globo.com/sp/sao-jose-do-rio-preto-aracatuba/noticia/2021/08/17/em-missao-ha-mais-de-10-anos-no-haiti-frei-do-interior-de-sp-descreve-situacao-caotica-apos-terremoto-e-ciclone.ghtml", "URL")</f>
        <v/>
      </c>
      <c r="Q488">
        <f>HYPERLINK("https://raw.githubusercontent.com/marcosmapl/dataset_imigrantes/main/materias_filtered/g1/haitianos/2021/07_ago/html/g1_3d303138-2317-11ed-b24f-6dbe51e79fca_3195.html", "HTML")</f>
        <v/>
      </c>
      <c r="R488">
        <f>HYPERLINK("https://raw.githubusercontent.com/marcosmapl/dataset_imigrantes/main/materias_filtered/g1/haitianos/2021/07_ago/txt/g1_3d303138-2317-11ed-b24f-6dbe51e79fca_3195.txt", "TXT")</f>
        <v/>
      </c>
    </row>
    <row r="489">
      <c r="A489" s="1" t="n">
        <v>487</v>
      </c>
      <c r="B489" t="n">
        <v>2021</v>
      </c>
      <c r="C489" s="2" t="n">
        <v>44425.60195601852</v>
      </c>
      <c r="D489" t="inlineStr">
        <is>
          <t>A CRITICA</t>
        </is>
      </c>
      <c r="E489" t="inlineStr">
        <is>
          <t>VENEZUELANOS</t>
        </is>
      </c>
      <c r="F489" t="inlineStr"/>
      <c r="G489" t="inlineStr">
        <is>
          <t>PORTAL A CRÍTICA</t>
        </is>
      </c>
      <c r="H489" t="inlineStr">
        <is>
          <t>UNICEF E ALDEIAS INFANTIS REALIZAM CICLOS DE CAPACITAÇÕES SOBRE EDUCAÇÃO INDÍGENA</t>
        </is>
      </c>
      <c r="I489" t="inlineStr">
        <is>
          <t>A INICIATIVA OCORRE EM CINCO ENCONTROS VIRTUAIS PARA FORMALIZAR O PROTOCOLO INTERCULTURAL DE PROTEÇÃO INTEGRAL DAS INFÂNCIAS INDÍGENAS NO AMAZONAS E PARÁ</t>
        </is>
      </c>
      <c r="J489" t="inlineStr"/>
      <c r="K489" t="n">
        <v>0</v>
      </c>
      <c r="L489" t="n">
        <v>1</v>
      </c>
      <c r="M489" t="n">
        <v>0</v>
      </c>
      <c r="N489" t="n">
        <v>0</v>
      </c>
      <c r="O489" t="n">
        <v>0</v>
      </c>
      <c r="P489">
        <f>HYPERLINK("https://www.acritica.com/unicef-e-aldeias-infantis-realizam-ciclos-de-capacitac-es-sobre-educac-o-indigena-1.11806", "URL")</f>
        <v/>
      </c>
      <c r="Q489">
        <f>HYPERLINK("https://raw.githubusercontent.com/marcosmapl/dataset_imigrantes/main/materias_filtered/a_critica/venezuelanos/2021/07_ago/html/1.11806_290.html", "HTML")</f>
        <v/>
      </c>
      <c r="R489">
        <f>HYPERLINK("https://raw.githubusercontent.com/marcosmapl/dataset_imigrantes/main/materias_filtered/a_critica/venezuelanos/2021/07_ago/txt/1.11806_290.txt", "TXT")</f>
        <v/>
      </c>
    </row>
    <row r="490">
      <c r="A490" s="1" t="n">
        <v>488</v>
      </c>
      <c r="B490" t="n">
        <v>2021</v>
      </c>
      <c r="C490" s="2" t="n">
        <v>44425.54115740741</v>
      </c>
      <c r="D490" t="inlineStr">
        <is>
          <t>A CRITICA</t>
        </is>
      </c>
      <c r="E490" t="inlineStr">
        <is>
          <t>HAITIANOS</t>
        </is>
      </c>
      <c r="F490" t="inlineStr"/>
      <c r="G490" t="inlineStr">
        <is>
          <t>AGÊNCIA BRASIL</t>
        </is>
      </c>
      <c r="H490" t="inlineStr">
        <is>
          <t>HAITI: TEMPESTADE DIMINUI ESPERANÇA DE ENCONTRAR SOBREVIVENTES</t>
        </is>
      </c>
      <c r="I490" t="inlineStr">
        <is>
          <t>TEMPESTADE GRACE CHEGOU AO SUDOESTE HAITIANO</t>
        </is>
      </c>
      <c r="J490" t="inlineStr"/>
      <c r="K490" t="n">
        <v>0</v>
      </c>
      <c r="L490" t="n">
        <v>1</v>
      </c>
      <c r="M490" t="n">
        <v>0</v>
      </c>
      <c r="N490" t="n">
        <v>0</v>
      </c>
      <c r="O490" t="n">
        <v>0</v>
      </c>
      <c r="P490">
        <f>HYPERLINK("https://www.acritica.com/haiti-tempestade-diminui-esperanca-de-encontrar-sobreviventes-1.11827", "URL")</f>
        <v/>
      </c>
      <c r="Q490">
        <f>HYPERLINK("https://raw.githubusercontent.com/marcosmapl/dataset_imigrantes/main/materias_filtered/a_critica/haitianos/2021/07_ago/html/1.11827_1094.html", "HTML")</f>
        <v/>
      </c>
      <c r="R490">
        <f>HYPERLINK("https://raw.githubusercontent.com/marcosmapl/dataset_imigrantes/main/materias_filtered/a_critica/haitianos/2021/07_ago/txt/1.11827_1094.txt", "TXT")</f>
        <v/>
      </c>
    </row>
    <row r="491">
      <c r="A491" s="1" t="n">
        <v>489</v>
      </c>
      <c r="B491" t="n">
        <v>2021</v>
      </c>
      <c r="C491" s="2" t="n">
        <v>44424.90837555555</v>
      </c>
      <c r="D491" t="inlineStr">
        <is>
          <t>G1</t>
        </is>
      </c>
      <c r="E491" t="inlineStr">
        <is>
          <t>HAITIANOS</t>
        </is>
      </c>
      <c r="F491" t="inlineStr">
        <is>
          <t>MATO GROSSO DO SUL</t>
        </is>
      </c>
      <c r="G491" t="inlineStr">
        <is>
          <t>FLÁVIO DIAS, G1 MS — CAMPO GRANDE</t>
        </is>
      </c>
      <c r="H491" t="inlineStr">
        <is>
          <t>HAITIANO QUE VIVE EM MS DESCOBRE QUE PRIMO É UM DOS MORTOS EM TERREMOTO: 'NÃO CONSEGUI SEGURAR AS LÁGRIMAS'</t>
        </is>
      </c>
      <c r="I491" t="inlineStr">
        <is>
          <t>JAUNEL ILORA EXPLICA QUE ESPOSA DE PRIMO E TRÊS FILHOS SOBREVIVERAM. MAIS DE 2.800 PESSOAS ESTÃO FERIDAS E QUASE 3 MIL CONSTRUÇÕES FORAM DESTRUÍDAS; SITUAÇÃO É PIOR NO SUL DO PAÍS, ONDE MAIS DE 500 MORRERAM.</t>
        </is>
      </c>
      <c r="J491" t="inlineStr"/>
      <c r="K491" t="n">
        <v>0</v>
      </c>
      <c r="L491" t="n">
        <v>4</v>
      </c>
      <c r="M491" t="n">
        <v>2</v>
      </c>
      <c r="N491" t="n">
        <v>0</v>
      </c>
      <c r="O491" t="n">
        <v>8</v>
      </c>
      <c r="P491">
        <f>HYPERLINK("https://g1.globo.com/ms/mato-grosso-do-sul/noticia/2021/08/16/haitiano-que-vive-em-ms-descobre-que-primo-e-um-dos-mortos-em-terremoto-nao-consegui-segurar-as-lagrimas.ghtml", "URL")</f>
        <v/>
      </c>
      <c r="Q491">
        <f>HYPERLINK("https://raw.githubusercontent.com/marcosmapl/dataset_imigrantes/main/materias_filtered/g1/haitianos/2021/07_ago/html/g1_4000fd64-22ec-11ed-b24f-6dbe51e79fca_1651.html", "HTML")</f>
        <v/>
      </c>
      <c r="R491">
        <f>HYPERLINK("https://raw.githubusercontent.com/marcosmapl/dataset_imigrantes/main/materias_filtered/g1/haitianos/2021/07_ago/txt/g1_4000fd64-22ec-11ed-b24f-6dbe51e79fca_1651.txt", "TXT")</f>
        <v/>
      </c>
    </row>
    <row r="492">
      <c r="A492" s="1" t="n">
        <v>490</v>
      </c>
      <c r="B492" t="n">
        <v>2021</v>
      </c>
      <c r="C492" s="2" t="n">
        <v>44424.72355248842</v>
      </c>
      <c r="D492" t="inlineStr">
        <is>
          <t>G1</t>
        </is>
      </c>
      <c r="E492" t="inlineStr">
        <is>
          <t>HAITIANOS</t>
        </is>
      </c>
      <c r="F492" t="inlineStr">
        <is>
          <t>ACRE</t>
        </is>
      </c>
      <c r="G492" t="inlineStr">
        <is>
          <t>G1 AC — RIO BRANCO</t>
        </is>
      </c>
      <c r="H492" t="inlineStr">
        <is>
          <t>HAITIANO QUE FICOU PARAPLÉGICO AO SER OBRIGADO A SE JOGAR DE PONTE NO AC RECEBE ALTA E VAI PARA ABRIGO</t>
        </is>
      </c>
      <c r="I492" t="inlineStr">
        <is>
          <t>JACQUENUE BOSQUET, DE 36 ANOS, FOI LEVADO A UM ABRIGO DE RIO BRANCO ATÉ QUE POSSA REENCONTRAR A FAMÍLIA NO MATO GROSSO DO SUL, ONDE FORAM LOCALIZADOS FAMILIARES.</t>
        </is>
      </c>
      <c r="J492" t="inlineStr"/>
      <c r="K492" t="n">
        <v>0</v>
      </c>
      <c r="L492" t="n">
        <v>3</v>
      </c>
      <c r="M492" t="n">
        <v>2</v>
      </c>
      <c r="N492" t="n">
        <v>0</v>
      </c>
      <c r="O492" t="n">
        <v>10</v>
      </c>
      <c r="P492">
        <f>HYPERLINK("https://g1.globo.com/ac/acre/noticia/2021/08/16/haitiano-que-ficou-paraplegico-ao-ser-obrigado-a-se-jogar-de-ponte-no-ac-recebe-alta-e-vai-para-abrigo.ghtml", "URL")</f>
        <v/>
      </c>
      <c r="Q492">
        <f>HYPERLINK("https://raw.githubusercontent.com/marcosmapl/dataset_imigrantes/main/materias_filtered/g1/haitianos/2021/07_ago/html/g1_a0f587fe-22f4-11ed-b24f-6dbe51e79fca_1902.html", "HTML")</f>
        <v/>
      </c>
      <c r="R492">
        <f>HYPERLINK("https://raw.githubusercontent.com/marcosmapl/dataset_imigrantes/main/materias_filtered/g1/haitianos/2021/07_ago/txt/g1_a0f587fe-22f4-11ed-b24f-6dbe51e79fca_1902.txt", "TXT")</f>
        <v/>
      </c>
    </row>
    <row r="493">
      <c r="A493" s="1" t="n">
        <v>491</v>
      </c>
      <c r="B493" t="n">
        <v>2021</v>
      </c>
      <c r="C493" s="2" t="n">
        <v>44424.61506663194</v>
      </c>
      <c r="D493" t="inlineStr">
        <is>
          <t>G1</t>
        </is>
      </c>
      <c r="E493" t="inlineStr">
        <is>
          <t>HAITIANOS</t>
        </is>
      </c>
      <c r="F493" t="inlineStr">
        <is>
          <t>DISTRITO FEDERAL</t>
        </is>
      </c>
      <c r="G493" t="inlineStr">
        <is>
          <t>MARÍLIA MARQUES, G1 DF</t>
        </is>
      </c>
      <c r="H493" t="inlineStr">
        <is>
          <t>HAITIANO QUE SOBREVIVEU A TERREMOTO NO PAÍS, EM 2010, RELEMBRA TERROR APÓS NOVO TREMOR DE TERRA: 'PESSOAS ESTÃO TRAUMATIZADAS'</t>
        </is>
      </c>
      <c r="I493" t="inlineStr">
        <is>
          <t>JACKY MATHIEU, DE 28 ANOS, TINHA 17 E MORAVA EM PORTO PRÍNCIPE QUANDO TEVE CASA DESTRUÍDA, HÁ 11 ANOS; ELE SE MUDOU PARA BRASÍLIA EM 2016. NO SÁBADO (14), TERREMOTO DE 7.2 DE MAGNITUDE VOLTOU A ATINGIR PARTE DO HAITI.</t>
        </is>
      </c>
      <c r="J493" t="inlineStr"/>
      <c r="K493" t="n">
        <v>0</v>
      </c>
      <c r="L493" t="n">
        <v>5</v>
      </c>
      <c r="M493" t="n">
        <v>3</v>
      </c>
      <c r="N493" t="n">
        <v>0</v>
      </c>
      <c r="O493" t="n">
        <v>11</v>
      </c>
      <c r="P493">
        <f>HYPERLINK("https://g1.globo.com/df/distrito-federal/noticia/2021/08/16/haitiano-que-vive-em-brasilia-e-sobreviveu-a-terremoto-no-pais-em-2010-relembra-terror-apos-tremor-de-terra-pessoas-estao-traumatizadas.ghtml", "URL")</f>
        <v/>
      </c>
      <c r="Q493">
        <f>HYPERLINK("https://raw.githubusercontent.com/marcosmapl/dataset_imigrantes/main/materias_filtered/g1/haitianos/2021/07_ago/html/g1_0a825b88-22f1-11ed-b24f-6dbe51e79fca_1731.html", "HTML")</f>
        <v/>
      </c>
      <c r="R493">
        <f>HYPERLINK("https://raw.githubusercontent.com/marcosmapl/dataset_imigrantes/main/materias_filtered/g1/haitianos/2021/07_ago/txt/g1_0a825b88-22f1-11ed-b24f-6dbe51e79fca_1731.txt", "TXT")</f>
        <v/>
      </c>
    </row>
    <row r="494">
      <c r="A494" s="1" t="n">
        <v>492</v>
      </c>
      <c r="B494" t="n">
        <v>2021</v>
      </c>
      <c r="C494" s="2" t="n">
        <v>44424.61506663194</v>
      </c>
      <c r="D494" t="inlineStr">
        <is>
          <t>G1</t>
        </is>
      </c>
      <c r="E494" t="inlineStr">
        <is>
          <t>HAITIANOS</t>
        </is>
      </c>
      <c r="F494" t="inlineStr">
        <is>
          <t>DISTRITO FEDERAL</t>
        </is>
      </c>
      <c r="G494" t="inlineStr">
        <is>
          <t>MARÍLIA MARQUES, G1 DF</t>
        </is>
      </c>
      <c r="H494" t="inlineStr">
        <is>
          <t>HAITIANO QUE SOBREVIVEU A TERREMOTO NO PAÍS, EM 2010, RELEMBRA TERROR APÓS NOVO TREMOR DE TERRA: 'PESSOAS ESTÃO TRAUMATIZADAS'</t>
        </is>
      </c>
      <c r="I494" t="inlineStr">
        <is>
          <t>JACKY MATHIEU, DE 28 ANOS, TINHA 17 E MORAVA EM PORTO PRÍNCIPE QUANDO TEVE CASA DESTRUÍDA, HÁ 11 ANOS; ELE SE MUDOU PARA BRASÍLIA EM 2016. NO SÁBADO (14), TERREMOTO DE 7.2 DE MAGNITUDE VOLTOU A ATINGIR PARTE DO HAITI.</t>
        </is>
      </c>
      <c r="J494" t="inlineStr"/>
      <c r="K494" t="n">
        <v>0</v>
      </c>
      <c r="L494" t="n">
        <v>0</v>
      </c>
      <c r="M494" t="n">
        <v>0</v>
      </c>
      <c r="N494" t="n">
        <v>0</v>
      </c>
      <c r="O494" t="n">
        <v>19</v>
      </c>
      <c r="P494">
        <f>HYPERLINK("https://g1.globo.com/df/distrito-federal/noticia/2021/08/16/haitiano-que-vive-em-brasilia-e-sobreviveu-a-terremoto-no-pais-em-2010-relembra-terror-apos-tremor-de-terra-pessoas-estao-traumatizadas.ghtml", "URL")</f>
        <v/>
      </c>
      <c r="Q494">
        <f>HYPERLINK("https://raw.githubusercontent.com/marcosmapl/dataset_imigrantes/main/materias_filtered/g1/haitianos/2021/07_ago/html/g1_93057a06-17fc-42f8-9ae2-e1746d09f0c3_1623.html", "HTML")</f>
        <v/>
      </c>
      <c r="R494">
        <f>HYPERLINK("https://raw.githubusercontent.com/marcosmapl/dataset_imigrantes/main/materias_filtered/g1/haitianos/2021/07_ago/txt/g1_93057a06-17fc-42f8-9ae2-e1746d09f0c3_1623.txt", "TXT")</f>
        <v/>
      </c>
    </row>
    <row r="495">
      <c r="A495" s="1" t="n">
        <v>493</v>
      </c>
      <c r="B495" t="n">
        <v>2021</v>
      </c>
      <c r="C495" s="2" t="n">
        <v>44424.22938310185</v>
      </c>
      <c r="D495" t="inlineStr">
        <is>
          <t>G1</t>
        </is>
      </c>
      <c r="E495" t="inlineStr">
        <is>
          <t>HAITIANOS</t>
        </is>
      </c>
      <c r="F495" t="inlineStr">
        <is>
          <t>AGENDA DO DIA</t>
        </is>
      </c>
      <c r="G495" t="inlineStr">
        <is>
          <t>G1</t>
        </is>
      </c>
      <c r="H495" t="inlineStr">
        <is>
          <t>SEGUNDA-FEIRA, 16 DE AGOSTO</t>
        </is>
      </c>
      <c r="I495" t="inlineStr">
        <is>
          <t>VEJA O QUE VOCÊ PRECISA SABER PARA COMEÇAR O DIA BEM-INFORMADO.</t>
        </is>
      </c>
      <c r="J495" t="inlineStr"/>
      <c r="K495" t="n">
        <v>0</v>
      </c>
      <c r="L495" t="n">
        <v>8</v>
      </c>
      <c r="M495" t="n">
        <v>7</v>
      </c>
      <c r="N495" t="n">
        <v>0</v>
      </c>
      <c r="O495" t="n">
        <v>45</v>
      </c>
      <c r="P495">
        <f>HYPERLINK("https://g1.globo.com/agenda-do-dia/noticia/2021/08/16/segunda-feira-16-de-agosto.ghtml", "URL")</f>
        <v/>
      </c>
      <c r="Q495">
        <f>HYPERLINK("https://raw.githubusercontent.com/marcosmapl/dataset_imigrantes/main/materias_filtered/g1/haitianos/2021/07_ago/html/g1_909bb330-22ed-11ed-b24f-6dbe51e79fca_1681.html", "HTML")</f>
        <v/>
      </c>
      <c r="R495">
        <f>HYPERLINK("https://raw.githubusercontent.com/marcosmapl/dataset_imigrantes/main/materias_filtered/g1/haitianos/2021/07_ago/txt/g1_909bb330-22ed-11ed-b24f-6dbe51e79fca_1681.txt", "TXT")</f>
        <v/>
      </c>
    </row>
    <row r="496">
      <c r="A496" s="1" t="n">
        <v>494</v>
      </c>
      <c r="B496" t="n">
        <v>2021</v>
      </c>
      <c r="C496" s="2" t="n">
        <v>44423.96489583333</v>
      </c>
      <c r="D496" t="inlineStr">
        <is>
          <t>A CRITICA</t>
        </is>
      </c>
      <c r="E496" t="inlineStr">
        <is>
          <t>HAITIANOS</t>
        </is>
      </c>
      <c r="F496" t="inlineStr"/>
      <c r="G496" t="inlineStr">
        <is>
          <t>PORTAL A CRÍTICA E AGÊNCIAS</t>
        </is>
      </c>
      <c r="H496" t="inlineStr">
        <is>
          <t>TERREMOTO NO HAITI DEIXA QUASE 1300 VÍTIMAS E 2.800 FERIDOS, INFORMAM AUTORIDADES</t>
        </is>
      </c>
      <c r="I496" t="inlineStr">
        <is>
          <t>PRIMEIRO-MINISTRO DO PAÍS, ARIEL HENRY, DECRETOU ESTADO DE EMERGÊNCIA POR 30 DIAS</t>
        </is>
      </c>
      <c r="J496" t="inlineStr"/>
      <c r="K496" t="n">
        <v>0</v>
      </c>
      <c r="L496" t="n">
        <v>1</v>
      </c>
      <c r="M496" t="n">
        <v>0</v>
      </c>
      <c r="N496" t="n">
        <v>0</v>
      </c>
      <c r="O496" t="n">
        <v>0</v>
      </c>
      <c r="P496">
        <f>HYPERLINK("https://www.acritica.com/terremoto-no-haiti-deixa-quase-1300-vitimas-e-2-800-feridos-informam-autoridades-1.10202", "URL")</f>
        <v/>
      </c>
      <c r="Q496">
        <f>HYPERLINK("https://raw.githubusercontent.com/marcosmapl/dataset_imigrantes/main/materias_filtered/a_critica/haitianos/2021/07_ago/html/1.10202_405.html", "HTML")</f>
        <v/>
      </c>
      <c r="R496">
        <f>HYPERLINK("https://raw.githubusercontent.com/marcosmapl/dataset_imigrantes/main/materias_filtered/a_critica/haitianos/2021/07_ago/txt/1.10202_405.txt", "TXT")</f>
        <v/>
      </c>
    </row>
    <row r="497">
      <c r="A497" s="1" t="n">
        <v>495</v>
      </c>
      <c r="B497" t="n">
        <v>2021</v>
      </c>
      <c r="C497" s="2" t="n">
        <v>44423.94435079861</v>
      </c>
      <c r="D497" t="inlineStr">
        <is>
          <t>G1</t>
        </is>
      </c>
      <c r="E497" t="inlineStr">
        <is>
          <t>HAITIANOS</t>
        </is>
      </c>
      <c r="F497" t="inlineStr">
        <is>
          <t>MUNDO</t>
        </is>
      </c>
      <c r="G497" t="inlineStr">
        <is>
          <t>G1</t>
        </is>
      </c>
      <c r="H497" t="inlineStr">
        <is>
          <t>NÚMERO DE MORTOS POR TERREMOTO NO HAITI PASSA DE 1.200</t>
        </is>
      </c>
      <c r="I497" t="inlineStr">
        <is>
          <t>MAIS DE 2.800 PESSOAS ESTÃO FERIDAS E QUASE 3 MIL CONSTRUÇÕES FORAM DESTRUÍDAS; SITUAÇÃO É PIOR NO SUL DO PAÍS, ONDE MAIS DE 500 MORRERAM. PRIMEIRO-MINISTRO DECRETOU ESTADO DE EMERGÊNCIA POR 30 DIAS E NOVO TREMOR FOI REGISTRADO NESTE DOMINGO.</t>
        </is>
      </c>
      <c r="J497" t="inlineStr"/>
      <c r="K497" t="n">
        <v>0</v>
      </c>
      <c r="L497" t="n">
        <v>4</v>
      </c>
      <c r="M497" t="n">
        <v>2</v>
      </c>
      <c r="N497" t="n">
        <v>0</v>
      </c>
      <c r="O497" t="n">
        <v>4</v>
      </c>
      <c r="P497">
        <f>HYPERLINK("https://g1.globo.com/mundo/noticia/2021/08/15/mortes-terremoto-haiti.ghtml", "URL")</f>
        <v/>
      </c>
      <c r="Q497">
        <f>HYPERLINK("https://raw.githubusercontent.com/marcosmapl/dataset_imigrantes/main/materias_filtered/g1/haitianos/2021/07_ago/html/g1_2da197da-2311-11ed-b24f-6dbe51e79fca_2904.html", "HTML")</f>
        <v/>
      </c>
      <c r="R497">
        <f>HYPERLINK("https://raw.githubusercontent.com/marcosmapl/dataset_imigrantes/main/materias_filtered/g1/haitianos/2021/07_ago/txt/g1_2da197da-2311-11ed-b24f-6dbe51e79fca_2904.txt", "TXT")</f>
        <v/>
      </c>
    </row>
    <row r="498">
      <c r="A498" s="1" t="n">
        <v>496</v>
      </c>
      <c r="B498" t="n">
        <v>2021</v>
      </c>
      <c r="C498" s="2" t="n">
        <v>44423.86866953703</v>
      </c>
      <c r="D498" t="inlineStr">
        <is>
          <t>G1</t>
        </is>
      </c>
      <c r="E498" t="inlineStr">
        <is>
          <t>HAITIANOS</t>
        </is>
      </c>
      <c r="F498" t="inlineStr">
        <is>
          <t>MUNDO</t>
        </is>
      </c>
      <c r="G498" t="inlineStr">
        <is>
          <t>BBC</t>
        </is>
      </c>
      <c r="H498" t="inlineStr">
        <is>
          <t>POR QUE OCORREM TANTOS TERREMOTOS NO HAITI?</t>
        </is>
      </c>
      <c r="I498" t="inlineStr">
        <is>
          <t>FORTE TERREMOTO OCORRIDO NESTE SÁBADO VOLTOU A MOSTRAR FRAGILIDADE GEOLÓGICA DA ILHA DE HISPANIOLA, ONDE ESTÃO HAITI E REPÚBLICA DOMINICANA, MAS QUE ATINGE PRINCIPALMENTE TERRITÓRIO HAITIANO.</t>
        </is>
      </c>
      <c r="J498" t="inlineStr"/>
      <c r="K498" t="n">
        <v>0</v>
      </c>
      <c r="L498" t="n">
        <v>3</v>
      </c>
      <c r="M498" t="n">
        <v>2</v>
      </c>
      <c r="N498" t="n">
        <v>0</v>
      </c>
      <c r="O498" t="n">
        <v>2</v>
      </c>
      <c r="P498">
        <f>HYPERLINK("https://g1.globo.com/mundo/noticia/2021/08/15/por-que-ocorrem-tantos-terremotos-no-haiti.ghtml", "URL")</f>
        <v/>
      </c>
      <c r="Q498">
        <f>HYPERLINK("https://raw.githubusercontent.com/marcosmapl/dataset_imigrantes/main/materias_filtered/g1/haitianos/2021/07_ago/html/g1_1635fb72-22f8-11ed-b24f-6dbe51e79fca_2116.html", "HTML")</f>
        <v/>
      </c>
      <c r="R498">
        <f>HYPERLINK("https://raw.githubusercontent.com/marcosmapl/dataset_imigrantes/main/materias_filtered/g1/haitianos/2021/07_ago/txt/g1_1635fb72-22f8-11ed-b24f-6dbe51e79fca_2116.txt", "TXT")</f>
        <v/>
      </c>
    </row>
    <row r="499">
      <c r="A499" s="1" t="n">
        <v>497</v>
      </c>
      <c r="B499" t="n">
        <v>2021</v>
      </c>
      <c r="C499" s="2" t="n">
        <v>44423.81934548611</v>
      </c>
      <c r="D499" t="inlineStr">
        <is>
          <t>G1</t>
        </is>
      </c>
      <c r="E499" t="inlineStr">
        <is>
          <t>HAITIANOS</t>
        </is>
      </c>
      <c r="F499" t="inlineStr">
        <is>
          <t>TRIÂNGULO E ALTO PARANAÍBA</t>
        </is>
      </c>
      <c r="G499" t="inlineStr">
        <is>
          <t>G1 TRIÂNGULO E ALTO PARANAÍBA</t>
        </is>
      </c>
      <c r="H499" t="inlineStr">
        <is>
          <t>JORNALISTA LANÇA LIVRO INFANTIL SOBRE CRIANÇAS DE OUTROS PAÍSES QUE MORAM EM UBERLÂNDIA</t>
        </is>
      </c>
      <c r="I499" t="inlineStr">
        <is>
          <t>GRATUITA, OBRA FOI CATALOGADA PELA CÂMARA BRASILEIRA DO LIVRO EM 2021 E PODE BAIXADA DA INTERNET.</t>
        </is>
      </c>
      <c r="J499" t="inlineStr"/>
      <c r="K499" t="n">
        <v>0</v>
      </c>
      <c r="L499" t="n">
        <v>3</v>
      </c>
      <c r="M499" t="n">
        <v>0</v>
      </c>
      <c r="N499" t="n">
        <v>0</v>
      </c>
      <c r="O499" t="n">
        <v>2</v>
      </c>
      <c r="P499">
        <f>HYPERLINK("https://g1.globo.com/mg/triangulo-mineiro/noticia/2021/08/15/jornalista-lanca-livro-infantil-sobre-criancas-de-outros-paises-que-moram-em-a-uberlandia.ghtml", "URL")</f>
        <v/>
      </c>
      <c r="Q499">
        <f>HYPERLINK("https://raw.githubusercontent.com/marcosmapl/dataset_imigrantes/main/materias_filtered/g1/haitianos/2021/07_ago/html/g1_b8e798a4-22ed-11ed-b24f-6dbe51e79fca_1686.html", "HTML")</f>
        <v/>
      </c>
      <c r="R499">
        <f>HYPERLINK("https://raw.githubusercontent.com/marcosmapl/dataset_imigrantes/main/materias_filtered/g1/haitianos/2021/07_ago/txt/g1_b8e798a4-22ed-11ed-b24f-6dbe51e79fca_1686.txt", "TXT")</f>
        <v/>
      </c>
    </row>
    <row r="500">
      <c r="A500" s="1" t="n">
        <v>498</v>
      </c>
      <c r="B500" t="n">
        <v>2021</v>
      </c>
      <c r="C500" s="2" t="n">
        <v>44423.70725694444</v>
      </c>
      <c r="D500" t="inlineStr">
        <is>
          <t>A CRITICA</t>
        </is>
      </c>
      <c r="E500" t="inlineStr">
        <is>
          <t>HAITIANOS</t>
        </is>
      </c>
      <c r="F500" t="inlineStr"/>
      <c r="G500" t="inlineStr">
        <is>
          <t>AGÊNCIA BRASIL</t>
        </is>
      </c>
      <c r="H500" t="inlineStr">
        <is>
          <t>TERREMOTO NO HAITI FEZ 304 MORTOS E MAIS DE 1,8 MIL FERIDOS</t>
        </is>
      </c>
      <c r="I500" t="inlineStr">
        <is>
          <t>AS EQUIPES DE RESGATE TENTAM AGORA DESCOBRIR SOBREVIVENTES DEBAIXO DOS VÁRIOS EDIFÍCIOS QUE DESABARAM NO SUDOESTE DO PAÍS</t>
        </is>
      </c>
      <c r="J500" t="inlineStr"/>
      <c r="K500" t="n">
        <v>0</v>
      </c>
      <c r="L500" t="n">
        <v>1</v>
      </c>
      <c r="M500" t="n">
        <v>0</v>
      </c>
      <c r="N500" t="n">
        <v>0</v>
      </c>
      <c r="O500" t="n">
        <v>0</v>
      </c>
      <c r="P500">
        <f>HYPERLINK("https://www.acritica.com/terremoto-no-haiti-fez-304-mortos-e-mais-de-1-8-mil-feridos-1.10222", "URL")</f>
        <v/>
      </c>
      <c r="Q500">
        <f>HYPERLINK("https://raw.githubusercontent.com/marcosmapl/dataset_imigrantes/main/materias_filtered/a_critica/haitianos/2021/07_ago/html/1.10222_1074.html", "HTML")</f>
        <v/>
      </c>
      <c r="R500">
        <f>HYPERLINK("https://raw.githubusercontent.com/marcosmapl/dataset_imigrantes/main/materias_filtered/a_critica/haitianos/2021/07_ago/txt/1.10222_1074.txt", "TXT")</f>
        <v/>
      </c>
    </row>
    <row r="501">
      <c r="A501" s="1" t="n">
        <v>499</v>
      </c>
      <c r="B501" t="n">
        <v>2021</v>
      </c>
      <c r="C501" s="2" t="n">
        <v>44423.70051541667</v>
      </c>
      <c r="D501" t="inlineStr">
        <is>
          <t>G1</t>
        </is>
      </c>
      <c r="E501" t="inlineStr">
        <is>
          <t>HAITIANOS</t>
        </is>
      </c>
      <c r="F501" t="inlineStr">
        <is>
          <t>MATO GROSSO DO SUL</t>
        </is>
      </c>
      <c r="G501" t="inlineStr">
        <is>
          <t>FLÁVIO DIAS, G1 MS — CAMPO GRANDE</t>
        </is>
      </c>
      <c r="H501" t="inlineStr">
        <is>
          <t>HAITIANO QUE VIVE EM MS FALA DO DESESPERO DE NÃO CONSEGUIR CONTATO COM 5 PESSOAS DA FAMÍLIA APÓS TERREMOTO</t>
        </is>
      </c>
      <c r="I501" t="inlineStr">
        <is>
          <t>JAUNEL ILORA EXPLICA QUE OS PARENTES DESAPARECIDOS MORAM NA REGIÃO SUL DO PAÍS, LOCAL BASTANTE AFETADO PELOS TREMORES QUE DEIXARAM MAIS DE 1200 MORTOS.</t>
        </is>
      </c>
      <c r="J501" t="inlineStr"/>
      <c r="K501" t="n">
        <v>0</v>
      </c>
      <c r="L501" t="n">
        <v>4</v>
      </c>
      <c r="M501" t="n">
        <v>2</v>
      </c>
      <c r="N501" t="n">
        <v>0</v>
      </c>
      <c r="O501" t="n">
        <v>8</v>
      </c>
      <c r="P501">
        <f>HYPERLINK("https://g1.globo.com/ms/mato-grosso-do-sul/noticia/2021/08/15/haitiano-que-vive-em-ms-fala-do-desespero-de-nao-conseguir-contato-com-5-pessoas-da-familia-apos-terremoto.ghtml", "URL")</f>
        <v/>
      </c>
      <c r="Q501">
        <f>HYPERLINK("https://raw.githubusercontent.com/marcosmapl/dataset_imigrantes/main/materias_filtered/g1/haitianos/2021/07_ago/html/g1_0eb86ebe-22fa-11ed-b24f-6dbe51e79fca_2196.html", "HTML")</f>
        <v/>
      </c>
      <c r="R501">
        <f>HYPERLINK("https://raw.githubusercontent.com/marcosmapl/dataset_imigrantes/main/materias_filtered/g1/haitianos/2021/07_ago/txt/g1_0eb86ebe-22fa-11ed-b24f-6dbe51e79fca_2196.txt", "TXT")</f>
        <v/>
      </c>
    </row>
    <row r="502">
      <c r="A502" s="1" t="n">
        <v>500</v>
      </c>
      <c r="B502" t="n">
        <v>2021</v>
      </c>
      <c r="C502" s="2" t="n">
        <v>44423.64653587963</v>
      </c>
      <c r="D502" t="inlineStr">
        <is>
          <t>G1</t>
        </is>
      </c>
      <c r="E502" t="inlineStr">
        <is>
          <t>HAITIANOS</t>
        </is>
      </c>
      <c r="F502" t="inlineStr">
        <is>
          <t>MUNDO</t>
        </is>
      </c>
      <c r="G502" t="inlineStr">
        <is>
          <t>G1</t>
        </is>
      </c>
      <c r="H502" t="inlineStr">
        <is>
          <t>NÚMERO DE MORTOS POR TERREMOTO NO HAITI PASSA DE 700</t>
        </is>
      </c>
      <c r="I502" t="inlineStr">
        <is>
          <t>NOVO TREMOR DE MAGNITUDE 5,9 ACONTECE HORAS DEPOIS DE OUTRO DE 7,2 DEIXAR MAIS DE 300 MORTOS NO PAÍS NO SÁBADO (14). PRIMEIRO-MINISTRO DO HAITI DECRETOU ESTADO DE EMERGÊNCIA POR 30 DIAS.</t>
        </is>
      </c>
      <c r="J502" t="inlineStr"/>
      <c r="K502" t="n">
        <v>0</v>
      </c>
      <c r="L502" t="n">
        <v>4</v>
      </c>
      <c r="M502" t="n">
        <v>2</v>
      </c>
      <c r="N502" t="n">
        <v>0</v>
      </c>
      <c r="O502" t="n">
        <v>5</v>
      </c>
      <c r="P502">
        <f>HYPERLINK("https://g1.globo.com/mundo/noticia/2021/08/15/sobe-para-724-numero-de-mortos-por-terremoto-no-haiti.ghtml", "URL")</f>
        <v/>
      </c>
      <c r="Q502">
        <f>HYPERLINK("https://raw.githubusercontent.com/marcosmapl/dataset_imigrantes/main/materias_filtered/g1/haitianos/2021/07_ago/html/g1_2c197aea-22ee-11ed-b24f-6dbe51e79fca_1701.html", "HTML")</f>
        <v/>
      </c>
      <c r="R502">
        <f>HYPERLINK("https://raw.githubusercontent.com/marcosmapl/dataset_imigrantes/main/materias_filtered/g1/haitianos/2021/07_ago/txt/g1_2c197aea-22ee-11ed-b24f-6dbe51e79fca_1701.txt", "TXT")</f>
        <v/>
      </c>
    </row>
    <row r="503">
      <c r="A503" s="1" t="n">
        <v>501</v>
      </c>
      <c r="B503" t="n">
        <v>2021</v>
      </c>
      <c r="C503" s="2" t="n">
        <v>44423.16387047453</v>
      </c>
      <c r="D503" t="inlineStr">
        <is>
          <t>G1</t>
        </is>
      </c>
      <c r="E503" t="inlineStr">
        <is>
          <t>HAITIANOS</t>
        </is>
      </c>
      <c r="F503" t="inlineStr">
        <is>
          <t>MUNDO</t>
        </is>
      </c>
      <c r="G503" t="inlineStr">
        <is>
          <t>G1</t>
        </is>
      </c>
      <c r="H503" t="inlineStr">
        <is>
          <t>NOVO TERREMOTO ATINGE O HAITI</t>
        </is>
      </c>
      <c r="I503" t="inlineStr">
        <is>
          <t>TREMOR DE MAGNITUDE 5,9 OCORRE HORAS DEPOIS DE OUTRO DE 7,2 DEIXAR MAIS DE 300 MORTOS NO PAÍS.</t>
        </is>
      </c>
      <c r="J503" t="inlineStr"/>
      <c r="K503" t="n">
        <v>0</v>
      </c>
      <c r="L503" t="n">
        <v>3</v>
      </c>
      <c r="M503" t="n">
        <v>1</v>
      </c>
      <c r="N503" t="n">
        <v>0</v>
      </c>
      <c r="O503" t="n">
        <v>8</v>
      </c>
      <c r="P503">
        <f>HYPERLINK("https://g1.globo.com/mundo/noticia/2021/08/15/haiti-novo-terremoto.ghtml", "URL")</f>
        <v/>
      </c>
      <c r="Q503">
        <f>HYPERLINK("https://raw.githubusercontent.com/marcosmapl/dataset_imigrantes/main/materias_filtered/g1/haitianos/2021/07_ago/html/g1_c5b2cea8-2326-11ed-b24f-6dbe51e79fca_3997.html", "HTML")</f>
        <v/>
      </c>
      <c r="R503">
        <f>HYPERLINK("https://raw.githubusercontent.com/marcosmapl/dataset_imigrantes/main/materias_filtered/g1/haitianos/2021/07_ago/txt/g1_c5b2cea8-2326-11ed-b24f-6dbe51e79fca_3997.txt", "TXT")</f>
        <v/>
      </c>
    </row>
    <row r="504">
      <c r="A504" s="1" t="n">
        <v>502</v>
      </c>
      <c r="B504" t="n">
        <v>2021</v>
      </c>
      <c r="C504" s="2" t="n">
        <v>44423.00227928241</v>
      </c>
      <c r="D504" t="inlineStr">
        <is>
          <t>G1</t>
        </is>
      </c>
      <c r="E504" t="inlineStr">
        <is>
          <t>HAITIANOS</t>
        </is>
      </c>
      <c r="F504" t="inlineStr">
        <is>
          <t>POLÍTICA</t>
        </is>
      </c>
      <c r="G504" t="inlineStr">
        <is>
          <t>G1 — BRASÍLIA</t>
        </is>
      </c>
      <c r="H504" t="inlineStr">
        <is>
          <t>TERREMOTO NO HAITI: ITAMARATY DIZ QUE, POR ORA, NÃO HÁ REGISTRO DE VÍTIMAS BRASILEIRAS</t>
        </is>
      </c>
      <c r="I504" t="inlineStr">
        <is>
          <t>SEGUNDO MINISTÉRIO DAS RELAÇÕES EXTERIORES, COMUNIDADE BRASILEIRA NO HAITI É ESTIMADA EM 50 PESSOAS. TREMOR DE MAGNITUDE 7,2 DEIXOU MAIS DE 300 MORTOS NO PAÍS CARIBENHO.</t>
        </is>
      </c>
      <c r="J504" t="inlineStr"/>
      <c r="K504" t="n">
        <v>0</v>
      </c>
      <c r="L504" t="n">
        <v>2</v>
      </c>
      <c r="M504" t="n">
        <v>2</v>
      </c>
      <c r="N504" t="n">
        <v>0</v>
      </c>
      <c r="O504" t="n">
        <v>1</v>
      </c>
      <c r="P504">
        <f>HYPERLINK("https://g1.globo.com/politica/noticia/2021/08/14/terremoto-no-haiti-itamaraty-diz-que-por-ora-nao-ha-registro-de-vitimas-brasileiras.ghtml", "URL")</f>
        <v/>
      </c>
      <c r="Q504">
        <f>HYPERLINK("https://raw.githubusercontent.com/marcosmapl/dataset_imigrantes/main/materias_filtered/g1/haitianos/2021/07_ago/html/g1_3c198956-2318-11ed-b24f-6dbe51e79fca_3249.html", "HTML")</f>
        <v/>
      </c>
      <c r="R504">
        <f>HYPERLINK("https://raw.githubusercontent.com/marcosmapl/dataset_imigrantes/main/materias_filtered/g1/haitianos/2021/07_ago/txt/g1_3c198956-2318-11ed-b24f-6dbe51e79fca_3249.txt", "TXT")</f>
        <v/>
      </c>
    </row>
    <row r="505">
      <c r="A505" s="1" t="n">
        <v>503</v>
      </c>
      <c r="B505" t="n">
        <v>2021</v>
      </c>
      <c r="C505" s="2" t="n">
        <v>44422.92661649305</v>
      </c>
      <c r="D505" t="inlineStr">
        <is>
          <t>G1</t>
        </is>
      </c>
      <c r="E505" t="inlineStr">
        <is>
          <t>HAITIANOS</t>
        </is>
      </c>
      <c r="F505" t="inlineStr">
        <is>
          <t>SOROCABA E JUNDIAÍ</t>
        </is>
      </c>
      <c r="G505" t="inlineStr">
        <is>
          <t>GABRIELA ALMEIDA*, G1 SOROCABA E JUNDIAÍ</t>
        </is>
      </c>
      <c r="H505" t="inlineStr">
        <is>
          <t>HAITIANA NO BRASIL RELATA DESESPERO AO NÃO CONSEGUIR CONTATO COM IRMÃO DEPOIS DE TERREMOTO: 'PERDEU O CELULAR ENQUANTO CORRIA'</t>
        </is>
      </c>
      <c r="I505" t="inlineStr">
        <is>
          <t>FRANCELINE LORGEANT, MORADORA DE VÁRZEA PAULISTA (SP), DIZ QUE O IRMÃO FICOU SEM CONTATO POR HORAS APÓS PERDER O CELULAR ENQUANTO CORRIA DO TERREMOTO, MAS CONSEGUIU SE SALVAR. TREMOR DE MAGNITUDE 7,2 FOI SENTIDO TAMBÉM NA REPÚBLICA DOMINICANA, JAMAICA E CUBA.</t>
        </is>
      </c>
      <c r="J505" t="inlineStr"/>
      <c r="K505" t="n">
        <v>0</v>
      </c>
      <c r="L505" t="n">
        <v>3</v>
      </c>
      <c r="M505" t="n">
        <v>1</v>
      </c>
      <c r="N505" t="n">
        <v>0</v>
      </c>
      <c r="O505" t="n">
        <v>3</v>
      </c>
      <c r="P505">
        <f>HYPERLINK("https://g1.globo.com/sp/sorocaba-jundiai/noticia/2021/08/14/haitiana-no-brasil-relata-desespero-da-familia-ao-saber-de-terremoto-e-nao-conseguir-contato-com-irmao-ele-perdeu-o-celular-enquanto-corria.ghtml", "URL")</f>
        <v/>
      </c>
      <c r="Q505">
        <f>HYPERLINK("https://raw.githubusercontent.com/marcosmapl/dataset_imigrantes/main/materias_filtered/g1/haitianos/2021/07_ago/html/g1_47011a4c-2317-11ed-b24f-6dbe51e79fca_3198.html", "HTML")</f>
        <v/>
      </c>
      <c r="R505">
        <f>HYPERLINK("https://raw.githubusercontent.com/marcosmapl/dataset_imigrantes/main/materias_filtered/g1/haitianos/2021/07_ago/txt/g1_47011a4c-2317-11ed-b24f-6dbe51e79fca_3198.txt", "TXT")</f>
        <v/>
      </c>
    </row>
    <row r="506">
      <c r="A506" s="1" t="n">
        <v>504</v>
      </c>
      <c r="B506" t="n">
        <v>2021</v>
      </c>
      <c r="C506" s="2" t="n">
        <v>44422.69368055555</v>
      </c>
      <c r="D506" t="inlineStr">
        <is>
          <t>A CRITICA</t>
        </is>
      </c>
      <c r="E506" t="inlineStr">
        <is>
          <t>HAITIANOS</t>
        </is>
      </c>
      <c r="F506" t="inlineStr"/>
      <c r="G506" t="inlineStr">
        <is>
          <t>AGÊNCIA BRASIL</t>
        </is>
      </c>
      <c r="H506" t="inlineStr">
        <is>
          <t>TERREMOTO DE MAGNITUDE 7,2 ATINGE O HAITI</t>
        </is>
      </c>
      <c r="I506" t="inlineStr">
        <is>
          <t>SERVIÇO GEOLÓGICO DOS ESTADOS UNIDOS EMITE ALERTA DE TSUNAMI</t>
        </is>
      </c>
      <c r="J506" t="inlineStr"/>
      <c r="K506" t="n">
        <v>0</v>
      </c>
      <c r="L506" t="n">
        <v>1</v>
      </c>
      <c r="M506" t="n">
        <v>0</v>
      </c>
      <c r="N506" t="n">
        <v>0</v>
      </c>
      <c r="O506" t="n">
        <v>0</v>
      </c>
      <c r="P506">
        <f>HYPERLINK("https://www.acritica.com/terremoto-de-magnitude-7-2-atinge-o-haiti-1.10264", "URL")</f>
        <v/>
      </c>
      <c r="Q506">
        <f>HYPERLINK("https://raw.githubusercontent.com/marcosmapl/dataset_imigrantes/main/materias_filtered/a_critica/haitianos/2021/07_ago/html/1.10264_84.html", "HTML")</f>
        <v/>
      </c>
      <c r="R506">
        <f>HYPERLINK("https://raw.githubusercontent.com/marcosmapl/dataset_imigrantes/main/materias_filtered/a_critica/haitianos/2021/07_ago/txt/1.10264_84.txt", "TXT")</f>
        <v/>
      </c>
    </row>
    <row r="507">
      <c r="A507" s="1" t="n">
        <v>505</v>
      </c>
      <c r="B507" t="n">
        <v>2021</v>
      </c>
      <c r="C507" s="2" t="n">
        <v>44421.82077587963</v>
      </c>
      <c r="D507" t="inlineStr">
        <is>
          <t>G1</t>
        </is>
      </c>
      <c r="E507" t="inlineStr">
        <is>
          <t>VENEZUELANOS</t>
        </is>
      </c>
      <c r="F507" t="inlineStr">
        <is>
          <t>RORAIMA</t>
        </is>
      </c>
      <c r="G507" t="inlineStr">
        <is>
          <t>G1 RR — BOA VISTA</t>
        </is>
      </c>
      <c r="H507" t="inlineStr">
        <is>
          <t>TRIO É PRESO SUSPEITO DE ASSASSINAR CINCO VENEZUELANOS POR DÍVIDA DE DROGAS COM TRAFICANTES, EM RR</t>
        </is>
      </c>
      <c r="I507" t="inlineStr">
        <is>
          <t>SUSPEITOS FORAM PRESOS COM UMA ARMA E MUNIÇÕES. POLÍCIA CIVIL AFIRMA QUE O TRIO ATUA NA COBRANÇA DAS DÍVIDAS E NA EXECUÇÃO DE PESSOAS POR NÃO PAGAMENTO AOS TRAFICANTES.</t>
        </is>
      </c>
      <c r="J507" t="inlineStr"/>
      <c r="K507" t="n">
        <v>0</v>
      </c>
      <c r="L507" t="n">
        <v>1</v>
      </c>
      <c r="M507" t="n">
        <v>0</v>
      </c>
      <c r="N507" t="n">
        <v>0</v>
      </c>
      <c r="O507" t="n">
        <v>5</v>
      </c>
      <c r="P507">
        <f>HYPERLINK("https://g1.globo.com/rr/roraima/noticia/2021/08/13/trio-e-preso-suspeito-de-assassinar-cinco-venezuelanos-por-divida-de-drogas-com-traficantes-em-rr.ghtml", "URL")</f>
        <v/>
      </c>
      <c r="Q507">
        <f>HYPERLINK("https://raw.githubusercontent.com/marcosmapl/dataset_imigrantes/main/materias_filtered/g1/venezuelanos/2021/07_ago/html/g1_024d910e-2313-11ed-b24f-6dbe51e79fca_2987.html", "HTML")</f>
        <v/>
      </c>
      <c r="R507">
        <f>HYPERLINK("https://raw.githubusercontent.com/marcosmapl/dataset_imigrantes/main/materias_filtered/g1/venezuelanos/2021/07_ago/txt/g1_024d910e-2313-11ed-b24f-6dbe51e79fca_2987.txt", "TXT")</f>
        <v/>
      </c>
    </row>
    <row r="508">
      <c r="A508" s="1" t="n">
        <v>506</v>
      </c>
      <c r="B508" t="n">
        <v>2021</v>
      </c>
      <c r="C508" s="2" t="n">
        <v>44420.74031523148</v>
      </c>
      <c r="D508" t="inlineStr">
        <is>
          <t>G1</t>
        </is>
      </c>
      <c r="E508" t="inlineStr">
        <is>
          <t>VENEZUELANOS</t>
        </is>
      </c>
      <c r="F508" t="inlineStr">
        <is>
          <t>MUNDO</t>
        </is>
      </c>
      <c r="G508" t="inlineStr">
        <is>
          <t>G1</t>
        </is>
      </c>
      <c r="H508" t="inlineStr">
        <is>
          <t>TRIBUNAL PENAL INTERNACIONAL CRITICA VENEZUELA POR NÃO INVESTIGAR CRIMES E ABRE POSSIBILIDADE DE AÇÕES JUDICIAIS CONTRA O PAÍS</t>
        </is>
      </c>
      <c r="I508" t="inlineStr">
        <is>
          <t>O TRIBUNAL DE HAIA AFIRMA QUE AS FORÇAS DE SEGURANÇA VENEZUELANAS E MILÍCIAS PRÓ-GOVERNO COMETERAM CRIMES DE CATIVEIRO, TORTURA, ESTUPRO E PERSEGUIÇÃO. O TEXTO DESTACA AINDA MAUS-TRATOS AOS DETIDOS.</t>
        </is>
      </c>
      <c r="J508" t="inlineStr"/>
      <c r="K508" t="n">
        <v>0</v>
      </c>
      <c r="L508" t="n">
        <v>2</v>
      </c>
      <c r="M508" t="n">
        <v>1</v>
      </c>
      <c r="N508" t="n">
        <v>0</v>
      </c>
      <c r="O508" t="n">
        <v>5</v>
      </c>
      <c r="P508">
        <f>HYPERLINK("https://g1.globo.com/mundo/noticia/2021/08/12/tribunal-penal-internacional-critica-venezuela-por-nao-investigar-crimes-e-abre-possibilidade-de-acoes-judiciais-contra-o-pais.ghtml", "URL")</f>
        <v/>
      </c>
      <c r="Q508">
        <f>HYPERLINK("https://raw.githubusercontent.com/marcosmapl/dataset_imigrantes/main/materias_filtered/g1/venezuelanos/2021/07_ago/html/g1_9067b5d0-2306-11ed-b24f-6dbe51e79fca_2266.html", "HTML")</f>
        <v/>
      </c>
      <c r="R508">
        <f>HYPERLINK("https://raw.githubusercontent.com/marcosmapl/dataset_imigrantes/main/materias_filtered/g1/venezuelanos/2021/07_ago/txt/g1_9067b5d0-2306-11ed-b24f-6dbe51e79fca_2266.txt", "TXT")</f>
        <v/>
      </c>
    </row>
    <row r="509">
      <c r="A509" s="1" t="n">
        <v>507</v>
      </c>
      <c r="B509" t="n">
        <v>2021</v>
      </c>
      <c r="C509" s="2" t="n">
        <v>44420.41344863426</v>
      </c>
      <c r="D509" t="inlineStr">
        <is>
          <t>G1</t>
        </is>
      </c>
      <c r="E509" t="inlineStr">
        <is>
          <t>AMBOS</t>
        </is>
      </c>
      <c r="F509" t="inlineStr">
        <is>
          <t>MUNDO</t>
        </is>
      </c>
      <c r="G509" t="inlineStr">
        <is>
          <t>BBC</t>
        </is>
      </c>
      <c r="H509" t="inlineStr">
        <is>
          <t>POR QUE MIAMI É UM 'CALDEIRÃO' DE CONSPIRAÇÕES CONTRA GOVERNOS DA AMÉRICA LATINA</t>
        </is>
      </c>
      <c r="I509" t="inlineStr">
        <is>
          <t>EMPRESA DE MIAMI É APONTADA COMO PARTE DO COMPLÔ QUE ASSASSINOU O PRESIDENTE DO HAITI. NÃO É A 1ª VEZ QUE A CIDADE AMERICANA É ENVOLVIDA EM TRAMAS PARA DERRUBAR GOVERNOS NO CONTINENTE.</t>
        </is>
      </c>
      <c r="J509" t="inlineStr"/>
      <c r="K509" t="n">
        <v>0</v>
      </c>
      <c r="L509" t="n">
        <v>2</v>
      </c>
      <c r="M509" t="n">
        <v>0</v>
      </c>
      <c r="N509" t="n">
        <v>0</v>
      </c>
      <c r="O509" t="n">
        <v>15</v>
      </c>
      <c r="P509">
        <f>HYPERLINK("https://g1.globo.com/mundo/noticia/2021/08/12/por-que-miami-e-um-caldeirao-de-conspiracoes-contra-governos-da-america-latina.ghtml", "URL")</f>
        <v/>
      </c>
      <c r="Q509">
        <f>HYPERLINK("https://raw.githubusercontent.com/marcosmapl/dataset_imigrantes/main/materias_filtered/g1/ambos/2021/07_ago/html/g1_5a3f8f00-2324-11ed-b24f-6dbe51e79fca_3866.html", "HTML")</f>
        <v/>
      </c>
      <c r="R509">
        <f>HYPERLINK("https://raw.githubusercontent.com/marcosmapl/dataset_imigrantes/main/materias_filtered/g1/ambos/2021/07_ago/txt/g1_5a3f8f00-2324-11ed-b24f-6dbe51e79fca_3866.txt", "TXT")</f>
        <v/>
      </c>
    </row>
    <row r="510">
      <c r="A510" s="1" t="n">
        <v>508</v>
      </c>
      <c r="B510" t="n">
        <v>2021</v>
      </c>
      <c r="C510" s="2" t="n">
        <v>44417.89792501157</v>
      </c>
      <c r="D510" t="inlineStr">
        <is>
          <t>G1</t>
        </is>
      </c>
      <c r="E510" t="inlineStr">
        <is>
          <t>VENEZUELANOS</t>
        </is>
      </c>
      <c r="F510" t="inlineStr">
        <is>
          <t>RORAIMA</t>
        </is>
      </c>
      <c r="G510" t="inlineStr">
        <is>
          <t>CAÍQUE RODRIGUES, G1 RR — BOA VISTA</t>
        </is>
      </c>
      <c r="H510" t="inlineStr">
        <is>
          <t>DEFENSORIA IDENTIFICA 'CANTINHO DA VERGONHA' PARA CASTIGAR INDÍGENAS VENEZUELANOS EM ABRIGO</t>
        </is>
      </c>
      <c r="I510" t="inlineStr">
        <is>
          <t>INSPEÇÃO DA DEFENSORIA PÚBLICA DA UNIÃO (DPU) E MINISTÉRIO PÚBLICO DA UNIÃO (MPF) CONSTATOU QUE HAVIA ESTRUTURA DESTINADA A PUNIÇÃO DE INDÍGENAS EM ABRIGO DE RESPONSABILIDADE DA OPERAÇÃO ACOLHIDA. CASA CIVIL DA PRESIDÊNCIA INFORMOU QUE NÃO AUTORIZA NEM COMPACTUA COM QUALQUER TIPO DE AÇÃO QUE POSSA REPRESENTAR MAUS TRATOS CONTRA MIGRANTES E REFUGIADOS.</t>
        </is>
      </c>
      <c r="J510" t="inlineStr"/>
      <c r="K510" t="n">
        <v>0</v>
      </c>
      <c r="L510" t="n">
        <v>1</v>
      </c>
      <c r="M510" t="n">
        <v>0</v>
      </c>
      <c r="N510" t="n">
        <v>0</v>
      </c>
      <c r="O510" t="n">
        <v>1</v>
      </c>
      <c r="P510">
        <f>HYPERLINK("https://g1.globo.com/rr/roraima/noticia/2021/08/09/defensoria-identifica-cantinho-da-vergonha-para-castigar-indigenas-venezuelanos-em-abrigo.ghtml", "URL")</f>
        <v/>
      </c>
      <c r="Q510">
        <f>HYPERLINK("https://raw.githubusercontent.com/marcosmapl/dataset_imigrantes/main/materias_filtered/g1/venezuelanos/2021/07_ago/html/g1_223dded6-2315-11ed-b24f-6dbe51e79fca_3069.html", "HTML")</f>
        <v/>
      </c>
      <c r="R510">
        <f>HYPERLINK("https://raw.githubusercontent.com/marcosmapl/dataset_imigrantes/main/materias_filtered/g1/venezuelanos/2021/07_ago/txt/g1_223dded6-2315-11ed-b24f-6dbe51e79fca_3069.txt", "TXT")</f>
        <v/>
      </c>
    </row>
    <row r="511">
      <c r="A511" s="1" t="n">
        <v>509</v>
      </c>
      <c r="B511" t="n">
        <v>2021</v>
      </c>
      <c r="C511" s="2" t="n">
        <v>44417.57119484954</v>
      </c>
      <c r="D511" t="inlineStr">
        <is>
          <t>G1</t>
        </is>
      </c>
      <c r="E511" t="inlineStr">
        <is>
          <t>VENEZUELANOS</t>
        </is>
      </c>
      <c r="F511" t="inlineStr">
        <is>
          <t>RORAIMA</t>
        </is>
      </c>
      <c r="G511" t="inlineStr">
        <is>
          <t>G1 / RR — BOA VISTA</t>
        </is>
      </c>
      <c r="H511" t="inlineStr">
        <is>
          <t>VENEZUELANO É MORTO A TIROS E ENCONTRADO COM MÃOS AMARRADAS EM BOA VISTA</t>
        </is>
      </c>
      <c r="I511" t="inlineStr">
        <is>
          <t>MORADORES RELATARAM QUE OUVIRAM CERCA DE SEIS DISPAROS E VIRAM UM CARRO FUGIR EM ALTA VELOCIDADE, INFORMOU A PM. VÍTIMA FOI IDENTIFICADA COMO O CABELEIREIRO MARCOS ARGENIS VALLEZ PEREZ, DE 24 ANOS.</t>
        </is>
      </c>
      <c r="J511" t="inlineStr"/>
      <c r="K511" t="n">
        <v>0</v>
      </c>
      <c r="L511" t="n">
        <v>1</v>
      </c>
      <c r="M511" t="n">
        <v>0</v>
      </c>
      <c r="N511" t="n">
        <v>0</v>
      </c>
      <c r="O511" t="n">
        <v>0</v>
      </c>
      <c r="P511">
        <f>HYPERLINK("https://g1.globo.com/rr/roraima/noticia/2021/08/09/homem-morto-a-tiros-e-encontrado-com-maos-amarradas-em-boa-vista.ghtml", "URL")</f>
        <v/>
      </c>
      <c r="Q511">
        <f>HYPERLINK("https://raw.githubusercontent.com/marcosmapl/dataset_imigrantes/main/materias_filtered/g1/venezuelanos/2021/07_ago/html/g1_2696455a-232d-11ed-b24f-6dbe51e79fca_4344.html", "HTML")</f>
        <v/>
      </c>
      <c r="R511">
        <f>HYPERLINK("https://raw.githubusercontent.com/marcosmapl/dataset_imigrantes/main/materias_filtered/g1/venezuelanos/2021/07_ago/txt/g1_2696455a-232d-11ed-b24f-6dbe51e79fca_4344.txt", "TXT")</f>
        <v/>
      </c>
    </row>
    <row r="512">
      <c r="A512" s="1" t="n">
        <v>510</v>
      </c>
      <c r="B512" t="n">
        <v>2021</v>
      </c>
      <c r="C512" s="2" t="n">
        <v>44417.46822744213</v>
      </c>
      <c r="D512" t="inlineStr">
        <is>
          <t>G1</t>
        </is>
      </c>
      <c r="E512" t="inlineStr">
        <is>
          <t>VENEZUELANOS</t>
        </is>
      </c>
      <c r="F512" t="inlineStr">
        <is>
          <t>ECONOMIA</t>
        </is>
      </c>
      <c r="G512" t="inlineStr">
        <is>
          <t>RFI</t>
        </is>
      </c>
      <c r="H512" t="inlineStr">
        <is>
          <t>VENEZUELANOS CORREM PARA GASTAR DINHEIRO ANTES DO CORTE DE SEIS ZEROS NA MOEDA NACIONAL</t>
        </is>
      </c>
      <c r="I512" t="inlineStr">
        <is>
          <t>CONVERSÃO MONETÁRIA ENTRARÁ EM VIGOR EM OUTUBRO MOEDA NACIONAL PASSARÁ A SER CHAMADA DE BOLÍVAR DIGITAL. DESDE 2008 ATÉ AGORA O GOVERNO BOLIVARIANO IMPLEMENTOU TRÊS CONVERSÕES MONETÁRIAS E AO TODO O BOLÍVAR JÁ PERDEU 14 ZEROS.</t>
        </is>
      </c>
      <c r="J512" t="inlineStr"/>
      <c r="K512" t="n">
        <v>0</v>
      </c>
      <c r="L512" t="n">
        <v>1</v>
      </c>
      <c r="M512" t="n">
        <v>0</v>
      </c>
      <c r="N512" t="n">
        <v>0</v>
      </c>
      <c r="O512" t="n">
        <v>5</v>
      </c>
      <c r="P512">
        <f>HYPERLINK("https://g1.globo.com/economia/noticia/2021/08/09/venezuelanos-correm-para-gastar-dinheiro-antes-do-corte-de-seis-zeros-na-moeda-nacional.ghtml", "URL")</f>
        <v/>
      </c>
      <c r="Q512">
        <f>HYPERLINK("https://raw.githubusercontent.com/marcosmapl/dataset_imigrantes/main/materias_filtered/g1/venezuelanos/2021/07_ago/html/g1_739892b8-2328-11ed-b24f-6dbe51e79fca_4079.html", "HTML")</f>
        <v/>
      </c>
      <c r="R512">
        <f>HYPERLINK("https://raw.githubusercontent.com/marcosmapl/dataset_imigrantes/main/materias_filtered/g1/venezuelanos/2021/07_ago/txt/g1_739892b8-2328-11ed-b24f-6dbe51e79fca_4079.txt", "TXT")</f>
        <v/>
      </c>
    </row>
    <row r="513">
      <c r="A513" s="1" t="n">
        <v>511</v>
      </c>
      <c r="B513" t="n">
        <v>2021</v>
      </c>
      <c r="C513" s="2" t="n">
        <v>44416.56897628473</v>
      </c>
      <c r="D513" t="inlineStr">
        <is>
          <t>G1</t>
        </is>
      </c>
      <c r="E513" t="inlineStr">
        <is>
          <t>HAITIANOS</t>
        </is>
      </c>
      <c r="F513" t="inlineStr">
        <is>
          <t>ACRE</t>
        </is>
      </c>
      <c r="G513" t="inlineStr">
        <is>
          <t>G1 AC — RIO BRANCO</t>
        </is>
      </c>
      <c r="H513" t="inlineStr">
        <is>
          <t>VOCÊ VIU? HAITIANO OBRIGADO A SE JOGAR DE PONTE FICA PARAPLÉGICO, HOMEM QUE MORA ISOLADO NA FLORESTA E MAIS NOTÍCIAS</t>
        </is>
      </c>
      <c r="I513" t="inlineStr">
        <is>
          <t>VEJA AS NOTÍCIAS MAIS ACESSADAS NO G1 ACRE NO PERÍODO DE 1 A 7 DE AGOSTO.</t>
        </is>
      </c>
      <c r="J513" t="inlineStr"/>
      <c r="K513" t="n">
        <v>0</v>
      </c>
      <c r="L513" t="n">
        <v>3</v>
      </c>
      <c r="M513" t="n">
        <v>1</v>
      </c>
      <c r="N513" t="n">
        <v>0</v>
      </c>
      <c r="O513" t="n">
        <v>30</v>
      </c>
      <c r="P513">
        <f>HYPERLINK("https://g1.globo.com/ac/acre/noticia/2021/08/08/voce-viu-haitiano-obrigado-a-se-jogar-de-ponte-fica-paraplegico-homem-que-mora-isolado-na-floresta-e-mais-noticias.ghtml", "URL")</f>
        <v/>
      </c>
      <c r="Q513">
        <f>HYPERLINK("https://raw.githubusercontent.com/marcosmapl/dataset_imigrantes/main/materias_filtered/g1/haitianos/2021/07_ago/html/g1_b5f2d918-22f9-11ed-b24f-6dbe51e79fca_2180.html", "HTML")</f>
        <v/>
      </c>
      <c r="R513">
        <f>HYPERLINK("https://raw.githubusercontent.com/marcosmapl/dataset_imigrantes/main/materias_filtered/g1/haitianos/2021/07_ago/txt/g1_b5f2d918-22f9-11ed-b24f-6dbe51e79fca_2180.txt", "TXT")</f>
        <v/>
      </c>
    </row>
    <row r="514">
      <c r="A514" s="1" t="n">
        <v>512</v>
      </c>
      <c r="B514" t="n">
        <v>2021</v>
      </c>
      <c r="C514" s="2" t="n">
        <v>44416.54554681713</v>
      </c>
      <c r="D514" t="inlineStr">
        <is>
          <t>G1</t>
        </is>
      </c>
      <c r="E514" t="inlineStr">
        <is>
          <t>HAITIANOS</t>
        </is>
      </c>
      <c r="F514" t="inlineStr">
        <is>
          <t>SUL DO RIO E COSTA VERDE</t>
        </is>
      </c>
      <c r="G514" t="inlineStr">
        <is>
          <t>RENAN TOLENTINO</t>
        </is>
      </c>
      <c r="H514" t="inlineStr">
        <is>
          <t>REFUGIADO NO BRASIL, HAITIANO CELEBRA O PRIMEIRO DIA DOS PAIS APÓS NASCIMENTO DO FILHO: 'ELE É UM MILAGRE'</t>
        </is>
      </c>
      <c r="I514" t="inlineStr">
        <is>
          <t>BADIO STANLEY CHEGOU AO PAÍS EM 2016, RECRUTADO POR PROJETO EM RESENDE QUE DÁ OPORTUNIDADES ATRAVÉS DO FUTEBOL. CINCO ANOS DEPOIS, ELE FORMOU UMA FAMÍLIA E VIROU PAPAI DE PRIMEIRA VIAGEM.</t>
        </is>
      </c>
      <c r="J514" t="inlineStr"/>
      <c r="K514" t="n">
        <v>0</v>
      </c>
      <c r="L514" t="n">
        <v>2</v>
      </c>
      <c r="M514" t="n">
        <v>0</v>
      </c>
      <c r="N514" t="n">
        <v>0</v>
      </c>
      <c r="O514" t="n">
        <v>6</v>
      </c>
      <c r="P514">
        <f>HYPERLINK("https://g1.globo.com/rj/sul-do-rio-costa-verde/noticia/2021/08/08/refugiado-no-brasil-haitiano-celebra-o-primeiro-dia-dos-pais-apos-nascimento-do-filho-ele-e-um-milagre.ghtml", "URL")</f>
        <v/>
      </c>
      <c r="Q514">
        <f>HYPERLINK("https://raw.githubusercontent.com/marcosmapl/dataset_imigrantes/main/materias_filtered/g1/haitianos/2021/07_ago/html/g1_9da47d5c-22f5-11ed-b24f-6dbe51e79fca_1962.html", "HTML")</f>
        <v/>
      </c>
      <c r="R514">
        <f>HYPERLINK("https://raw.githubusercontent.com/marcosmapl/dataset_imigrantes/main/materias_filtered/g1/haitianos/2021/07_ago/txt/g1_9da47d5c-22f5-11ed-b24f-6dbe51e79fca_1962.txt", "TXT")</f>
        <v/>
      </c>
    </row>
    <row r="515">
      <c r="A515" s="1" t="n">
        <v>513</v>
      </c>
      <c r="B515" t="n">
        <v>2021</v>
      </c>
      <c r="C515" s="2" t="n">
        <v>44414.65073589121</v>
      </c>
      <c r="D515" t="inlineStr">
        <is>
          <t>G1</t>
        </is>
      </c>
      <c r="E515" t="inlineStr">
        <is>
          <t>HAITIANOS</t>
        </is>
      </c>
      <c r="F515" t="inlineStr">
        <is>
          <t>ACRE</t>
        </is>
      </c>
      <c r="G515" t="inlineStr">
        <is>
          <t>ALCINETE GADELHA, G1 AC — RIO BRANCO</t>
        </is>
      </c>
      <c r="H515" t="inlineStr">
        <is>
          <t>HAITIANO OBRIGADO A SE JOGAR DE PONTE NO ACRE FICA PARAPLÉGICO E AGUARDA ALTA PARA REENCONTRAR FAMÍLIA</t>
        </is>
      </c>
      <c r="I515" t="inlineStr">
        <is>
          <t>JACQUENUE BOSQUET, DE 36 ANOS, PASSOU POR UMA CIRURGIA NO DIA 30 DE JULHO NO PRONTO-SOCORRO DE RIO BRANCO, MAS PERDEU OS MOVIMENTOS DA PERNA.</t>
        </is>
      </c>
      <c r="J515" t="inlineStr"/>
      <c r="K515" t="n">
        <v>0</v>
      </c>
      <c r="L515" t="n">
        <v>3</v>
      </c>
      <c r="M515" t="n">
        <v>2</v>
      </c>
      <c r="N515" t="n">
        <v>0</v>
      </c>
      <c r="O515" t="n">
        <v>9</v>
      </c>
      <c r="P515">
        <f>HYPERLINK("https://g1.globo.com/ac/acre/noticia/2021/08/06/haitiano-obrigado-a-se-jogar-de-ponte-no-acre-fica-paraplegico-e-aguarda-alta-para-reencontrar-familia.ghtml", "URL")</f>
        <v/>
      </c>
      <c r="Q515">
        <f>HYPERLINK("https://raw.githubusercontent.com/marcosmapl/dataset_imigrantes/main/materias_filtered/g1/haitianos/2021/07_ago/html/g1_1e269f54-22ed-11ed-b24f-6dbe51e79fca_1679.html", "HTML")</f>
        <v/>
      </c>
      <c r="R515">
        <f>HYPERLINK("https://raw.githubusercontent.com/marcosmapl/dataset_imigrantes/main/materias_filtered/g1/haitianos/2021/07_ago/txt/g1_1e269f54-22ed-11ed-b24f-6dbe51e79fca_1679.txt", "TXT")</f>
        <v/>
      </c>
    </row>
    <row r="516">
      <c r="A516" s="1" t="n">
        <v>514</v>
      </c>
      <c r="B516" t="n">
        <v>2021</v>
      </c>
      <c r="C516" s="2" t="n">
        <v>44414.60972222222</v>
      </c>
      <c r="D516" t="inlineStr">
        <is>
          <t>PORTAL AMAZONIA</t>
        </is>
      </c>
      <c r="E516" t="inlineStr">
        <is>
          <t>VENEZUELANOS</t>
        </is>
      </c>
      <c r="F516" t="inlineStr">
        <is>
          <t>SOCIEDADE 5.0</t>
        </is>
      </c>
      <c r="G516" t="inlineStr">
        <is>
          <t>VITOR KURAHAYASHI - CONTATO@HAYASHICONSULTORIA.COM.BR</t>
        </is>
      </c>
      <c r="H516" t="inlineStr">
        <is>
          <t>ANTIFRAGILIDADE, UM IMPORTANTE DETALHE DAS OLIMPÍADAS QUE NUNCA TE CONTARAM</t>
        </is>
      </c>
      <c r="I516" t="inlineStr">
        <is>
          <t>QUANDO O SUCESSO OU O DESEJO DESENFREADO PELO MESMO SE TORNA A SUA PRINCIPAL FORÇA MOTRIZ, VOCÊ TEM MUITO MAIS A PERDER DO QUE A GANHAR.</t>
        </is>
      </c>
      <c r="J516" t="inlineStr">
        <is>
          <t>SOCIEDADE 5.0</t>
        </is>
      </c>
      <c r="K516" t="n">
        <v>1</v>
      </c>
      <c r="L516" t="n">
        <v>1</v>
      </c>
      <c r="M516" t="n">
        <v>0</v>
      </c>
      <c r="N516" t="n">
        <v>0</v>
      </c>
      <c r="O516" t="n">
        <v>5</v>
      </c>
      <c r="P516">
        <f>HYPERLINK("https://portalamazonia.com/colunistas/mundo-corporativo/sociedade-5-0/antifragilidade-um-importante-detalhe-das-olimpiadas-que-nunca-te-contaram", "URL")</f>
        <v/>
      </c>
      <c r="Q516">
        <f>HYPERLINK("https://raw.githubusercontent.com/marcosmapl/dataset_imigrantes/main/materias_filtered/portal_amazonia/venezuelanos/2021/07_ago/html/33466.79727_1401.html", "HTML")</f>
        <v/>
      </c>
      <c r="R516">
        <f>HYPERLINK("https://raw.githubusercontent.com/marcosmapl/dataset_imigrantes/main/materias_filtered/portal_amazonia/venezuelanos/2021/07_ago/txt/33466.79727_1401.txt", "TXT")</f>
        <v/>
      </c>
    </row>
    <row r="517">
      <c r="A517" s="1" t="n">
        <v>515</v>
      </c>
      <c r="B517" t="n">
        <v>2021</v>
      </c>
      <c r="C517" s="2" t="n">
        <v>44414.60250028935</v>
      </c>
      <c r="D517" t="inlineStr">
        <is>
          <t>G1</t>
        </is>
      </c>
      <c r="E517" t="inlineStr">
        <is>
          <t>VENEZUELANOS</t>
        </is>
      </c>
      <c r="F517" t="inlineStr">
        <is>
          <t>TOCANTINS</t>
        </is>
      </c>
      <c r="G517" t="inlineStr">
        <is>
          <t>G1 TOCANTINS</t>
        </is>
      </c>
      <c r="H517" t="inlineStr">
        <is>
          <t>VENEZUELANOS ABRIGADOS EM ARAGUAÍNA RECEBEM IDENTIFICAÇÃO DE REFUGIADOS E PODEM EMITIR CARTEIRA DE TRABALHO</t>
        </is>
      </c>
      <c r="I517" t="inlineStr">
        <is>
          <t>GRUPO AINDA ESTÁ VIVENDO DE FORMA IMPROVISADA, MAS TEM ESPERANÇA DE DIAS MELHORES COM A EMISSÃO DE DOCUMENTOS.</t>
        </is>
      </c>
      <c r="J517" t="inlineStr"/>
      <c r="K517" t="n">
        <v>0</v>
      </c>
      <c r="L517" t="n">
        <v>2</v>
      </c>
      <c r="M517" t="n">
        <v>1</v>
      </c>
      <c r="N517" t="n">
        <v>0</v>
      </c>
      <c r="O517" t="n">
        <v>3</v>
      </c>
      <c r="P517">
        <f>HYPERLINK("https://g1.globo.com/to/tocantins/noticia/2021/08/06/venezuelanos-abrigados-em-araguaina-recebem-identificacao-de-refugiados-e-podem-emitir-carteira-de-trabalho.ghtml", "URL")</f>
        <v/>
      </c>
      <c r="Q517">
        <f>HYPERLINK("https://raw.githubusercontent.com/marcosmapl/dataset_imigrantes/main/materias_filtered/g1/venezuelanos/2021/07_ago/html/g1_6c4d3c5a-2316-11ed-b24f-6dbe51e79fca_3146.html", "HTML")</f>
        <v/>
      </c>
      <c r="R517">
        <f>HYPERLINK("https://raw.githubusercontent.com/marcosmapl/dataset_imigrantes/main/materias_filtered/g1/venezuelanos/2021/07_ago/txt/g1_6c4d3c5a-2316-11ed-b24f-6dbe51e79fca_3146.txt", "TXT")</f>
        <v/>
      </c>
    </row>
    <row r="518">
      <c r="A518" s="1" t="n">
        <v>516</v>
      </c>
      <c r="B518" t="n">
        <v>2021</v>
      </c>
      <c r="C518" s="2" t="n">
        <v>44413.59958728009</v>
      </c>
      <c r="D518" t="inlineStr">
        <is>
          <t>G1</t>
        </is>
      </c>
      <c r="E518" t="inlineStr">
        <is>
          <t>VENEZUELANOS</t>
        </is>
      </c>
      <c r="F518" t="inlineStr">
        <is>
          <t>RORAIMA</t>
        </is>
      </c>
      <c r="G518" t="inlineStr">
        <is>
          <t>G1 RR — BOA VISTA</t>
        </is>
      </c>
      <c r="H518" t="inlineStr">
        <is>
          <t>VENEZUELANO É ENCONTRADO MORTO E ENROLADO EM COLCHÃO EM ÁREA DE MATA NA ZONA SUL DE BOA VISTA</t>
        </is>
      </c>
      <c r="I518" t="inlineStr">
        <is>
          <t>CORPO DE SERGIO RAFAEL FARIAS RAMOS, DE 23 ANOS, FOI ENCONTRADO POR VOLTA DAS 16H20 DESSA QUARTA-FEIRA (4) EM ÁREA ONDE É CONSTRUÍDO ABRIGO.</t>
        </is>
      </c>
      <c r="J518" t="inlineStr"/>
      <c r="K518" t="n">
        <v>0</v>
      </c>
      <c r="L518" t="n">
        <v>1</v>
      </c>
      <c r="M518" t="n">
        <v>0</v>
      </c>
      <c r="N518" t="n">
        <v>0</v>
      </c>
      <c r="O518" t="n">
        <v>0</v>
      </c>
      <c r="P518">
        <f>HYPERLINK("https://g1.globo.com/rr/roraima/noticia/2021/08/05/homem-e-encontrado-morto-e-enrolado-em-colchao-em-area-de-mata-na-zona-sul-de-boa-vista.ghtml", "URL")</f>
        <v/>
      </c>
      <c r="Q518">
        <f>HYPERLINK("https://raw.githubusercontent.com/marcosmapl/dataset_imigrantes/main/materias_filtered/g1/venezuelanos/2021/07_ago/html/g1_880cf38a-2321-11ed-b24f-6dbe51e79fca_3706.html", "HTML")</f>
        <v/>
      </c>
      <c r="R518">
        <f>HYPERLINK("https://raw.githubusercontent.com/marcosmapl/dataset_imigrantes/main/materias_filtered/g1/venezuelanos/2021/07_ago/txt/g1_880cf38a-2321-11ed-b24f-6dbe51e79fca_3706.txt", "TXT")</f>
        <v/>
      </c>
    </row>
    <row r="519">
      <c r="A519" s="1" t="n">
        <v>517</v>
      </c>
      <c r="B519" t="n">
        <v>2021</v>
      </c>
      <c r="C519" s="2" t="n">
        <v>44413.41718013889</v>
      </c>
      <c r="D519" t="inlineStr">
        <is>
          <t>G1</t>
        </is>
      </c>
      <c r="E519" t="inlineStr">
        <is>
          <t>VENEZUELANOS</t>
        </is>
      </c>
      <c r="F519" t="inlineStr">
        <is>
          <t>RORAIMA</t>
        </is>
      </c>
      <c r="G519" t="inlineStr">
        <is>
          <t>G1 RR — BOA VISTA</t>
        </is>
      </c>
      <c r="H519" t="inlineStr">
        <is>
          <t>MIGRANTES VENEZUELANOS SÃO VACINADOS CONTRA A COVID-19 EM RORAIMA</t>
        </is>
      </c>
      <c r="I519" t="inlineStr">
        <is>
          <t>OPERAÇÃO ACOLHIDA DEVE VACINAR MAIS DE 2 MIL VENEZUELANOS QUE VIVEM EM ABRIGOS.</t>
        </is>
      </c>
      <c r="J519" t="inlineStr"/>
      <c r="K519" t="n">
        <v>0</v>
      </c>
      <c r="L519" t="n">
        <v>2</v>
      </c>
      <c r="M519" t="n">
        <v>0</v>
      </c>
      <c r="N519" t="n">
        <v>0</v>
      </c>
      <c r="O519" t="n">
        <v>5</v>
      </c>
      <c r="P519">
        <f>HYPERLINK("https://g1.globo.com/rr/roraima/noticia/2021/08/05/migrantes-venezuelanos-sao-vacinados-contra-a-covid-19-em-roraima.ghtml", "URL")</f>
        <v/>
      </c>
      <c r="Q519">
        <f>HYPERLINK("https://raw.githubusercontent.com/marcosmapl/dataset_imigrantes/main/materias_filtered/g1/venezuelanos/2021/07_ago/html/g1_a0ddcb46-2321-11ed-b24f-6dbe51e79fca_3711.html", "HTML")</f>
        <v/>
      </c>
      <c r="R519">
        <f>HYPERLINK("https://raw.githubusercontent.com/marcosmapl/dataset_imigrantes/main/materias_filtered/g1/venezuelanos/2021/07_ago/txt/g1_a0ddcb46-2321-11ed-b24f-6dbe51e79fca_3711.txt", "TXT")</f>
        <v/>
      </c>
    </row>
    <row r="520">
      <c r="A520" s="1" t="n">
        <v>518</v>
      </c>
      <c r="B520" t="n">
        <v>2021</v>
      </c>
      <c r="C520" s="2" t="n">
        <v>44411.54760766204</v>
      </c>
      <c r="D520" t="inlineStr">
        <is>
          <t>G1</t>
        </is>
      </c>
      <c r="E520" t="inlineStr">
        <is>
          <t>HAITIANOS</t>
        </is>
      </c>
      <c r="F520" t="inlineStr">
        <is>
          <t>MUNDO</t>
        </is>
      </c>
      <c r="G520" t="inlineStr">
        <is>
          <t>G1</t>
        </is>
      </c>
      <c r="H520" t="inlineStr">
        <is>
          <t>HAITI: JUIZ E OFICIAIS DE JUSTIÇA AFIRMAM QUE INVESTIGAÇÃO DE ASSASSINATO DE PRESIDENTE TEM IRREGULARIDADES E HÁ PRESSÃO PARA MUDAR TESTEMUNHOS</t>
        </is>
      </c>
      <c r="I520" t="inlineStr">
        <is>
          <t>A POLÍCIA TIROU CORPOS DE LUGAR E LEVOU PARTE DO MATERIAL QUE PODERIA SERVIR COMO EVIDÊNCIA NO LOCAL. ALÉM DISSO, IMPEDIU A PRESENÇA DO JUIZ E DOS OFICIAIS NA CENA. ELES ESTÃO SENDO AMEAÇADOS DE MORTE.</t>
        </is>
      </c>
      <c r="J520" t="inlineStr"/>
      <c r="K520" t="n">
        <v>0</v>
      </c>
      <c r="L520" t="n">
        <v>3</v>
      </c>
      <c r="M520" t="n">
        <v>2</v>
      </c>
      <c r="N520" t="n">
        <v>0</v>
      </c>
      <c r="O520" t="n">
        <v>7</v>
      </c>
      <c r="P520">
        <f>HYPERLINK("https://g1.globo.com/mundo/noticia/2021/08/03/haiti-juiz-e-oficiais-de-justica-afirmam-que-investigacao-tem-irregularidades-e-ha-pressao-para-mudar-testemunhos.ghtml", "URL")</f>
        <v/>
      </c>
      <c r="Q520">
        <f>HYPERLINK("https://raw.githubusercontent.com/marcosmapl/dataset_imigrantes/main/materias_filtered/g1/haitianos/2021/07_ago/html/g1_b6c12966-2309-11ed-b24f-6dbe51e79fca_2458.html", "HTML")</f>
        <v/>
      </c>
      <c r="R520">
        <f>HYPERLINK("https://raw.githubusercontent.com/marcosmapl/dataset_imigrantes/main/materias_filtered/g1/haitianos/2021/07_ago/txt/g1_b6c12966-2309-11ed-b24f-6dbe51e79fca_2458.txt", "TXT")</f>
        <v/>
      </c>
    </row>
    <row r="521">
      <c r="A521" s="1" t="n">
        <v>519</v>
      </c>
      <c r="B521" t="n">
        <v>2021</v>
      </c>
      <c r="C521" s="2" t="n">
        <v>44410.83959770833</v>
      </c>
      <c r="D521" t="inlineStr">
        <is>
          <t>G1</t>
        </is>
      </c>
      <c r="E521" t="inlineStr">
        <is>
          <t>VENEZUELANOS</t>
        </is>
      </c>
      <c r="F521" t="inlineStr">
        <is>
          <t>RORAIMA</t>
        </is>
      </c>
      <c r="G521" t="inlineStr">
        <is>
          <t>G1 RR — BOA VISTA</t>
        </is>
      </c>
      <c r="H521" t="inlineStr">
        <is>
          <t>CORPO DE VENEZUELANO É ENCONTRADO ESQUARTEJADO EM TERRENO BALDIO EM BOA VISTA</t>
        </is>
      </c>
      <c r="I521" t="inlineStr">
        <is>
          <t>HOMEM FOI IDENTIFICADO COMO EMILIANO JOSE DIAZ QUEJADA, DE 28 ANOS. BRAÇOS, PERNAS E CABEÇA DA VÍTIMA ESTAVAM EM SACO SEPARADO, INFORMOU A POLÍCIA CIVIL.</t>
        </is>
      </c>
      <c r="J521" t="inlineStr"/>
      <c r="K521" t="n">
        <v>0</v>
      </c>
      <c r="L521" t="n">
        <v>1</v>
      </c>
      <c r="M521" t="n">
        <v>0</v>
      </c>
      <c r="N521" t="n">
        <v>0</v>
      </c>
      <c r="O521" t="n">
        <v>0</v>
      </c>
      <c r="P521">
        <f>HYPERLINK("https://g1.globo.com/rr/roraima/noticia/2021/08/02/corpo-de-venezuelano-e-encontrado-esquartejado-em-terreno-baldio-em-boa-vista.ghtml", "URL")</f>
        <v/>
      </c>
      <c r="Q521">
        <f>HYPERLINK("https://raw.githubusercontent.com/marcosmapl/dataset_imigrantes/main/materias_filtered/g1/venezuelanos/2021/07_ago/html/g1_b75deb64-231f-11ed-b24f-6dbe51e79fca_3640.html", "HTML")</f>
        <v/>
      </c>
      <c r="R521">
        <f>HYPERLINK("https://raw.githubusercontent.com/marcosmapl/dataset_imigrantes/main/materias_filtered/g1/venezuelanos/2021/07_ago/txt/g1_b75deb64-231f-11ed-b24f-6dbe51e79fca_3640.txt", "TXT")</f>
        <v/>
      </c>
    </row>
    <row r="522">
      <c r="A522" s="1" t="n">
        <v>520</v>
      </c>
      <c r="B522" t="n">
        <v>2021</v>
      </c>
      <c r="C522" s="2" t="n">
        <v>44410.47389215278</v>
      </c>
      <c r="D522" t="inlineStr">
        <is>
          <t>G1</t>
        </is>
      </c>
      <c r="E522" t="inlineStr">
        <is>
          <t>VENEZUELANOS</t>
        </is>
      </c>
      <c r="F522" t="inlineStr">
        <is>
          <t>AMAZONAS</t>
        </is>
      </c>
      <c r="G522" t="inlineStr">
        <is>
          <t>PATRICK MARQUES, G1 AM</t>
        </is>
      </c>
      <c r="H522" t="inlineStr">
        <is>
          <t>BANCO DE DADOS REÚNE MAIS DE 600 CURRÍCULOS DE VENEZUELANOS PARA VAGAS DE EMPREGO EM MANAUS</t>
        </is>
      </c>
      <c r="I522" t="inlineStr">
        <is>
          <t>AÇÕES DE EMPREGABILIDADE JÁ POSSIBILITARAM, NESTE ANO, QUE 245 REFUGIADOS FOSSEM INSERIDOS NO MERCADO DE TRABALHO.</t>
        </is>
      </c>
      <c r="J522" t="inlineStr"/>
      <c r="K522" t="n">
        <v>0</v>
      </c>
      <c r="L522" t="n">
        <v>2</v>
      </c>
      <c r="M522" t="n">
        <v>1</v>
      </c>
      <c r="N522" t="n">
        <v>0</v>
      </c>
      <c r="O522" t="n">
        <v>2</v>
      </c>
      <c r="P522">
        <f>HYPERLINK("https://g1.globo.com/am/amazonas/noticia/2021/08/02/banco-de-dados-reune-mais-de-600-curriculos-de-venezuelanos-para-vagas-de-emprego-em-manaus.ghtml", "URL")</f>
        <v/>
      </c>
      <c r="Q522">
        <f>HYPERLINK("https://raw.githubusercontent.com/marcosmapl/dataset_imigrantes/main/materias_filtered/g1/venezuelanos/2021/07_ago/html/g1_732acae2-230c-11ed-b24f-6dbe51e79fca_2625.html", "HTML")</f>
        <v/>
      </c>
      <c r="R522">
        <f>HYPERLINK("https://raw.githubusercontent.com/marcosmapl/dataset_imigrantes/main/materias_filtered/g1/venezuelanos/2021/07_ago/txt/g1_732acae2-230c-11ed-b24f-6dbe51e79fca_2625.txt", "TXT")</f>
        <v/>
      </c>
    </row>
    <row r="523">
      <c r="A523" s="1" t="n">
        <v>521</v>
      </c>
      <c r="B523" t="n">
        <v>2021</v>
      </c>
      <c r="C523" s="2" t="n">
        <v>44409.82700167824</v>
      </c>
      <c r="D523" t="inlineStr">
        <is>
          <t>G1</t>
        </is>
      </c>
      <c r="E523" t="inlineStr">
        <is>
          <t>VENEZUELANOS</t>
        </is>
      </c>
      <c r="F523" t="inlineStr">
        <is>
          <t>RORAIMA</t>
        </is>
      </c>
      <c r="G523" t="inlineStr">
        <is>
          <t>G1 RR — BOA VISTA</t>
        </is>
      </c>
      <c r="H523" t="inlineStr">
        <is>
          <t>VOCÊ VIU? VENEZUELANOS TENTAM REGULARIZAÇÃO, DESVIO DE VACINAS NA TERRA YANOMAMI E MAIS EM RR</t>
        </is>
      </c>
      <c r="I523" t="inlineStr">
        <is>
          <t>VEJA AS NOTÍCIAS MAIS LIDAS NO G1 RORAIMA NO PERÍODO DE 25 A 31 DE JULHO.</t>
        </is>
      </c>
      <c r="J523" t="inlineStr"/>
      <c r="K523" t="n">
        <v>0</v>
      </c>
      <c r="L523" t="n">
        <v>3</v>
      </c>
      <c r="M523" t="n">
        <v>0</v>
      </c>
      <c r="N523" t="n">
        <v>0</v>
      </c>
      <c r="O523" t="n">
        <v>14</v>
      </c>
      <c r="P523">
        <f>HYPERLINK("https://g1.globo.com/rr/roraima/noticia/2021/08/01/voce-viu-venezuelanos-tentam-regularizacao-desvio-de-vacinas-na-terra-yanomami-e-mais-em-rr.ghtml", "URL")</f>
        <v/>
      </c>
      <c r="Q523">
        <f>HYPERLINK("https://raw.githubusercontent.com/marcosmapl/dataset_imigrantes/main/materias_filtered/g1/venezuelanos/2021/07_ago/html/g1_f94f2948-231f-11ed-b24f-6dbe51e79fca_3655.html", "HTML")</f>
        <v/>
      </c>
      <c r="R523">
        <f>HYPERLINK("https://raw.githubusercontent.com/marcosmapl/dataset_imigrantes/main/materias_filtered/g1/venezuelanos/2021/07_ago/txt/g1_f94f2948-231f-11ed-b24f-6dbe51e79fca_3655.txt", "TXT")</f>
        <v/>
      </c>
    </row>
    <row r="524">
      <c r="A524" s="1" t="n">
        <v>522</v>
      </c>
      <c r="B524" t="n">
        <v>2021</v>
      </c>
      <c r="C524" s="2" t="n">
        <v>44409.41713586805</v>
      </c>
      <c r="D524" t="inlineStr">
        <is>
          <t>G1</t>
        </is>
      </c>
      <c r="E524" t="inlineStr">
        <is>
          <t>HAITIANOS</t>
        </is>
      </c>
      <c r="F524" t="inlineStr">
        <is>
          <t>ACRE</t>
        </is>
      </c>
      <c r="G524" t="inlineStr">
        <is>
          <t>G1 AC — RIO BRANCO</t>
        </is>
      </c>
      <c r="H524" t="inlineStr">
        <is>
          <t>VOCÊ VIU? HAITIANO CAI DE PONTE, BEBÊ NASCE COM 'OSSOS DE VIDRO', VACINAÇÃO ADOLESCENTES, FRIAGEM E MAIS</t>
        </is>
      </c>
      <c r="I524" t="inlineStr">
        <is>
          <t>VEJA AS NOTÍCIAS MAIS ACESSADAS DO G1 ACRE NA SEMANA DE 25 A 31 DE JULHO.</t>
        </is>
      </c>
      <c r="J524" t="inlineStr"/>
      <c r="K524" t="n">
        <v>0</v>
      </c>
      <c r="L524" t="n">
        <v>5</v>
      </c>
      <c r="M524" t="n">
        <v>3</v>
      </c>
      <c r="N524" t="n">
        <v>0</v>
      </c>
      <c r="O524" t="n">
        <v>29</v>
      </c>
      <c r="P524">
        <f>HYPERLINK("https://g1.globo.com/ac/acre/noticia/2021/08/01/voce-viu-haitiano-cai-de-ponte-bebe-nasce-com-ossos-de-vidro-vacinacao-adolescentes-friagem-e-mais.ghtml", "URL")</f>
        <v/>
      </c>
      <c r="Q524">
        <f>HYPERLINK("https://raw.githubusercontent.com/marcosmapl/dataset_imigrantes/main/materias_filtered/g1/haitianos/2021/07_ago/html/g1_af1d7b04-22f7-11ed-b24f-6dbe51e79fca_2090.html", "HTML")</f>
        <v/>
      </c>
      <c r="R524">
        <f>HYPERLINK("https://raw.githubusercontent.com/marcosmapl/dataset_imigrantes/main/materias_filtered/g1/haitianos/2021/07_ago/txt/g1_af1d7b04-22f7-11ed-b24f-6dbe51e79fca_2090.txt", "TXT")</f>
        <v/>
      </c>
    </row>
    <row r="525">
      <c r="A525" s="1" t="n">
        <v>523</v>
      </c>
      <c r="B525" t="n">
        <v>2021</v>
      </c>
      <c r="C525" s="2" t="n">
        <v>44407.58451388889</v>
      </c>
      <c r="D525" t="inlineStr">
        <is>
          <t>A CRITICA</t>
        </is>
      </c>
      <c r="E525" t="inlineStr">
        <is>
          <t>VENEZUELANOS</t>
        </is>
      </c>
      <c r="F525" t="inlineStr"/>
      <c r="G525" t="inlineStr">
        <is>
          <t>PORTAL A CRÍTICA</t>
        </is>
      </c>
      <c r="H525" t="inlineStr">
        <is>
          <t>UNICEF E ALDEIAS INFANTIS SOS PROMOVEM EMISSÃO DE CERTIDÃO DE NASCIMENTO PARA FILHOS DE REFUGIADOS E MIGRANTES</t>
        </is>
      </c>
      <c r="I525" t="inlineStr">
        <is>
          <t>O MUTIRÃO OCORRE, NESTE SÁBADO (31/07), PARA CRIANÇAS NASCIDAS NO BRASIL COM PAIS OU RESPONSÁVEIS EM SITUAÇÃO DE REFÚGIO OU MIGRAÇÃO</t>
        </is>
      </c>
      <c r="J525" t="inlineStr"/>
      <c r="K525" t="n">
        <v>0</v>
      </c>
      <c r="L525" t="n">
        <v>0</v>
      </c>
      <c r="M525" t="n">
        <v>0</v>
      </c>
      <c r="N525" t="n">
        <v>0</v>
      </c>
      <c r="O525" t="n">
        <v>0</v>
      </c>
      <c r="P525">
        <f>HYPERLINK("https://www.acritica.com/unicef-e-aldeias-infantis-sos-promovem-emiss-o-de-certid-o-de-nascimento-para-filhos-de-refugiados-e-migrantes-1.12563", "URL")</f>
        <v/>
      </c>
      <c r="Q525">
        <f>HYPERLINK("https://raw.githubusercontent.com/marcosmapl/dataset_imigrantes/main/materias_filtered/a_critica/venezuelanos/2021/06_jul/html/1.12563_1045.html", "HTML")</f>
        <v/>
      </c>
      <c r="R525">
        <f>HYPERLINK("https://raw.githubusercontent.com/marcosmapl/dataset_imigrantes/main/materias_filtered/a_critica/venezuelanos/2021/06_jul/txt/1.12563_1045.txt", "TXT")</f>
        <v/>
      </c>
    </row>
    <row r="526">
      <c r="A526" s="1" t="n">
        <v>524</v>
      </c>
      <c r="B526" t="n">
        <v>2021</v>
      </c>
      <c r="C526" s="2" t="n">
        <v>44404.75087518519</v>
      </c>
      <c r="D526" t="inlineStr">
        <is>
          <t>G1</t>
        </is>
      </c>
      <c r="E526" t="inlineStr">
        <is>
          <t>HAITIANOS</t>
        </is>
      </c>
      <c r="F526" t="inlineStr">
        <is>
          <t>ACRE</t>
        </is>
      </c>
      <c r="G526" t="inlineStr">
        <is>
          <t>IRYÁ RODRIGUES, G1 AC — RIO BRANCO</t>
        </is>
      </c>
      <c r="H526" t="inlineStr">
        <is>
          <t>HAITIANO QUE SE JOGOU DE PONTE NA FRONTEIRA DO PERU COM O AC SEGUE SEM MOVIMENTO DAS PERNAS EM HOSPITAL, DIZ DIREÇÃO</t>
        </is>
      </c>
      <c r="I526" t="inlineStr">
        <is>
          <t>DIREÇÃO DO PRONTO SOCORRO DE RIO BRANCO INFORMOU QUE ELE TEVE FRATURA DA SEGUNDA VÉRTEBRA LOMBAR E ESTÁ SENDO AVALIADO POR NEUROLOGISTA. HOMEM TENTAVA SEGUIR VIAGEM PELO PERU ATÉ O CHILE E DISSE QUE FOI PRESSIONADO POR POLICIAIS PERUANOS A PULAR.</t>
        </is>
      </c>
      <c r="J526" t="inlineStr"/>
      <c r="K526" t="n">
        <v>0</v>
      </c>
      <c r="L526" t="n">
        <v>3</v>
      </c>
      <c r="M526" t="n">
        <v>2</v>
      </c>
      <c r="N526" t="n">
        <v>0</v>
      </c>
      <c r="O526" t="n">
        <v>8</v>
      </c>
      <c r="P526">
        <f>HYPERLINK("https://g1.globo.com/ac/acre/noticia/2021/07/27/haitiano-que-se-jogou-de-ponte-na-fronteira-do-peru-com-o-ac-segue-sem-movimento-das-pernas-em-hospital-diz-direcao.ghtml", "URL")</f>
        <v/>
      </c>
      <c r="Q526">
        <f>HYPERLINK("https://raw.githubusercontent.com/marcosmapl/dataset_imigrantes/main/materias_filtered/g1/haitianos/2021/06_jul/html/g1_db345f12-22f9-11ed-b24f-6dbe51e79fca_2188.html", "HTML")</f>
        <v/>
      </c>
      <c r="R526">
        <f>HYPERLINK("https://raw.githubusercontent.com/marcosmapl/dataset_imigrantes/main/materias_filtered/g1/haitianos/2021/06_jul/txt/g1_db345f12-22f9-11ed-b24f-6dbe51e79fca_2188.txt", "TXT")</f>
        <v/>
      </c>
    </row>
    <row r="527">
      <c r="A527" s="1" t="n">
        <v>525</v>
      </c>
      <c r="B527" t="n">
        <v>2021</v>
      </c>
      <c r="C527" s="2" t="n">
        <v>44404.45746737268</v>
      </c>
      <c r="D527" t="inlineStr">
        <is>
          <t>G1</t>
        </is>
      </c>
      <c r="E527" t="inlineStr">
        <is>
          <t>HAITIANOS</t>
        </is>
      </c>
      <c r="F527" t="inlineStr">
        <is>
          <t>MUNDO</t>
        </is>
      </c>
      <c r="G527" t="inlineStr">
        <is>
          <t>G1</t>
        </is>
      </c>
      <c r="H527" t="inlineStr">
        <is>
          <t>COORDENADOR DE SEGURANÇA DO PRESIDENTE ASSASSINADO É PRESO NO HAITI</t>
        </is>
      </c>
      <c r="I527" t="inlineStr">
        <is>
          <t>O PRESIDENTE JOVENEL MOISE FOI ASSASSINADO EM SUA CASA NO COMEÇO DESTE MÊS.</t>
        </is>
      </c>
      <c r="J527" t="inlineStr"/>
      <c r="K527" t="n">
        <v>0</v>
      </c>
      <c r="L527" t="n">
        <v>3</v>
      </c>
      <c r="M527" t="n">
        <v>0</v>
      </c>
      <c r="N527" t="n">
        <v>0</v>
      </c>
      <c r="O527" t="n">
        <v>6</v>
      </c>
      <c r="P527">
        <f>HYPERLINK("https://g1.globo.com/mundo/noticia/2021/07/27/coordenador-de-seguranca-do-presidente-assassinado-e-preso-no-haiti.ghtml", "URL")</f>
        <v/>
      </c>
      <c r="Q527">
        <f>HYPERLINK("https://raw.githubusercontent.com/marcosmapl/dataset_imigrantes/main/materias_filtered/g1/haitianos/2021/06_jul/html/g1_39ad1f34-231d-11ed-b24f-6dbe51e79fca_3490.html", "HTML")</f>
        <v/>
      </c>
      <c r="R527">
        <f>HYPERLINK("https://raw.githubusercontent.com/marcosmapl/dataset_imigrantes/main/materias_filtered/g1/haitianos/2021/06_jul/txt/g1_39ad1f34-231d-11ed-b24f-6dbe51e79fca_3490.txt", "TXT")</f>
        <v/>
      </c>
    </row>
    <row r="528">
      <c r="A528" s="1" t="n">
        <v>526</v>
      </c>
      <c r="B528" t="n">
        <v>2021</v>
      </c>
      <c r="C528" s="2" t="n">
        <v>44403.89613267361</v>
      </c>
      <c r="D528" t="inlineStr">
        <is>
          <t>G1</t>
        </is>
      </c>
      <c r="E528" t="inlineStr">
        <is>
          <t>HAITIANOS</t>
        </is>
      </c>
      <c r="F528" t="inlineStr">
        <is>
          <t>RIO GRANDE DO SUL</t>
        </is>
      </c>
      <c r="G528" t="inlineStr">
        <is>
          <t>GUSTAVO CHAGAS, G1 RS</t>
        </is>
      </c>
      <c r="H528" t="inlineStr">
        <is>
          <t>GRUPO DE 183 HAITIANOS AUTORIZADOS A VIAJAR PARA O BRASIL SEM VISTOS CHEGA A PORTO ALEGRE</t>
        </is>
      </c>
      <c r="I528" t="inlineStr">
        <is>
          <t>PERMISSÃO FOI DADA PELA JUSTIÇA FEDERAL. IMIGRANTES NÃO CONSEGUIAM OBTER O VISTO NA EMBAIXADA DO BRASIL EM PORTO PRÍNCIPE NEM ACESSAR SITE PARA AGENDAR O ATENDIMENTO NA UNIDADE. ELES IRÃO MORAR COM PARENTES EM CIDADES DO RS E DE OUTROS ESTADOS.</t>
        </is>
      </c>
      <c r="J528" t="inlineStr"/>
      <c r="K528" t="n">
        <v>0</v>
      </c>
      <c r="L528" t="n">
        <v>3</v>
      </c>
      <c r="M528" t="n">
        <v>2</v>
      </c>
      <c r="N528" t="n">
        <v>0</v>
      </c>
      <c r="O528" t="n">
        <v>9</v>
      </c>
      <c r="P528">
        <f>HYPERLINK("https://g1.globo.com/rs/rio-grande-do-sul/noticia/2021/07/26/grupo-de-183-haitianos-autorizados-a-viajar-para-o-brasil-sem-vistos-chega-a-porto-alegre.ghtml", "URL")</f>
        <v/>
      </c>
      <c r="Q528">
        <f>HYPERLINK("https://raw.githubusercontent.com/marcosmapl/dataset_imigrantes/main/materias_filtered/g1/haitianos/2021/06_jul/html/g1_64c74e88-22f5-11ed-b24f-6dbe51e79fca_1946.html", "HTML")</f>
        <v/>
      </c>
      <c r="R528">
        <f>HYPERLINK("https://raw.githubusercontent.com/marcosmapl/dataset_imigrantes/main/materias_filtered/g1/haitianos/2021/06_jul/txt/g1_64c74e88-22f5-11ed-b24f-6dbe51e79fca_1946.txt", "TXT")</f>
        <v/>
      </c>
    </row>
    <row r="529">
      <c r="A529" s="1" t="n">
        <v>527</v>
      </c>
      <c r="B529" t="n">
        <v>2021</v>
      </c>
      <c r="C529" s="2" t="n">
        <v>44403.70061342593</v>
      </c>
      <c r="D529" t="inlineStr">
        <is>
          <t>A CRITICA</t>
        </is>
      </c>
      <c r="E529" t="inlineStr">
        <is>
          <t>VENEZUELANOS</t>
        </is>
      </c>
      <c r="F529" t="inlineStr">
        <is>
          <t>POLICIA</t>
        </is>
      </c>
      <c r="G529" t="inlineStr">
        <is>
          <t>LUCAS VASCONCELOS</t>
        </is>
      </c>
      <c r="H529" t="inlineStr">
        <is>
          <t>DISCUSSÃO ENTRE VENEZUELANAS TERMINA EM MORTE NO ALVORADA</t>
        </is>
      </c>
      <c r="I529" t="inlineStr">
        <is>
          <t>A SUSPEITA FOI PRESA EM FLAGRANTE PELO CRIME DE HOMICÍDIO</t>
        </is>
      </c>
      <c r="J529" t="inlineStr"/>
      <c r="K529" t="n">
        <v>0</v>
      </c>
      <c r="L529" t="n">
        <v>1</v>
      </c>
      <c r="M529" t="n">
        <v>0</v>
      </c>
      <c r="N529" t="n">
        <v>0</v>
      </c>
      <c r="O529" t="n">
        <v>0</v>
      </c>
      <c r="P529">
        <f>HYPERLINK("https://www.acritica.com/policia/discuss-o-entre-venezuelanas-termina-em-morte-no-alvorada-1.12820", "URL")</f>
        <v/>
      </c>
      <c r="Q529">
        <f>HYPERLINK("https://raw.githubusercontent.com/marcosmapl/dataset_imigrantes/main/materias_filtered/a_critica/venezuelanos/2021/06_jul/html/1.12820_1150.html", "HTML")</f>
        <v/>
      </c>
      <c r="R529">
        <f>HYPERLINK("https://raw.githubusercontent.com/marcosmapl/dataset_imigrantes/main/materias_filtered/a_critica/venezuelanos/2021/06_jul/txt/1.12820_1150.txt", "TXT")</f>
        <v/>
      </c>
    </row>
    <row r="530">
      <c r="A530" s="1" t="n">
        <v>528</v>
      </c>
      <c r="B530" t="n">
        <v>2021</v>
      </c>
      <c r="C530" s="2" t="n">
        <v>44403.56530609954</v>
      </c>
      <c r="D530" t="inlineStr">
        <is>
          <t>G1</t>
        </is>
      </c>
      <c r="E530" t="inlineStr">
        <is>
          <t>HAITIANOS</t>
        </is>
      </c>
      <c r="F530" t="inlineStr">
        <is>
          <t>ACRE</t>
        </is>
      </c>
      <c r="G530" t="inlineStr">
        <is>
          <t>IRYÁ RODRIGUES, G1 AC — RIO BRANCO</t>
        </is>
      </c>
      <c r="H530" t="inlineStr">
        <is>
          <t>HAITIANO É SOCORRIDO APÓS 10 DIAS EM MATA E DIZ QUE FOI OBRIGADO A SE JOGAR DE PONTE NA FRONTEIRA DO PERU COM O ACRE</t>
        </is>
      </c>
      <c r="I530" t="inlineStr">
        <is>
          <t>HOMEM TENTAVA SEGUIR VIAGEM PELO PERU ATÉ O CHILE. ELE CONTOU À ASSISTÊNCIA SOCIAL DE ASSIS BRASIL QUE FOI LEVADO ATÉ A PONTE POR POLICIAIS PERUANOS QUE O TERIAM PRESSIONADO PARA PULAR. RESGATE FOI FEITO NESSE SÁBADO (24) POR BOMBEIROS.</t>
        </is>
      </c>
      <c r="J530" t="inlineStr"/>
      <c r="K530" t="n">
        <v>0</v>
      </c>
      <c r="L530" t="n">
        <v>3</v>
      </c>
      <c r="M530" t="n">
        <v>2</v>
      </c>
      <c r="N530" t="n">
        <v>0</v>
      </c>
      <c r="O530" t="n">
        <v>7</v>
      </c>
      <c r="P530">
        <f>HYPERLINK("https://g1.globo.com/ac/acre/noticia/2021/07/26/haitiano-e-socorrido-apos-10-dias-em-mata-e-diz-que-foi-obrigado-a-se-jogar-de-ponte-na-fronteira-do-ac-com-o-peru.ghtml", "URL")</f>
        <v/>
      </c>
      <c r="Q530">
        <f>HYPERLINK("https://raw.githubusercontent.com/marcosmapl/dataset_imigrantes/main/materias_filtered/g1/haitianos/2021/06_jul/html/g1_aea2341e-22f5-11ed-b24f-6dbe51e79fca_1966.html", "HTML")</f>
        <v/>
      </c>
      <c r="R530">
        <f>HYPERLINK("https://raw.githubusercontent.com/marcosmapl/dataset_imigrantes/main/materias_filtered/g1/haitianos/2021/06_jul/txt/g1_aea2341e-22f5-11ed-b24f-6dbe51e79fca_1966.txt", "TXT")</f>
        <v/>
      </c>
    </row>
    <row r="531">
      <c r="A531" s="1" t="n">
        <v>529</v>
      </c>
      <c r="B531" t="n">
        <v>2021</v>
      </c>
      <c r="C531" s="2" t="n">
        <v>44403.49858703704</v>
      </c>
      <c r="D531" t="inlineStr">
        <is>
          <t>G1</t>
        </is>
      </c>
      <c r="E531" t="inlineStr">
        <is>
          <t>VENEZUELANOS</t>
        </is>
      </c>
      <c r="F531" t="inlineStr">
        <is>
          <t>AMAZONAS</t>
        </is>
      </c>
      <c r="G531" t="inlineStr">
        <is>
          <t>MATHEUS CASTRO, G1 AM</t>
        </is>
      </c>
      <c r="H531" t="inlineStr">
        <is>
          <t>VENEZUELANA MORRE APÓS SER ESFAQUEADA POR VIZINHA EM MANAUS</t>
        </is>
      </c>
      <c r="I531" t="inlineStr">
        <is>
          <t>AS DUAS MORAVAM EM QUITINETES, NO BAIRRO ALVORADA. FAMILIARES TENTARAM SOCORRER A VÍTIMA, MAS ELA NÃO RESISTIU.</t>
        </is>
      </c>
      <c r="J531" t="inlineStr"/>
      <c r="K531" t="n">
        <v>0</v>
      </c>
      <c r="L531" t="n">
        <v>3</v>
      </c>
      <c r="M531" t="n">
        <v>0</v>
      </c>
      <c r="N531" t="n">
        <v>0</v>
      </c>
      <c r="O531" t="n">
        <v>1</v>
      </c>
      <c r="P531">
        <f>HYPERLINK("https://g1.globo.com/am/amazonas/noticia/2021/07/26/venezuelana-morre-apos-ser-esfaqueada-por-vizinha-em-manaus.ghtml", "URL")</f>
        <v/>
      </c>
      <c r="Q531">
        <f>HYPERLINK("https://raw.githubusercontent.com/marcosmapl/dataset_imigrantes/main/materias_filtered/g1/venezuelanos/2021/06_jul/html/g1_d2398700-2323-11ed-b24f-6dbe51e79fca_3830.html", "HTML")</f>
        <v/>
      </c>
      <c r="R531">
        <f>HYPERLINK("https://raw.githubusercontent.com/marcosmapl/dataset_imigrantes/main/materias_filtered/g1/venezuelanos/2021/06_jul/txt/g1_d2398700-2323-11ed-b24f-6dbe51e79fca_3830.txt", "TXT")</f>
        <v/>
      </c>
    </row>
    <row r="532">
      <c r="A532" s="1" t="n">
        <v>530</v>
      </c>
      <c r="B532" t="n">
        <v>2021</v>
      </c>
      <c r="C532" s="2" t="n">
        <v>44403.00034666667</v>
      </c>
      <c r="D532" t="inlineStr">
        <is>
          <t>G1</t>
        </is>
      </c>
      <c r="E532" t="inlineStr">
        <is>
          <t>VENEZUELANOS</t>
        </is>
      </c>
      <c r="F532" t="inlineStr">
        <is>
          <t>RORAIMA</t>
        </is>
      </c>
      <c r="G532" t="inlineStr">
        <is>
          <t>CAÍQUE RODRIGUES, G1 RR — BOA VISTA</t>
        </is>
      </c>
      <c r="H532" t="inlineStr">
        <is>
          <t>VENEZUELANOS PASSAM NOITE NAS RUAS E ENFRENTAM LONGAS FILAS POR REGULARIZAÇÃO NO BRASIL; FOTOS</t>
        </is>
      </c>
      <c r="I532" t="inlineStr">
        <is>
          <t>HÁ UM MÊS, O GOVERNO FEDERAL FLEXIBILIZOU A ENTRADA DA FRONTEIRA ENTRE O BRASIL E A VENEZUELA NA CIDADE DE PACARAINA, EM RORAIMA. VENEZUELANOS CHEGANDO AO PAÍS POR ROTAS CLANDESTINAS OU OFICIAIS.</t>
        </is>
      </c>
      <c r="J532" t="inlineStr"/>
      <c r="K532" t="n">
        <v>0</v>
      </c>
      <c r="L532" t="n">
        <v>3</v>
      </c>
      <c r="M532" t="n">
        <v>0</v>
      </c>
      <c r="N532" t="n">
        <v>0</v>
      </c>
      <c r="O532" t="n">
        <v>0</v>
      </c>
      <c r="P532">
        <f>HYPERLINK("https://g1.globo.com/rr/roraima/noticia/2021/07/25/venezuelanos-passam-noite-nas-ruas-e-enfrentam-longas-filas-por-regularizacao-no-brasil-fotos.ghtml", "URL")</f>
        <v/>
      </c>
      <c r="Q532">
        <f>HYPERLINK("https://raw.githubusercontent.com/marcosmapl/dataset_imigrantes/main/materias_filtered/g1/venezuelanos/2021/06_jul/html/g1_2e17d23a-231e-11ed-b24f-6dbe51e79fca_3546.html", "HTML")</f>
        <v/>
      </c>
      <c r="R532">
        <f>HYPERLINK("https://raw.githubusercontent.com/marcosmapl/dataset_imigrantes/main/materias_filtered/g1/venezuelanos/2021/06_jul/txt/g1_2e17d23a-231e-11ed-b24f-6dbe51e79fca_3546.txt", "TXT")</f>
        <v/>
      </c>
    </row>
    <row r="533">
      <c r="A533" s="1" t="n">
        <v>531</v>
      </c>
      <c r="B533" t="n">
        <v>2021</v>
      </c>
      <c r="C533" s="2" t="n">
        <v>44402.97404328704</v>
      </c>
      <c r="D533" t="inlineStr">
        <is>
          <t>G1</t>
        </is>
      </c>
      <c r="E533" t="inlineStr">
        <is>
          <t>VENEZUELANOS</t>
        </is>
      </c>
      <c r="F533" t="inlineStr">
        <is>
          <t>RORAIMA</t>
        </is>
      </c>
      <c r="G533" t="inlineStr">
        <is>
          <t>CAÍQUE RODRIGUES, G1 RR — BOA VISTA</t>
        </is>
      </c>
      <c r="H533" t="inlineStr">
        <is>
          <t>VENEZUELANOS PASSAM NOITE NAS RUAS E ENFRENTAM LONGAS FILAS POR REGULARIZAÇÃO NO BRASIL</t>
        </is>
      </c>
      <c r="I533" t="inlineStr">
        <is>
          <t>HÁ UM MÊS, O GOVERNO FEDERAL FLEXIBILIZOU A ENTRADA DA FRONTEIRA ENTRE O BRASIL E A VENEZUELA NA CIDADE DE PACARAINA, EM RORAIMA. O FOCO É ATENDER OS IMIGRANTES VENEZUELANOS EM MAIOR SITUAÇÃO DE VULNERABILIDADE, QUE CONTINUAM A CHEGAR TANTO PELAS FRONTEIRAS OFICIAIS QUANTO POR ROTAS CLANDESTINAS.</t>
        </is>
      </c>
      <c r="J533" t="inlineStr"/>
      <c r="K533" t="n">
        <v>0</v>
      </c>
      <c r="L533" t="n">
        <v>2</v>
      </c>
      <c r="M533" t="n">
        <v>1</v>
      </c>
      <c r="N533" t="n">
        <v>0</v>
      </c>
      <c r="O533" t="n">
        <v>12</v>
      </c>
      <c r="P533">
        <f>HYPERLINK("https://g1.globo.com/rr/roraima/noticia/2021/07/25/venezuelanos-passam-noite-nas-ruas-e-enfrentam-longas-filas-por-regularizacao-no-brasil-desastroso.ghtml", "URL")</f>
        <v/>
      </c>
      <c r="Q533">
        <f>HYPERLINK("https://raw.githubusercontent.com/marcosmapl/dataset_imigrantes/main/materias_filtered/g1/venezuelanos/2021/06_jul/html/g1_4bf73c2a-2326-11ed-b24f-6dbe51e79fca_3967.html", "HTML")</f>
        <v/>
      </c>
      <c r="R533">
        <f>HYPERLINK("https://raw.githubusercontent.com/marcosmapl/dataset_imigrantes/main/materias_filtered/g1/venezuelanos/2021/06_jul/txt/g1_4bf73c2a-2326-11ed-b24f-6dbe51e79fca_3967.txt", "TXT")</f>
        <v/>
      </c>
    </row>
    <row r="534">
      <c r="A534" s="1" t="n">
        <v>532</v>
      </c>
      <c r="B534" t="n">
        <v>2021</v>
      </c>
      <c r="C534" s="2" t="n">
        <v>44400.97605362268</v>
      </c>
      <c r="D534" t="inlineStr">
        <is>
          <t>G1</t>
        </is>
      </c>
      <c r="E534" t="inlineStr">
        <is>
          <t>VENEZUELANOS</t>
        </is>
      </c>
      <c r="F534" t="inlineStr">
        <is>
          <t>AMAPÁ</t>
        </is>
      </c>
      <c r="G534" t="inlineStr">
        <is>
          <t>NÚBIA PACHECO, G1 AP — MACAPÁ</t>
        </is>
      </c>
      <c r="H534" t="inlineStr">
        <is>
          <t>PROCURADO POR TRÁFICO DE DROGAS É PRESO COM CRACK E DINHEIRO VENEZUELANO NO SUL DO AMAPÁ</t>
        </is>
      </c>
      <c r="I534" t="inlineStr">
        <is>
          <t>FLAGRANTE OCORREU EM VITÓRIA DO JARI. INVESTIGADO SERÁ ENCAMINHADO PRA O IAPEN.</t>
        </is>
      </c>
      <c r="J534" t="inlineStr"/>
      <c r="K534" t="n">
        <v>0</v>
      </c>
      <c r="L534" t="n">
        <v>4</v>
      </c>
      <c r="M534" t="n">
        <v>0</v>
      </c>
      <c r="N534" t="n">
        <v>0</v>
      </c>
      <c r="O534" t="n">
        <v>4</v>
      </c>
      <c r="P534">
        <f>HYPERLINK("https://g1.globo.com/ap/amapa/noticia/2021/07/23/procurado-por-trafico-de-drogas-e-preso-com-crack-e-dinheiro-venezuelano-no-sul-do-amapa.ghtml", "URL")</f>
        <v/>
      </c>
      <c r="Q534">
        <f>HYPERLINK("https://raw.githubusercontent.com/marcosmapl/dataset_imigrantes/main/materias_filtered/g1/venezuelanos/2021/06_jul/html/g1_cd6cd8fe-232c-11ed-b24f-6dbe51e79fca_4326.html", "HTML")</f>
        <v/>
      </c>
      <c r="R534">
        <f>HYPERLINK("https://raw.githubusercontent.com/marcosmapl/dataset_imigrantes/main/materias_filtered/g1/venezuelanos/2021/06_jul/txt/g1_cd6cd8fe-232c-11ed-b24f-6dbe51e79fca_4326.txt", "TXT")</f>
        <v/>
      </c>
    </row>
    <row r="535">
      <c r="A535" s="1" t="n">
        <v>533</v>
      </c>
      <c r="B535" t="n">
        <v>2021</v>
      </c>
      <c r="C535" s="2" t="n">
        <v>44399.99513888889</v>
      </c>
      <c r="D535" t="inlineStr">
        <is>
          <t>A CRITICA</t>
        </is>
      </c>
      <c r="E535" t="inlineStr">
        <is>
          <t>VENEZUELANOS</t>
        </is>
      </c>
      <c r="F535" t="inlineStr"/>
      <c r="G535" t="inlineStr">
        <is>
          <t>PORTAL A CRÍTICA</t>
        </is>
      </c>
      <c r="H535" t="inlineStr">
        <is>
          <t>SEJUSC INICIA CAMPANHA CORAÇÃO AZUL COM EXIBIÇÃO DE DOCUMENTÁRIO SOBRE O TRÁFICO DE PESSOAS</t>
        </is>
      </c>
      <c r="I535" t="inlineStr">
        <is>
          <t>PROGRAMAÇÃO ENCERRA NO DIA 30 DE JULHO, COM ILUMINAÇÃO DO TEATRO AMAZONAS</t>
        </is>
      </c>
      <c r="J535" t="inlineStr"/>
      <c r="K535" t="n">
        <v>0</v>
      </c>
      <c r="L535" t="n">
        <v>1</v>
      </c>
      <c r="M535" t="n">
        <v>0</v>
      </c>
      <c r="N535" t="n">
        <v>0</v>
      </c>
      <c r="O535" t="n">
        <v>0</v>
      </c>
      <c r="P535">
        <f>HYPERLINK("https://www.acritica.com/sejusc-inicia-campanha-corac-o-azul-com-exibic-o-de-documentario-sobre-o-trafico-de-pessoas-1.12962", "URL")</f>
        <v/>
      </c>
      <c r="Q535">
        <f>HYPERLINK("https://raw.githubusercontent.com/marcosmapl/dataset_imigrantes/main/materias_filtered/a_critica/venezuelanos/2021/06_jul/html/1.12962_1153.html", "HTML")</f>
        <v/>
      </c>
      <c r="R535">
        <f>HYPERLINK("https://raw.githubusercontent.com/marcosmapl/dataset_imigrantes/main/materias_filtered/a_critica/venezuelanos/2021/06_jul/txt/1.12962_1153.txt", "TXT")</f>
        <v/>
      </c>
    </row>
    <row r="536">
      <c r="A536" s="1" t="n">
        <v>534</v>
      </c>
      <c r="B536" t="n">
        <v>2021</v>
      </c>
      <c r="C536" s="2" t="n">
        <v>44398.88390405093</v>
      </c>
      <c r="D536" t="inlineStr">
        <is>
          <t>G1</t>
        </is>
      </c>
      <c r="E536" t="inlineStr">
        <is>
          <t>HAITIANOS</t>
        </is>
      </c>
      <c r="F536" t="inlineStr">
        <is>
          <t>RORAIMA</t>
        </is>
      </c>
      <c r="G536" t="inlineStr">
        <is>
          <t>G1 RR — BOA VISTA</t>
        </is>
      </c>
      <c r="H536" t="inlineStr">
        <is>
          <t>HOMEM É PRESO APÓS RECEBER EM DÓLAR PARA TRANSPORTAR ATÉ BOA VISTA HAITIANOS QUE CHEGARAM NO BRASIL PELA GUIANA</t>
        </is>
      </c>
      <c r="I536" t="inlineStr">
        <is>
          <t>POLÍCIA RODOVIÁRIA FEDERAL ABORDOU CARRO NA BR-401.</t>
        </is>
      </c>
      <c r="J536" t="inlineStr"/>
      <c r="K536" t="n">
        <v>0</v>
      </c>
      <c r="L536" t="n">
        <v>1</v>
      </c>
      <c r="M536" t="n">
        <v>0</v>
      </c>
      <c r="N536" t="n">
        <v>0</v>
      </c>
      <c r="O536" t="n">
        <v>1</v>
      </c>
      <c r="P536">
        <f>HYPERLINK("https://g1.globo.com/rr/roraima/noticia/2021/07/21/homem-e-preso-apos-receber-em-dolar-para-transportar-ate-boa-vista-haitianos-que-chegaram-no-brasil-pela-guiana.ghtml", "URL")</f>
        <v/>
      </c>
      <c r="Q536">
        <f>HYPERLINK("https://raw.githubusercontent.com/marcosmapl/dataset_imigrantes/main/materias_filtered/g1/haitianos/2021/06_jul/html/g1_6beb18d2-22f7-11ed-b24f-6dbe51e79fca_2078.html", "HTML")</f>
        <v/>
      </c>
      <c r="R536">
        <f>HYPERLINK("https://raw.githubusercontent.com/marcosmapl/dataset_imigrantes/main/materias_filtered/g1/haitianos/2021/06_jul/txt/g1_6beb18d2-22f7-11ed-b24f-6dbe51e79fca_2078.txt", "TXT")</f>
        <v/>
      </c>
    </row>
    <row r="537">
      <c r="A537" s="1" t="n">
        <v>535</v>
      </c>
      <c r="B537" t="n">
        <v>2021</v>
      </c>
      <c r="C537" s="2" t="n">
        <v>44397.76842090278</v>
      </c>
      <c r="D537" t="inlineStr">
        <is>
          <t>G1</t>
        </is>
      </c>
      <c r="E537" t="inlineStr">
        <is>
          <t>HAITIANOS</t>
        </is>
      </c>
      <c r="F537" t="inlineStr">
        <is>
          <t>MUNDO</t>
        </is>
      </c>
      <c r="G537" t="inlineStr">
        <is>
          <t>FRANCE PRESSE</t>
        </is>
      </c>
      <c r="H537" t="inlineStr">
        <is>
          <t>NOVO PREMIÊ DO HAITI PEDE POR 'UNIDADE NACIONAL' AO ASSUMIR GOVERNO APÓS MORTE DO PRESIDENTE</t>
        </is>
      </c>
      <c r="I537" t="inlineStr">
        <is>
          <t>ARIEL HENRY SUBSTITUI O INTERINO CLAUDE JOSEPH, QUE ANUNCIOU SUA SAÍDA NA VÉSPERA. POLÍTICO DE 71 ANOS HAVIA SIDO INDICADO PARA O CARGO PELO PRESIDENTE JOVENEL MOÏSE DIAS ANTES DE SEU ASSASSINATO.</t>
        </is>
      </c>
      <c r="J537" t="inlineStr"/>
      <c r="K537" t="n">
        <v>0</v>
      </c>
      <c r="L537" t="n">
        <v>2</v>
      </c>
      <c r="M537" t="n">
        <v>1</v>
      </c>
      <c r="N537" t="n">
        <v>0</v>
      </c>
      <c r="O537" t="n">
        <v>8</v>
      </c>
      <c r="P537">
        <f>HYPERLINK("https://g1.globo.com/mundo/noticia/2021/07/20/novo-premie-do-haiti-pede-por-unidade-nacional-ao-assumir-governo-apos-morte-do-presidente.ghtml", "URL")</f>
        <v/>
      </c>
      <c r="Q537">
        <f>HYPERLINK("https://raw.githubusercontent.com/marcosmapl/dataset_imigrantes/main/materias_filtered/g1/haitianos/2021/06_jul/html/g1_d78fdbba-2313-11ed-b24f-6dbe51e79fca_3029.html", "HTML")</f>
        <v/>
      </c>
      <c r="R537">
        <f>HYPERLINK("https://raw.githubusercontent.com/marcosmapl/dataset_imigrantes/main/materias_filtered/g1/haitianos/2021/06_jul/txt/g1_d78fdbba-2313-11ed-b24f-6dbe51e79fca_3029.txt", "TXT")</f>
        <v/>
      </c>
    </row>
    <row r="538">
      <c r="A538" s="1" t="n">
        <v>536</v>
      </c>
      <c r="B538" t="n">
        <v>2021</v>
      </c>
      <c r="C538" s="2" t="n">
        <v>44396.78915216435</v>
      </c>
      <c r="D538" t="inlineStr">
        <is>
          <t>G1</t>
        </is>
      </c>
      <c r="E538" t="inlineStr">
        <is>
          <t>VENEZUELANOS</t>
        </is>
      </c>
      <c r="F538" t="inlineStr">
        <is>
          <t>RORAIMA</t>
        </is>
      </c>
      <c r="G538" t="inlineStr">
        <is>
          <t>G1 RR — BOA VISTA</t>
        </is>
      </c>
      <c r="H538" t="inlineStr">
        <is>
          <t>POLÍCIA FAZ BUSCAS POR MENINA DE 5 ANOS QUE DESAPARECEU ENQUANTO ESTAVA COM AVÓ EM HOSPITAL DE RR</t>
        </is>
      </c>
      <c r="I538" t="inlineStr">
        <is>
          <t>A SUSPEITA É QUE A MENINA VENEZUELANA KARLESKA KATYSKA ANDRINNIS DIAZ MARINEZ FOI LEVADA DO HGR POR UM AMIGO DA FAMÍLIA, SEGUNDO A POLÍCIA CIVIL. CASO ACONTECEU NESTE DOMINGO (18).</t>
        </is>
      </c>
      <c r="J538" t="inlineStr"/>
      <c r="K538" t="n">
        <v>0</v>
      </c>
      <c r="L538" t="n">
        <v>1</v>
      </c>
      <c r="M538" t="n">
        <v>0</v>
      </c>
      <c r="N538" t="n">
        <v>0</v>
      </c>
      <c r="O538" t="n">
        <v>0</v>
      </c>
      <c r="P538">
        <f>HYPERLINK("https://g1.globo.com/rr/roraima/noticia/2021/07/19/policia-faz-buscas-por-menina-de-5-anos-que-desapareceu-enquanto-estava-com-avo-em-hospital-de-rr.ghtml", "URL")</f>
        <v/>
      </c>
      <c r="Q538">
        <f>HYPERLINK("https://raw.githubusercontent.com/marcosmapl/dataset_imigrantes/main/materias_filtered/g1/venezuelanos/2021/06_jul/html/g1_5cc8ea2a-2322-11ed-b24f-6dbe51e79fca_3748.html", "HTML")</f>
        <v/>
      </c>
      <c r="R538">
        <f>HYPERLINK("https://raw.githubusercontent.com/marcosmapl/dataset_imigrantes/main/materias_filtered/g1/venezuelanos/2021/06_jul/txt/g1_5cc8ea2a-2322-11ed-b24f-6dbe51e79fca_3748.txt", "TXT")</f>
        <v/>
      </c>
    </row>
    <row r="539">
      <c r="A539" s="1" t="n">
        <v>537</v>
      </c>
      <c r="B539" t="n">
        <v>2021</v>
      </c>
      <c r="C539" s="2" t="n">
        <v>44396.63552936343</v>
      </c>
      <c r="D539" t="inlineStr">
        <is>
          <t>G1</t>
        </is>
      </c>
      <c r="E539" t="inlineStr">
        <is>
          <t>HAITIANOS</t>
        </is>
      </c>
      <c r="F539" t="inlineStr">
        <is>
          <t>MUNDO</t>
        </is>
      </c>
      <c r="G539" t="inlineStr">
        <is>
          <t>G1</t>
        </is>
      </c>
      <c r="H539" t="inlineStr">
        <is>
          <t>PREMIÊ INTERINO DO HAITI, CLAUDE JOSEPH, DIZ QUE DEIXARÁ O CARGO</t>
        </is>
      </c>
      <c r="I539" t="inlineStr">
        <is>
          <t>JOSEPH FICOU À FRENTE DO PAÍS APÓS A MORTE DO PRESIDENTE JOVENEL MOÏSE, NO INÍCIO DO MÊS. O CARGO DE PRIMEIRO-MINISTRO DEVERÁ SER OCUPADO POR ARIEL HENRY A PARTIR DE TERÇA-FEIRA (19).</t>
        </is>
      </c>
      <c r="J539" t="inlineStr"/>
      <c r="K539" t="n">
        <v>0</v>
      </c>
      <c r="L539" t="n">
        <v>2</v>
      </c>
      <c r="M539" t="n">
        <v>1</v>
      </c>
      <c r="N539" t="n">
        <v>0</v>
      </c>
      <c r="O539" t="n">
        <v>8</v>
      </c>
      <c r="P539">
        <f>HYPERLINK("https://g1.globo.com/mundo/noticia/2021/07/19/premie-interino-do-haiti-claude-joseph-diz-que-deixara-o-cargo.ghtml", "URL")</f>
        <v/>
      </c>
      <c r="Q539">
        <f>HYPERLINK("https://raw.githubusercontent.com/marcosmapl/dataset_imigrantes/main/materias_filtered/g1/haitianos/2021/06_jul/html/g1_032ee174-2307-11ed-b24f-6dbe51e79fca_2291.html", "HTML")</f>
        <v/>
      </c>
      <c r="R539">
        <f>HYPERLINK("https://raw.githubusercontent.com/marcosmapl/dataset_imigrantes/main/materias_filtered/g1/haitianos/2021/06_jul/txt/g1_032ee174-2307-11ed-b24f-6dbe51e79fca_2291.txt", "TXT")</f>
        <v/>
      </c>
    </row>
    <row r="540">
      <c r="A540" s="1" t="n">
        <v>538</v>
      </c>
      <c r="B540" t="n">
        <v>2021</v>
      </c>
      <c r="C540" s="2" t="n">
        <v>44396.5526200463</v>
      </c>
      <c r="D540" t="inlineStr">
        <is>
          <t>G1</t>
        </is>
      </c>
      <c r="E540" t="inlineStr">
        <is>
          <t>HAITIANOS</t>
        </is>
      </c>
      <c r="F540" t="inlineStr">
        <is>
          <t>SANTA CATARINA</t>
        </is>
      </c>
      <c r="G540" t="inlineStr">
        <is>
          <t>CAROLINE BORGES, G1 SC</t>
        </is>
      </c>
      <c r="H540" t="inlineStr">
        <is>
          <t>POLÍCIA CIVIL INVESTIGA AGRESSÃO A FUNCIONÁRIO HAITIANO DENTRO DE FRIGORÍFICO DE SC</t>
        </is>
      </c>
      <c r="I540" t="inlineStr">
        <is>
          <t>VÍDEO QUE MOSTRA O HOMEM SENDO IMOBILIZADO POR SEGURANÇAS DA EMPRESA DE CHAPECÓ, NO OESTE DE SANTA CATARINA, CIRCULOU NAS REDES SOCIAIS NA ÚLTIMA SEMANA.</t>
        </is>
      </c>
      <c r="J540" t="inlineStr"/>
      <c r="K540" t="n">
        <v>0</v>
      </c>
      <c r="L540" t="n">
        <v>1</v>
      </c>
      <c r="M540" t="n">
        <v>1</v>
      </c>
      <c r="N540" t="n">
        <v>0</v>
      </c>
      <c r="O540" t="n">
        <v>4</v>
      </c>
      <c r="P540">
        <f>HYPERLINK("https://g1.globo.com/sc/santa-catarina/noticia/2021/07/19/policia-civil-investiga-agressao-a-funcionario-haitiano-dentro-de-frigorifico-de-sc.ghtml", "URL")</f>
        <v/>
      </c>
      <c r="Q540">
        <f>HYPERLINK("https://raw.githubusercontent.com/marcosmapl/dataset_imigrantes/main/materias_filtered/g1/haitianos/2021/06_jul/html/g1_560685d0-22f5-11ed-b24f-6dbe51e79fca_1943.html", "HTML")</f>
        <v/>
      </c>
      <c r="R540">
        <f>HYPERLINK("https://raw.githubusercontent.com/marcosmapl/dataset_imigrantes/main/materias_filtered/g1/haitianos/2021/06_jul/txt/g1_560685d0-22f5-11ed-b24f-6dbe51e79fca_1943.txt", "TXT")</f>
        <v/>
      </c>
    </row>
    <row r="541">
      <c r="A541" s="1" t="n">
        <v>539</v>
      </c>
      <c r="B541" t="n">
        <v>2021</v>
      </c>
      <c r="C541" s="2" t="n">
        <v>44394.89553734953</v>
      </c>
      <c r="D541" t="inlineStr">
        <is>
          <t>G1</t>
        </is>
      </c>
      <c r="E541" t="inlineStr">
        <is>
          <t>HAITIANOS</t>
        </is>
      </c>
      <c r="F541" t="inlineStr">
        <is>
          <t>MUNDO</t>
        </is>
      </c>
      <c r="G541" t="inlineStr">
        <is>
          <t>G1</t>
        </is>
      </c>
      <c r="H541" t="inlineStr">
        <is>
          <t>VIÚVA DE PRESIDENTE JOVENEL MOISE RETORNA AO HAITI APÓS SE RECUPERAR EM HOSPITAL NOS EUA</t>
        </is>
      </c>
      <c r="I541" t="inlineStr">
        <is>
          <t>MARTINE MOISE EMITIU UMA DECLARAÇÃO GRAVADA EM CRIOULO ACUSANDO OS INIMIGOS DE SEU MARIDO DE QUERER “MATAR SEU SONHO, SUA VISÃO, SUA IDEOLOGIA”. ELA FICOU FERIDA DURANTE ATAQUE NO QUAL PRESIDENTE FOI MORTO, EM 7 DE JULHO.</t>
        </is>
      </c>
      <c r="J541" t="inlineStr"/>
      <c r="K541" t="n">
        <v>0</v>
      </c>
      <c r="L541" t="n">
        <v>2</v>
      </c>
      <c r="M541" t="n">
        <v>0</v>
      </c>
      <c r="N541" t="n">
        <v>0</v>
      </c>
      <c r="O541" t="n">
        <v>9</v>
      </c>
      <c r="P541">
        <f>HYPERLINK("https://g1.globo.com/mundo/noticia/2021/07/17/viuva-de-presidente-jovenel-moise-retorna-ao-haiti-apos-se-recuperar-em-hospital-nos-eua.ghtml", "URL")</f>
        <v/>
      </c>
      <c r="Q541">
        <f>HYPERLINK("https://raw.githubusercontent.com/marcosmapl/dataset_imigrantes/main/materias_filtered/g1/haitianos/2021/06_jul/html/g1_201008c6-2326-11ed-b24f-6dbe51e79fca_3956.html", "HTML")</f>
        <v/>
      </c>
      <c r="R541">
        <f>HYPERLINK("https://raw.githubusercontent.com/marcosmapl/dataset_imigrantes/main/materias_filtered/g1/haitianos/2021/06_jul/txt/g1_201008c6-2326-11ed-b24f-6dbe51e79fca_3956.txt", "TXT")</f>
        <v/>
      </c>
    </row>
    <row r="542">
      <c r="A542" s="1" t="n">
        <v>540</v>
      </c>
      <c r="B542" t="n">
        <v>2021</v>
      </c>
      <c r="C542" s="2" t="n">
        <v>44394.64315520833</v>
      </c>
      <c r="D542" t="inlineStr">
        <is>
          <t>G1</t>
        </is>
      </c>
      <c r="E542" t="inlineStr">
        <is>
          <t>VENEZUELANOS</t>
        </is>
      </c>
      <c r="F542" t="inlineStr">
        <is>
          <t>SANTARÉM E REGIÃO</t>
        </is>
      </c>
      <c r="G542" t="inlineStr">
        <is>
          <t>G1 SANTARÉM — PA</t>
        </is>
      </c>
      <c r="H542" t="inlineStr">
        <is>
          <t>JOVEM É DETIDO APÓS FURTAR BICICLETA DE VENEZUELANO EM PRAÇA EM SANTARÉM</t>
        </is>
      </c>
      <c r="I542" t="inlineStr">
        <is>
          <t>FURTO TERIA OCORRIDO NA MANHÃ DESTE SÁBADO (17). CASO FOI REGISTRADO NA 16ª SECCIONAL DE POLÍCIA CIVIL.</t>
        </is>
      </c>
      <c r="J542" t="inlineStr"/>
      <c r="K542" t="n">
        <v>0</v>
      </c>
      <c r="L542" t="n">
        <v>4</v>
      </c>
      <c r="M542" t="n">
        <v>0</v>
      </c>
      <c r="N542" t="n">
        <v>0</v>
      </c>
      <c r="O542" t="n">
        <v>1</v>
      </c>
      <c r="P542">
        <f>HYPERLINK("https://g1.globo.com/pa/santarem-regiao/noticia/2021/07/17/jovem-e-detido-apos-furtar-bicicleta-de-venezuelano-em-praca-em-santarem.ghtml", "URL")</f>
        <v/>
      </c>
      <c r="Q542">
        <f>HYPERLINK("https://raw.githubusercontent.com/marcosmapl/dataset_imigrantes/main/materias_filtered/g1/venezuelanos/2021/06_jul/html/g1_73d29c5c-2322-11ed-b24f-6dbe51e79fca_3753.html", "HTML")</f>
        <v/>
      </c>
      <c r="R542">
        <f>HYPERLINK("https://raw.githubusercontent.com/marcosmapl/dataset_imigrantes/main/materias_filtered/g1/venezuelanos/2021/06_jul/txt/g1_73d29c5c-2322-11ed-b24f-6dbe51e79fca_3753.txt", "TXT")</f>
        <v/>
      </c>
    </row>
    <row r="543">
      <c r="A543" s="1" t="n">
        <v>541</v>
      </c>
      <c r="B543" t="n">
        <v>2021</v>
      </c>
      <c r="C543" s="2" t="n">
        <v>44394.62290684028</v>
      </c>
      <c r="D543" t="inlineStr">
        <is>
          <t>G1</t>
        </is>
      </c>
      <c r="E543" t="inlineStr">
        <is>
          <t>AMBOS</t>
        </is>
      </c>
      <c r="F543" t="inlineStr">
        <is>
          <t>MUNDO</t>
        </is>
      </c>
      <c r="G543" t="inlineStr">
        <is>
          <t>BBC</t>
        </is>
      </c>
      <c r="H543" t="inlineStr">
        <is>
          <t>JOVENEL MOÏSE: 4 INCÓGNITAS SOBRE O ASSASSINATO DO PRESIDENTE DO HAITI</t>
        </is>
      </c>
      <c r="I543" t="inlineStr">
        <is>
          <t>MAIS DE UMA SEMANA DEPOIS DO CRIME QUE ABALOU O PAÍS CARIBENHO, HÁ MAIS DÚVIDAS DO QUE CERTEZAS.</t>
        </is>
      </c>
      <c r="J543" t="inlineStr"/>
      <c r="K543" t="n">
        <v>0</v>
      </c>
      <c r="L543" t="n">
        <v>2</v>
      </c>
      <c r="M543" t="n">
        <v>0</v>
      </c>
      <c r="N543" t="n">
        <v>0</v>
      </c>
      <c r="O543" t="n">
        <v>5</v>
      </c>
      <c r="P543">
        <f>HYPERLINK("https://g1.globo.com/mundo/noticia/2021/07/17/jovenel-moise-4-incognitas-sobre-o-assassinato-do-presidente-do-haiti.ghtml", "URL")</f>
        <v/>
      </c>
      <c r="Q543">
        <f>HYPERLINK("https://raw.githubusercontent.com/marcosmapl/dataset_imigrantes/main/materias_filtered/g1/ambos/2021/06_jul/html/g1_a1d74c36-231f-11ed-b24f-6dbe51e79fca_3635.html", "HTML")</f>
        <v/>
      </c>
      <c r="R543">
        <f>HYPERLINK("https://raw.githubusercontent.com/marcosmapl/dataset_imigrantes/main/materias_filtered/g1/ambos/2021/06_jul/txt/g1_a1d74c36-231f-11ed-b24f-6dbe51e79fca_3635.txt", "TXT")</f>
        <v/>
      </c>
    </row>
    <row r="544">
      <c r="A544" s="1" t="n">
        <v>542</v>
      </c>
      <c r="B544" t="n">
        <v>2021</v>
      </c>
      <c r="C544" s="2" t="n">
        <v>44392.90875</v>
      </c>
      <c r="D544" t="inlineStr">
        <is>
          <t>A CRITICA</t>
        </is>
      </c>
      <c r="E544" t="inlineStr">
        <is>
          <t>VENEZUELANOS</t>
        </is>
      </c>
      <c r="F544" t="inlineStr"/>
      <c r="G544" t="inlineStr">
        <is>
          <t>PORTAL A CRÍTICA</t>
        </is>
      </c>
      <c r="H544" t="inlineStr">
        <is>
          <t>MAIS DE 50 IMIGRANTES VENEZUELANOS RECEBEM APOIO FINANCEIRO PARA EMPREENDER NO AM</t>
        </is>
      </c>
      <c r="I544" t="inlineStr">
        <is>
          <t>INICIATIVA É DA ONG VISÃO MUNDIAL QUE DOOU CARTÕES PRÉ-PAGOS COM FOMENTO DE R$ 1.630,00 PARA QUE OS IMIGRANTES POSSAM EMPREENDER EM TERRAS AMAZONENSES</t>
        </is>
      </c>
      <c r="J544" t="inlineStr"/>
      <c r="K544" t="n">
        <v>0</v>
      </c>
      <c r="L544" t="n">
        <v>1</v>
      </c>
      <c r="M544" t="n">
        <v>0</v>
      </c>
      <c r="N544" t="n">
        <v>0</v>
      </c>
      <c r="O544" t="n">
        <v>0</v>
      </c>
      <c r="P544">
        <f>HYPERLINK("https://www.acritica.com/mais-de-50-imigrantes-venezuelanos-recebem-apoio-financeiro-para-empreender-no-am-1.13388", "URL")</f>
        <v/>
      </c>
      <c r="Q544">
        <f>HYPERLINK("https://raw.githubusercontent.com/marcosmapl/dataset_imigrantes/main/materias_filtered/a_critica/venezuelanos/2021/06_jul/html/1.13388_893.html", "HTML")</f>
        <v/>
      </c>
      <c r="R544">
        <f>HYPERLINK("https://raw.githubusercontent.com/marcosmapl/dataset_imigrantes/main/materias_filtered/a_critica/venezuelanos/2021/06_jul/txt/1.13388_893.txt", "TXT")</f>
        <v/>
      </c>
    </row>
    <row r="545">
      <c r="A545" s="1" t="n">
        <v>543</v>
      </c>
      <c r="B545" t="n">
        <v>2021</v>
      </c>
      <c r="C545" s="2" t="n">
        <v>44392.79414782408</v>
      </c>
      <c r="D545" t="inlineStr">
        <is>
          <t>G1</t>
        </is>
      </c>
      <c r="E545" t="inlineStr">
        <is>
          <t>HAITIANOS</t>
        </is>
      </c>
      <c r="F545" t="inlineStr">
        <is>
          <t>MUNDO</t>
        </is>
      </c>
      <c r="G545" t="inlineStr">
        <is>
          <t>G1</t>
        </is>
      </c>
      <c r="H545" t="inlineStr">
        <is>
          <t>HAITI RECEBE DOSES DE VACINA CONTRA A COVID-19 DOADAS DOS EUA; PAÍS É O ÚLTIMO DA AMÉRICA LATINA E CARIBE A INICIAR IMUNIZAÇÃO</t>
        </is>
      </c>
      <c r="I545" t="inlineStr">
        <is>
          <t>INTENÇÃO DA CASA BRANCA É ENVIAR AINDA MAIS DOSES AO PAÍS CARIBENHO, QUE VIVE GRAVE CRISE DESDE A MORTE DO PRESIDENTE JOVENEL MOÏSE.</t>
        </is>
      </c>
      <c r="J545" t="inlineStr"/>
      <c r="K545" t="n">
        <v>0</v>
      </c>
      <c r="L545" t="n">
        <v>3</v>
      </c>
      <c r="M545" t="n">
        <v>1</v>
      </c>
      <c r="N545" t="n">
        <v>0</v>
      </c>
      <c r="O545" t="n">
        <v>4</v>
      </c>
      <c r="P545">
        <f>HYPERLINK("https://g1.globo.com/mundo/noticia/2021/07/15/haiti-recebe-doses-de-vacina-contra-a-covid-19-doadas-dos-eua-pais-e-o-ultimo-da-america-latina-e-caribe-a-iniciar-imunizacao.ghtml", "URL")</f>
        <v/>
      </c>
      <c r="Q545">
        <f>HYPERLINK("https://raw.githubusercontent.com/marcosmapl/dataset_imigrantes/main/materias_filtered/g1/haitianos/2021/06_jul/html/g1_cd37e226-2317-11ed-b24f-6dbe51e79fca_3229.html", "HTML")</f>
        <v/>
      </c>
      <c r="R545">
        <f>HYPERLINK("https://raw.githubusercontent.com/marcosmapl/dataset_imigrantes/main/materias_filtered/g1/haitianos/2021/06_jul/txt/g1_cd37e226-2317-11ed-b24f-6dbe51e79fca_3229.txt", "TXT")</f>
        <v/>
      </c>
    </row>
    <row r="546">
      <c r="A546" s="1" t="n">
        <v>544</v>
      </c>
      <c r="B546" t="n">
        <v>2021</v>
      </c>
      <c r="C546" s="2" t="n">
        <v>44392.70723263889</v>
      </c>
      <c r="D546" t="inlineStr">
        <is>
          <t>G1</t>
        </is>
      </c>
      <c r="E546" t="inlineStr">
        <is>
          <t>HAITIANOS</t>
        </is>
      </c>
      <c r="F546" t="inlineStr">
        <is>
          <t>SÃO PAULO</t>
        </is>
      </c>
      <c r="G546" t="inlineStr">
        <is>
          <t>SP1</t>
        </is>
      </c>
      <c r="H546" t="inlineStr">
        <is>
          <t>AGENTES DA GCM SÃO FLAGRADOS AGREDINDO VENDEDOR AMBULANTE EM RUA MOVIMENTADA DE OSASCO</t>
        </is>
      </c>
      <c r="I546" t="inlineStr">
        <is>
          <t>NAS IMAGENS, OS AGENTES DÃO DIVERSOS GOLPES COM CASSETETE NO RAPAZ, INCLUSIVE NA CABEÇA, E O IMOBILIZAM COM UM GOLPE 'MATA-LEÃO'. SEGUNDO A EQUIPE DA GCM, A CENA REGISTRADA TERIA ACONTECIDO APÓS O HOMEM TENTAR IMPEDIR A APREENSÃO DE SUA MERCADORIA.</t>
        </is>
      </c>
      <c r="J546" t="inlineStr"/>
      <c r="K546" t="n">
        <v>0</v>
      </c>
      <c r="L546" t="n">
        <v>1</v>
      </c>
      <c r="M546" t="n">
        <v>1</v>
      </c>
      <c r="N546" t="n">
        <v>0</v>
      </c>
      <c r="O546" t="n">
        <v>0</v>
      </c>
      <c r="P546">
        <f>HYPERLINK("https://g1.globo.com/sp/sao-paulo/noticia/2021/07/15/agentes-da-gcm-sao-flagrados-agredindo-vendedor-ambulante-em-rua-movimentada-de-osasco.ghtml", "URL")</f>
        <v/>
      </c>
      <c r="Q546">
        <f>HYPERLINK("https://raw.githubusercontent.com/marcosmapl/dataset_imigrantes/main/materias_filtered/g1/haitianos/2021/06_jul/html/g1_97241a88-2308-11ed-b24f-6dbe51e79fca_2393.html", "HTML")</f>
        <v/>
      </c>
      <c r="R546">
        <f>HYPERLINK("https://raw.githubusercontent.com/marcosmapl/dataset_imigrantes/main/materias_filtered/g1/haitianos/2021/06_jul/txt/g1_97241a88-2308-11ed-b24f-6dbe51e79fca_2393.txt", "TXT")</f>
        <v/>
      </c>
    </row>
    <row r="547">
      <c r="A547" s="1" t="n">
        <v>545</v>
      </c>
      <c r="B547" t="n">
        <v>2021</v>
      </c>
      <c r="C547" s="2" t="n">
        <v>44392.60837328704</v>
      </c>
      <c r="D547" t="inlineStr">
        <is>
          <t>G1</t>
        </is>
      </c>
      <c r="E547" t="inlineStr">
        <is>
          <t>AMBOS</t>
        </is>
      </c>
      <c r="F547" t="inlineStr">
        <is>
          <t>MUNDO</t>
        </is>
      </c>
      <c r="G547" t="inlineStr">
        <is>
          <t>G1</t>
        </is>
      </c>
      <c r="H547" t="inlineStr">
        <is>
          <t>CHEFE DA SEGURANÇA DO PRESIDENTE ASSASSINADO DO HAITI É DETIDO</t>
        </is>
      </c>
      <c r="I547" t="inlineStr">
        <is>
          <t>DIMITRI HÉRARD NÃO COMPARECEU AO DEPOIMENTO AO MINISTÉRIO PÚBLICO NA QUARTA. JOVENEL MOISE FOI ASSASSINADO A TIROS EM SUA CASA, EM PORTO PRÍNCIPE, NA MADRUGADA DO DIA 7.</t>
        </is>
      </c>
      <c r="J547" t="inlineStr"/>
      <c r="K547" t="n">
        <v>0</v>
      </c>
      <c r="L547" t="n">
        <v>2</v>
      </c>
      <c r="M547" t="n">
        <v>1</v>
      </c>
      <c r="N547" t="n">
        <v>0</v>
      </c>
      <c r="O547" t="n">
        <v>11</v>
      </c>
      <c r="P547">
        <f>HYPERLINK("https://g1.globo.com/mundo/noticia/2021/07/15/chefe-da-seguranca-do-presidente-assassinado-do-haiti-e-detido.ghtml", "URL")</f>
        <v/>
      </c>
      <c r="Q547">
        <f>HYPERLINK("https://raw.githubusercontent.com/marcosmapl/dataset_imigrantes/main/materias_filtered/g1/ambos/2021/06_jul/html/g1_f94d36b8-2312-11ed-b24f-6dbe51e79fca_2985.html", "HTML")</f>
        <v/>
      </c>
      <c r="R547">
        <f>HYPERLINK("https://raw.githubusercontent.com/marcosmapl/dataset_imigrantes/main/materias_filtered/g1/ambos/2021/06_jul/txt/g1_f94d36b8-2312-11ed-b24f-6dbe51e79fca_2985.txt", "TXT")</f>
        <v/>
      </c>
    </row>
    <row r="548">
      <c r="A548" s="1" t="n">
        <v>546</v>
      </c>
      <c r="B548" t="n">
        <v>2021</v>
      </c>
      <c r="C548" s="2" t="n">
        <v>44391.94989635417</v>
      </c>
      <c r="D548" t="inlineStr">
        <is>
          <t>G1</t>
        </is>
      </c>
      <c r="E548" t="inlineStr">
        <is>
          <t>VENEZUELANOS</t>
        </is>
      </c>
      <c r="F548" t="inlineStr">
        <is>
          <t>RORAIMA</t>
        </is>
      </c>
      <c r="G548" t="inlineStr">
        <is>
          <t>CAÍQUE RODRIGUES, G1 RR</t>
        </is>
      </c>
      <c r="H548" t="inlineStr">
        <is>
          <t>MESMO COM FLEXIBILIZAÇÃO, MAIORIA DOS VENEZUELANOS USA ROTAS ALTERNATIVAS PARA ENTRAR NO BRASIL</t>
        </is>
      </c>
      <c r="I548" t="inlineStr">
        <is>
          <t>A PASSAGEM E REGULARIZAÇÃO DE MIGRANTES EM SITUAÇÃO DE VULNERABILIDADE SOCIAL FOI LIBERADA PELO GOVERNO FEDERAL EM 24 DE JUNHO. NÚMERO DE MIGRANTES EM SITUAÇÃO DE RUA TAMBÉM AUMENTOU, CONFORME A OPERAÇÃO ACOLHIDA.</t>
        </is>
      </c>
      <c r="J548" t="inlineStr"/>
      <c r="K548" t="n">
        <v>0</v>
      </c>
      <c r="L548" t="n">
        <v>2</v>
      </c>
      <c r="M548" t="n">
        <v>1</v>
      </c>
      <c r="N548" t="n">
        <v>0</v>
      </c>
      <c r="O548" t="n">
        <v>5</v>
      </c>
      <c r="P548">
        <f>HYPERLINK("https://g1.globo.com/rr/roraima/noticia/2021/07/14/mesmo-com-flexibilizacao-maioria-dos-venezuelanos-usa-rotas-alternativas-para-entrar-no-brasil.ghtml", "URL")</f>
        <v/>
      </c>
      <c r="Q548">
        <f>HYPERLINK("https://raw.githubusercontent.com/marcosmapl/dataset_imigrantes/main/materias_filtered/g1/venezuelanos/2021/06_jul/html/g1_933a65fc-2313-11ed-b24f-6dbe51e79fca_3015.html", "HTML")</f>
        <v/>
      </c>
      <c r="R548">
        <f>HYPERLINK("https://raw.githubusercontent.com/marcosmapl/dataset_imigrantes/main/materias_filtered/g1/venezuelanos/2021/06_jul/txt/g1_933a65fc-2313-11ed-b24f-6dbe51e79fca_3015.txt", "TXT")</f>
        <v/>
      </c>
    </row>
    <row r="549">
      <c r="A549" s="1" t="n">
        <v>547</v>
      </c>
      <c r="B549" t="n">
        <v>2021</v>
      </c>
      <c r="C549" s="2" t="n">
        <v>44391.89607070602</v>
      </c>
      <c r="D549" t="inlineStr">
        <is>
          <t>G1</t>
        </is>
      </c>
      <c r="E549" t="inlineStr">
        <is>
          <t>HAITIANOS</t>
        </is>
      </c>
      <c r="F549" t="inlineStr">
        <is>
          <t>SANTA CATARINA</t>
        </is>
      </c>
      <c r="G549" t="inlineStr">
        <is>
          <t>G1 SC E NSC TV</t>
        </is>
      </c>
      <c r="H549" t="inlineStr">
        <is>
          <t>VÍDEO MOSTRA DISCUSSÃO SEGUIDA DE AGRESSÃO A FUNCIONÁRIO HAITIANO DE FRIGORÍFICO EM CHAPECÓ</t>
        </is>
      </c>
      <c r="I549" t="inlineStr">
        <is>
          <t>TODOS OS ENVOLVIDOS FORAM AFASTADOS, DE ACORDO COM EMPRESA.</t>
        </is>
      </c>
      <c r="J549" t="inlineStr"/>
      <c r="K549" t="n">
        <v>0</v>
      </c>
      <c r="L549" t="n">
        <v>2</v>
      </c>
      <c r="M549" t="n">
        <v>1</v>
      </c>
      <c r="N549" t="n">
        <v>0</v>
      </c>
      <c r="O549" t="n">
        <v>3</v>
      </c>
      <c r="P549">
        <f>HYPERLINK("https://g1.globo.com/sc/santa-catarina/noticia/2021/07/14/video-mostra-discussao-seguida-de-agressao-a-funcionario-de-frigorifico-em-chapeco.ghtml", "URL")</f>
        <v/>
      </c>
      <c r="Q549">
        <f>HYPERLINK("https://raw.githubusercontent.com/marcosmapl/dataset_imigrantes/main/materias_filtered/g1/haitianos/2021/06_jul/html/g1_3b6585c0-22f8-11ed-b24f-6dbe51e79fca_2123.html", "HTML")</f>
        <v/>
      </c>
      <c r="R549">
        <f>HYPERLINK("https://raw.githubusercontent.com/marcosmapl/dataset_imigrantes/main/materias_filtered/g1/haitianos/2021/06_jul/txt/g1_3b6585c0-22f8-11ed-b24f-6dbe51e79fca_2123.txt", "TXT")</f>
        <v/>
      </c>
    </row>
    <row r="550">
      <c r="A550" s="1" t="n">
        <v>548</v>
      </c>
      <c r="B550" t="n">
        <v>2021</v>
      </c>
      <c r="C550" s="2" t="n">
        <v>44391.85234756945</v>
      </c>
      <c r="D550" t="inlineStr">
        <is>
          <t>G1</t>
        </is>
      </c>
      <c r="E550" t="inlineStr">
        <is>
          <t>HAITIANOS</t>
        </is>
      </c>
      <c r="F550" t="inlineStr">
        <is>
          <t>GOIÁS</t>
        </is>
      </c>
      <c r="G550" t="inlineStr">
        <is>
          <t>JOHNATHAN MOREIRA E GUILHERME RODRIGUES, TV ANHANGUERA E G1 GO</t>
        </is>
      </c>
      <c r="H550" t="inlineStr">
        <is>
          <t>HAITIANA DENUNCIA INJÚRIA RACIAL DE VIZINHOS E QUE PM A GOLPEOU COM 'MATA-LEÃO' APÓS RECLAMAÇÃO DE SOM ALTO EM ANÁPOLIS; VÍDEO</t>
        </is>
      </c>
      <c r="I550" t="inlineStr">
        <is>
          <t>IMAGEM MOSTRA QUANDO POLICIAL CHUTA PORTÃO DA CASA DELA, A GOLPEIA PELO PESCOÇO E A ALGEMA. LOJISTA DIZ QUE VIZINHOS QUE A DENUNCIARAM A CHAMARAM DE 'NEGRA IMUNDA' NA FRENTE DA PM.</t>
        </is>
      </c>
      <c r="J550" t="inlineStr"/>
      <c r="K550" t="n">
        <v>0</v>
      </c>
      <c r="L550" t="n">
        <v>3</v>
      </c>
      <c r="M550" t="n">
        <v>2</v>
      </c>
      <c r="N550" t="n">
        <v>0</v>
      </c>
      <c r="O550" t="n">
        <v>5</v>
      </c>
      <c r="P550">
        <f>HYPERLINK("https://g1.globo.com/go/goias/noticia/2021/07/14/haitiana-denuncia-injuria-racial-de-vizinhos-e-que-pm-a-golpeou-com-mata-leao-apos-reclamacao-de-som-alto-em-anapolis-video.ghtml", "URL")</f>
        <v/>
      </c>
      <c r="Q550">
        <f>HYPERLINK("https://raw.githubusercontent.com/marcosmapl/dataset_imigrantes/main/materias_filtered/g1/haitianos/2021/06_jul/html/g1_73c7318c-2318-11ed-b24f-6dbe51e79fca_3261.html", "HTML")</f>
        <v/>
      </c>
      <c r="R550">
        <f>HYPERLINK("https://raw.githubusercontent.com/marcosmapl/dataset_imigrantes/main/materias_filtered/g1/haitianos/2021/06_jul/txt/g1_73c7318c-2318-11ed-b24f-6dbe51e79fca_3261.txt", "TXT")</f>
        <v/>
      </c>
    </row>
    <row r="551">
      <c r="A551" s="1" t="n">
        <v>549</v>
      </c>
      <c r="B551" t="n">
        <v>2021</v>
      </c>
      <c r="C551" s="2" t="n">
        <v>44391.78753788194</v>
      </c>
      <c r="D551" t="inlineStr">
        <is>
          <t>G1</t>
        </is>
      </c>
      <c r="E551" t="inlineStr">
        <is>
          <t>VENEZUELANOS</t>
        </is>
      </c>
      <c r="F551" t="inlineStr">
        <is>
          <t>RORAIMA</t>
        </is>
      </c>
      <c r="G551" t="inlineStr">
        <is>
          <t>SUZANNE OLIVEIRA, G1 RR — BOA VISTA</t>
        </is>
      </c>
      <c r="H551" t="inlineStr">
        <is>
          <t>MIGRANTES VENEZUELANOS LOTAM RUAS DE PACARAIMA, EM RR, APÓS FLEXIBILIZAÇÃO NA FRONTEIRA; VÍDEO</t>
        </is>
      </c>
      <c r="I551" t="inlineStr">
        <is>
          <t>A PASSAGEM E REGULARIZAÇÃO DE MIGRANTES EM SITUAÇÃO DE VULNERABILIDADE SOCIAL FOI LIBERADA PELO GOVERNO FEDERAL EM 24 DE JUNHO. SEGUNDO A OPERAÇÃO ACOLHIDA, EM 20 DIAS, 7.082 PESSOAS FORAM ATENDIDAS E DOCUMENTADAS NO POSTO DE TRIAGEM.</t>
        </is>
      </c>
      <c r="J551" t="inlineStr"/>
      <c r="K551" t="n">
        <v>0</v>
      </c>
      <c r="L551" t="n">
        <v>2</v>
      </c>
      <c r="M551" t="n">
        <v>1</v>
      </c>
      <c r="N551" t="n">
        <v>0</v>
      </c>
      <c r="O551" t="n">
        <v>5</v>
      </c>
      <c r="P551">
        <f>HYPERLINK("https://g1.globo.com/rr/roraima/noticia/2021/07/14/migrantes-venezuelanos-lotam-ruas-de-pacaraima-em-rr-apos-flexibilizacao-na-fronteira-video.ghtml", "URL")</f>
        <v/>
      </c>
      <c r="Q551">
        <f>HYPERLINK("https://raw.githubusercontent.com/marcosmapl/dataset_imigrantes/main/materias_filtered/g1/venezuelanos/2021/06_jul/html/g1_4453ba64-2319-11ed-b24f-6dbe51e79fca_3306.html", "HTML")</f>
        <v/>
      </c>
      <c r="R551">
        <f>HYPERLINK("https://raw.githubusercontent.com/marcosmapl/dataset_imigrantes/main/materias_filtered/g1/venezuelanos/2021/06_jul/txt/g1_4453ba64-2319-11ed-b24f-6dbe51e79fca_3306.txt", "TXT")</f>
        <v/>
      </c>
    </row>
    <row r="552">
      <c r="A552" s="1" t="n">
        <v>550</v>
      </c>
      <c r="B552" t="n">
        <v>2021</v>
      </c>
      <c r="C552" s="2" t="n">
        <v>44390.83070819444</v>
      </c>
      <c r="D552" t="inlineStr">
        <is>
          <t>G1</t>
        </is>
      </c>
      <c r="E552" t="inlineStr">
        <is>
          <t>VENEZUELANOS</t>
        </is>
      </c>
      <c r="F552" t="inlineStr">
        <is>
          <t>RONDÔNIA</t>
        </is>
      </c>
      <c r="G552" t="inlineStr">
        <is>
          <t>G1 RO</t>
        </is>
      </c>
      <c r="H552" t="inlineStr">
        <is>
          <t>SUSPEITO DE MATAR VENEZUELANO A PAULADAS É PRESO EM OURO PRETO DO OESTE, RO</t>
        </is>
      </c>
      <c r="I552" t="inlineStr">
        <is>
          <t>HOMEM CONFESSOU O CRIME E DISSE TER SIDO ASSALTADO PELA VÍTIMA UM DIA ANTES. PEDAÇO DE MADEIRA UTILIZADO NO HOMICÍDIO FOI LOCALIZADO.</t>
        </is>
      </c>
      <c r="J552" t="inlineStr"/>
      <c r="K552" t="n">
        <v>0</v>
      </c>
      <c r="L552" t="n">
        <v>4</v>
      </c>
      <c r="M552" t="n">
        <v>0</v>
      </c>
      <c r="N552" t="n">
        <v>0</v>
      </c>
      <c r="O552" t="n">
        <v>1</v>
      </c>
      <c r="P552">
        <f>HYPERLINK("https://g1.globo.com/ro/rondonia/noticia/2021/07/13/suspeito-de-matar-venezuelano-a-pauladas-e-preso-em-ouro-preto-do-oeste-ro.ghtml", "URL")</f>
        <v/>
      </c>
      <c r="Q552">
        <f>HYPERLINK("https://raw.githubusercontent.com/marcosmapl/dataset_imigrantes/main/materias_filtered/g1/venezuelanos/2021/06_jul/html/g1_734444a2-232c-11ed-b24f-6dbe51e79fca_4305.html", "HTML")</f>
        <v/>
      </c>
      <c r="R552">
        <f>HYPERLINK("https://raw.githubusercontent.com/marcosmapl/dataset_imigrantes/main/materias_filtered/g1/venezuelanos/2021/06_jul/txt/g1_734444a2-232c-11ed-b24f-6dbe51e79fca_4305.txt", "TXT")</f>
        <v/>
      </c>
    </row>
    <row r="553">
      <c r="A553" s="1" t="n">
        <v>551</v>
      </c>
      <c r="B553" t="n">
        <v>2021</v>
      </c>
      <c r="C553" s="2" t="n">
        <v>44390.49917409723</v>
      </c>
      <c r="D553" t="inlineStr">
        <is>
          <t>G1</t>
        </is>
      </c>
      <c r="E553" t="inlineStr">
        <is>
          <t>HAITIANOS</t>
        </is>
      </c>
      <c r="F553" t="inlineStr">
        <is>
          <t>MUNDO</t>
        </is>
      </c>
      <c r="G553" t="inlineStr">
        <is>
          <t>G1</t>
        </is>
      </c>
      <c r="H553" t="inlineStr">
        <is>
          <t>SUSPEITOS DE ASSASSINATO DE PRESIDENTE DO HAITI TIVERAM RELAÇÃO COM FORÇAS DE SEGURANÇA DOS EUA, DIZ FONTE</t>
        </is>
      </c>
      <c r="I553" t="inlineStr">
        <is>
          <t>DOIS AMERICANOS DE ORIGEM HAITIANA FORAM PRESOS COM OS COMBATENTES COLOMBIANOS QUE SÃO ACUSADOS DE MATAR O PRESIDENTE DO HAITI. SEGUNDO UMA FONTE DO GOVERNO DOS EUA, NO PASSADO, UM DELES TEVE UMA RELAÇÃO COM UMA AGÊNCIA DE SEGURANÇA AMERICANA.</t>
        </is>
      </c>
      <c r="J553" t="inlineStr"/>
      <c r="K553" t="n">
        <v>0</v>
      </c>
      <c r="L553" t="n">
        <v>2</v>
      </c>
      <c r="M553" t="n">
        <v>0</v>
      </c>
      <c r="N553" t="n">
        <v>0</v>
      </c>
      <c r="O553" t="n">
        <v>8</v>
      </c>
      <c r="P553">
        <f>HYPERLINK("https://g1.globo.com/mundo/noticia/2021/07/13/suspeitos-de-assassinato-de-presidente-do-haiti-tiveram-relacao-com-forcas-de-seguranca-dos-eua-diz-fonte.ghtml", "URL")</f>
        <v/>
      </c>
      <c r="Q553">
        <f>HYPERLINK("https://raw.githubusercontent.com/marcosmapl/dataset_imigrantes/main/materias_filtered/g1/haitianos/2021/06_jul/html/g1_a5d2cf68-2310-11ed-b24f-6dbe51e79fca_2867.html", "HTML")</f>
        <v/>
      </c>
      <c r="R553">
        <f>HYPERLINK("https://raw.githubusercontent.com/marcosmapl/dataset_imigrantes/main/materias_filtered/g1/haitianos/2021/06_jul/txt/g1_a5d2cf68-2310-11ed-b24f-6dbe51e79fca_2867.txt", "TXT")</f>
        <v/>
      </c>
    </row>
    <row r="554">
      <c r="A554" s="1" t="n">
        <v>552</v>
      </c>
      <c r="B554" t="n">
        <v>2021</v>
      </c>
      <c r="C554" s="2" t="n">
        <v>44390.04199435185</v>
      </c>
      <c r="D554" t="inlineStr">
        <is>
          <t>G1</t>
        </is>
      </c>
      <c r="E554" t="inlineStr">
        <is>
          <t>HAITIANOS</t>
        </is>
      </c>
      <c r="F554" t="inlineStr">
        <is>
          <t>JORNAL NACIONAL</t>
        </is>
      </c>
      <c r="G554" t="inlineStr">
        <is>
          <t>JORNAL NACIONAL</t>
        </is>
      </c>
      <c r="H554" t="inlineStr">
        <is>
          <t>POLÍCIA DO HAITI PRENDE ACUSADO DE PLANEJAR ASSASSINATO DO PRESIDENTE JOVENEL MOISE</t>
        </is>
      </c>
      <c r="I554" t="inlineStr">
        <is>
          <t>MÉDICO HAITIANO QUE MORA HÁ 20 ANOS NA FLÓRIDA E VOLTOU AO HAITI EM JUNHO, NUM JATINHO PARTICULAR, PRETENDIA ASSUMIR A PRESIDÊNCIA, SEGUNDO A POLÍCIA.</t>
        </is>
      </c>
      <c r="J554" t="inlineStr"/>
      <c r="K554" t="n">
        <v>0</v>
      </c>
      <c r="L554" t="n">
        <v>1</v>
      </c>
      <c r="M554" t="n">
        <v>1</v>
      </c>
      <c r="N554" t="n">
        <v>0</v>
      </c>
      <c r="O554" t="n">
        <v>0</v>
      </c>
      <c r="P554">
        <f>HYPERLINK("https://g1.globo.com/jornal-nacional/noticia/2021/07/12/policia-do-haiti-prende-acusado-de-planejar-assassinato-do-presidente-jovenel-moise.ghtml", "URL")</f>
        <v/>
      </c>
      <c r="Q554">
        <f>HYPERLINK("https://raw.githubusercontent.com/marcosmapl/dataset_imigrantes/main/materias_filtered/g1/haitianos/2021/06_jul/html/g1_5ac63178-22f6-11ed-b24f-6dbe51e79fca_2009.html", "HTML")</f>
        <v/>
      </c>
      <c r="R554">
        <f>HYPERLINK("https://raw.githubusercontent.com/marcosmapl/dataset_imigrantes/main/materias_filtered/g1/haitianos/2021/06_jul/txt/g1_5ac63178-22f6-11ed-b24f-6dbe51e79fca_2009.txt", "TXT")</f>
        <v/>
      </c>
    </row>
    <row r="555">
      <c r="A555" s="1" t="n">
        <v>553</v>
      </c>
      <c r="B555" t="n">
        <v>2021</v>
      </c>
      <c r="C555" s="2" t="n">
        <v>44389.60689863426</v>
      </c>
      <c r="D555" t="inlineStr">
        <is>
          <t>G1</t>
        </is>
      </c>
      <c r="E555" t="inlineStr">
        <is>
          <t>HAITIANOS</t>
        </is>
      </c>
      <c r="F555" t="inlineStr">
        <is>
          <t>SANTA CATARINA</t>
        </is>
      </c>
      <c r="G555" t="inlineStr">
        <is>
          <t>ÂNGELA BASTOS, G1 SC E NSC</t>
        </is>
      </c>
      <c r="H555" t="inlineStr">
        <is>
          <t>CRISE NO HAITI PREOCUPA IMIGRANTES: 'NÃO TEM CONDIÇÕES PARA RESOLVER PROBLEMAS', DIZ HAITIANO QUE VIVE EM SC</t>
        </is>
      </c>
      <c r="I555" t="inlineStr">
        <is>
          <t>APÓS O ATAQUE QUE MATOU O PRESIDENTE DO HAITI, IMIGRANTES QUE MORAM NA GRANDE FLORIANÓPOLIS REFORÇARAM CONTATO COM OS FAMILIARES, QUE RELATAM AGRAVAMENTO DA SITUAÇÃO NO PAÍS.</t>
        </is>
      </c>
      <c r="J555" t="inlineStr"/>
      <c r="K555" t="n">
        <v>0</v>
      </c>
      <c r="L555" t="n">
        <v>4</v>
      </c>
      <c r="M555" t="n">
        <v>1</v>
      </c>
      <c r="N555" t="n">
        <v>0</v>
      </c>
      <c r="O555" t="n">
        <v>12</v>
      </c>
      <c r="P555">
        <f>HYPERLINK("https://g1.globo.com/sc/santa-catarina/noticia/2021/07/12/crise-no-haiti-preocupa-imigrantes-gera-inseguranca-em-todos-diz-haitiana-que-vive-em-sc.ghtml", "URL")</f>
        <v/>
      </c>
      <c r="Q555">
        <f>HYPERLINK("https://raw.githubusercontent.com/marcosmapl/dataset_imigrantes/main/materias_filtered/g1/haitianos/2021/06_jul/html/g1_314ebf42-22f4-11ed-b24f-6dbe51e79fca_1877.html", "HTML")</f>
        <v/>
      </c>
      <c r="R555">
        <f>HYPERLINK("https://raw.githubusercontent.com/marcosmapl/dataset_imigrantes/main/materias_filtered/g1/haitianos/2021/06_jul/txt/g1_314ebf42-22f4-11ed-b24f-6dbe51e79fca_1877.txt", "TXT")</f>
        <v/>
      </c>
    </row>
    <row r="556">
      <c r="A556" s="1" t="n">
        <v>554</v>
      </c>
      <c r="B556" t="n">
        <v>2021</v>
      </c>
      <c r="C556" s="2" t="n">
        <v>44389.4246953125</v>
      </c>
      <c r="D556" t="inlineStr">
        <is>
          <t>G1</t>
        </is>
      </c>
      <c r="E556" t="inlineStr">
        <is>
          <t>HAITIANOS</t>
        </is>
      </c>
      <c r="F556" t="inlineStr">
        <is>
          <t>MUNDO</t>
        </is>
      </c>
      <c r="G556" t="inlineStr">
        <is>
          <t>G1</t>
        </is>
      </c>
      <c r="H556" t="inlineStr">
        <is>
          <t>POLÍCIA DO HAITI PRENDE HOMEM QUE VIVE NOS EUA E CONTRATOU COLOMBIANOS PARA MATAR O PRESIDENTE</t>
        </is>
      </c>
      <c r="I556" t="inlineStr">
        <is>
          <t>NAS REDES SOCIAIS, HAITIANO CHARLES EMMANUEL SANON SE APRESENTA COMO MÉDICO. ELE JÁ PUBLICOU VÍDEOS E MENSAGENS EM QUE FALA SOBRE A POLÍTICA NO HAITI.</t>
        </is>
      </c>
      <c r="J556" t="inlineStr"/>
      <c r="K556" t="n">
        <v>0</v>
      </c>
      <c r="L556" t="n">
        <v>4</v>
      </c>
      <c r="M556" t="n">
        <v>3</v>
      </c>
      <c r="N556" t="n">
        <v>0</v>
      </c>
      <c r="O556" t="n">
        <v>25</v>
      </c>
      <c r="P556">
        <f>HYPERLINK("https://g1.globo.com/mundo/noticia/2021/07/12/policia-prende-haitiano-que-vive-nos-eua-e-contratou-colombianos-que-mataram-o-presidente.ghtml", "URL")</f>
        <v/>
      </c>
      <c r="Q556">
        <f>HYPERLINK("https://raw.githubusercontent.com/marcosmapl/dataset_imigrantes/main/materias_filtered/g1/haitianos/2021/06_jul/html/g1_6497ecae-22b1-11ed-b24f-6dbe51e79fca_1632.html", "HTML")</f>
        <v/>
      </c>
      <c r="R556">
        <f>HYPERLINK("https://raw.githubusercontent.com/marcosmapl/dataset_imigrantes/main/materias_filtered/g1/haitianos/2021/06_jul/txt/g1_6497ecae-22b1-11ed-b24f-6dbe51e79fca_1632.txt", "TXT")</f>
        <v/>
      </c>
    </row>
    <row r="557">
      <c r="A557" s="1" t="n">
        <v>555</v>
      </c>
      <c r="B557" t="n">
        <v>2021</v>
      </c>
      <c r="C557" s="2" t="n">
        <v>44389.06940160879</v>
      </c>
      <c r="D557" t="inlineStr">
        <is>
          <t>G1</t>
        </is>
      </c>
      <c r="E557" t="inlineStr">
        <is>
          <t>HAITIANOS</t>
        </is>
      </c>
      <c r="F557" t="inlineStr">
        <is>
          <t>FANTÁSTICO</t>
        </is>
      </c>
      <c r="G557" t="inlineStr">
        <is>
          <t>FANTÁSTICO</t>
        </is>
      </c>
      <c r="H557" t="inlineStr">
        <is>
          <t>DOCUMENTÁRIO INÉDITO REVELA CAOS NO HAITI, PAÍS QUE VIROU REFÉM DE GANGUES SANGUINÁRIAS</t>
        </is>
      </c>
      <c r="I557" t="inlineStr">
        <is>
          <t>CINCO DIAS DEPOIS DO ASSASSINATO DO PRESIDENTE JOVENEL MOISE, A POLÍCIA COMEÇA A ENCAIXAR AS PRIMEIRAS PEÇAS DO QUEBRA-CABEÇA: 28 SUSPEITOS FORAM IDENTIFICADOS.</t>
        </is>
      </c>
      <c r="J557" t="inlineStr"/>
      <c r="K557" t="n">
        <v>0</v>
      </c>
      <c r="L557" t="n">
        <v>1</v>
      </c>
      <c r="M557" t="n">
        <v>1</v>
      </c>
      <c r="N557" t="n">
        <v>0</v>
      </c>
      <c r="O557" t="n">
        <v>1</v>
      </c>
      <c r="P557">
        <f>HYPERLINK("https://g1.globo.com/fantastico/noticia/2021/07/11/documentario-inedito-revela-caos-no-haiti-pais-que-virou-refem-de-gangues-sanguinarias.ghtml", "URL")</f>
        <v/>
      </c>
      <c r="Q557">
        <f>HYPERLINK("https://raw.githubusercontent.com/marcosmapl/dataset_imigrantes/main/materias_filtered/g1/haitianos/2021/06_jul/html/g1_9b99a794-231d-11ed-b24f-6dbe51e79fca_3509.html", "HTML")</f>
        <v/>
      </c>
      <c r="R557">
        <f>HYPERLINK("https://raw.githubusercontent.com/marcosmapl/dataset_imigrantes/main/materias_filtered/g1/haitianos/2021/06_jul/txt/g1_9b99a794-231d-11ed-b24f-6dbe51e79fca_3509.txt", "TXT")</f>
        <v/>
      </c>
    </row>
    <row r="558">
      <c r="A558" s="1" t="n">
        <v>556</v>
      </c>
      <c r="B558" t="n">
        <v>2021</v>
      </c>
      <c r="C558" s="2" t="n">
        <v>44388.82603186343</v>
      </c>
      <c r="D558" t="inlineStr">
        <is>
          <t>G1</t>
        </is>
      </c>
      <c r="E558" t="inlineStr">
        <is>
          <t>HAITIANOS</t>
        </is>
      </c>
      <c r="F558" t="inlineStr">
        <is>
          <t>MUNDO</t>
        </is>
      </c>
      <c r="G558" t="inlineStr">
        <is>
          <t>REUTERS</t>
        </is>
      </c>
      <c r="H558" t="inlineStr">
        <is>
          <t>GOVERNO DOS ESTADOS UNIDOS DIZ QUE ENVIARÁ EQUIPE AO HAITI PARA AVALIAR NECESSIDADES DO PAÍS</t>
        </is>
      </c>
      <c r="I558" t="inlineStr">
        <is>
          <t>ASSISTÊNCIA DOS EUA FOI SOLICITADA POR CAUSA DO ASSASSINATO DO PRESIDENTE HAITIANO NA SEMANA PASSADA, DISSE O PENTÁGONO.</t>
        </is>
      </c>
      <c r="J558" t="inlineStr"/>
      <c r="K558" t="n">
        <v>0</v>
      </c>
      <c r="L558" t="n">
        <v>2</v>
      </c>
      <c r="M558" t="n">
        <v>1</v>
      </c>
      <c r="N558" t="n">
        <v>0</v>
      </c>
      <c r="O558" t="n">
        <v>5</v>
      </c>
      <c r="P558">
        <f>HYPERLINK("https://g1.globo.com/mundo/noticia/2021/07/11/governo-dos-estados-unidos-diz-que-enviara-equipe-ao-haiti-para-avaliar-necessidades-do-pais.ghtml", "URL")</f>
        <v/>
      </c>
      <c r="Q558">
        <f>HYPERLINK("https://raw.githubusercontent.com/marcosmapl/dataset_imigrantes/main/materias_filtered/g1/haitianos/2021/06_jul/html/g1_1c3f0fb4-22f7-11ed-b24f-6dbe51e79fca_2060.html", "HTML")</f>
        <v/>
      </c>
      <c r="R558">
        <f>HYPERLINK("https://raw.githubusercontent.com/marcosmapl/dataset_imigrantes/main/materias_filtered/g1/haitianos/2021/06_jul/txt/g1_1c3f0fb4-22f7-11ed-b24f-6dbe51e79fca_2060.txt", "TXT")</f>
        <v/>
      </c>
    </row>
    <row r="559">
      <c r="A559" s="1" t="n">
        <v>557</v>
      </c>
      <c r="B559" t="n">
        <v>2021</v>
      </c>
      <c r="C559" s="2" t="n">
        <v>44387.33374107639</v>
      </c>
      <c r="D559" t="inlineStr">
        <is>
          <t>G1</t>
        </is>
      </c>
      <c r="E559" t="inlineStr">
        <is>
          <t>HAITIANOS</t>
        </is>
      </c>
      <c r="F559" t="inlineStr">
        <is>
          <t>MUNDO</t>
        </is>
      </c>
      <c r="G559" t="inlineStr">
        <is>
          <t>G1</t>
        </is>
      </c>
      <c r="H559" t="inlineStr">
        <is>
          <t>VOCÊ VIU? PRISÃO NA CPI E CARTA A BOLSONARO, PESQUISA ELEITORAL, ASSASSINATO DE PRESIDENTE DO HAITI E FORTUNA DO BRASILEIRO MAIS RICO</t>
        </is>
      </c>
      <c r="I559" t="inlineStr">
        <is>
          <t>UMA SELEÇÃO DE REPORTAGENS PUBLICADAS NO G1 COM AS NOTÍCIAS DE 5 A 9 DE JULHO.</t>
        </is>
      </c>
      <c r="J559" t="inlineStr"/>
      <c r="K559" t="n">
        <v>0</v>
      </c>
      <c r="L559" t="n">
        <v>6</v>
      </c>
      <c r="M559" t="n">
        <v>6</v>
      </c>
      <c r="N559" t="n">
        <v>0</v>
      </c>
      <c r="O559" t="n">
        <v>65</v>
      </c>
      <c r="P559">
        <f>HYPERLINK("https://g1.globo.com/mundo/noticia/2021/07/10/voce-viu-prisao-na-cpi-e-carta-a-bolsonaro-pesquisa-eleitoral-assassinato-de-presidente-do-haiti-e-fortuna-do-brasileiro-mais-rico.ghtml", "URL")</f>
        <v/>
      </c>
      <c r="Q559">
        <f>HYPERLINK("https://raw.githubusercontent.com/marcosmapl/dataset_imigrantes/main/materias_filtered/g1/haitianos/2021/06_jul/html/g1_053b875c-2310-11ed-b24f-6dbe51e79fca_2834.html", "HTML")</f>
        <v/>
      </c>
      <c r="R559">
        <f>HYPERLINK("https://raw.githubusercontent.com/marcosmapl/dataset_imigrantes/main/materias_filtered/g1/haitianos/2021/06_jul/txt/g1_053b875c-2310-11ed-b24f-6dbe51e79fca_2834.txt", "TXT")</f>
        <v/>
      </c>
    </row>
    <row r="560">
      <c r="A560" s="1" t="n">
        <v>558</v>
      </c>
      <c r="B560" t="n">
        <v>2021</v>
      </c>
      <c r="C560" s="2" t="n">
        <v>44387.0430441088</v>
      </c>
      <c r="D560" t="inlineStr">
        <is>
          <t>G1</t>
        </is>
      </c>
      <c r="E560" t="inlineStr">
        <is>
          <t>HAITIANOS</t>
        </is>
      </c>
      <c r="F560" t="inlineStr">
        <is>
          <t>MUNDO</t>
        </is>
      </c>
      <c r="G560" t="inlineStr">
        <is>
          <t>G1</t>
        </is>
      </c>
      <c r="H560" t="inlineStr">
        <is>
          <t>JOSEPH LAMBERT É DECLARADO PRESIDENTE INTERINO DO HAITI PELO SENADO; PAÍS PEDE QUE EUA E ONU ENVIEM TROPAS</t>
        </is>
      </c>
      <c r="I560" t="inlineStr">
        <is>
          <t>PRESIDENTE DO SENADO FOI APONTADO APÓS VENCER VOTAÇÃO ENTRE MAIORIA DOS PRESENTES; ATÉ ENTÃO, CARGO ESTAVA SENDO EXERCIDO PROVISORIAMENTE PELO PRIMEIRO-MINISTRO INTERINO DO PAÍS, CLAUDE JOSEPH. PRESIDENTE JOVENEL MOISE FOI MORTO A TIROS EM SUA CASA, NA MADRUGADA DE QUARTA-FEIRA (7).</t>
        </is>
      </c>
      <c r="J560" t="inlineStr"/>
      <c r="K560" t="n">
        <v>0</v>
      </c>
      <c r="L560" t="n">
        <v>2</v>
      </c>
      <c r="M560" t="n">
        <v>0</v>
      </c>
      <c r="N560" t="n">
        <v>0</v>
      </c>
      <c r="O560" t="n">
        <v>11</v>
      </c>
      <c r="P560">
        <f>HYPERLINK("https://g1.globo.com/mundo/noticia/2021/07/09/joseph-lambert-e-declarado-presidente-interino-do-haiti-pelo-senado-pais-pede-que-eua-e-onu-enviem-tropas.ghtml", "URL")</f>
        <v/>
      </c>
      <c r="Q560">
        <f>HYPERLINK("https://raw.githubusercontent.com/marcosmapl/dataset_imigrantes/main/materias_filtered/g1/haitianos/2021/06_jul/html/g1_2991507c-2307-11ed-b24f-6dbe51e79fca_2300.html", "HTML")</f>
        <v/>
      </c>
      <c r="R560">
        <f>HYPERLINK("https://raw.githubusercontent.com/marcosmapl/dataset_imigrantes/main/materias_filtered/g1/haitianos/2021/06_jul/txt/g1_2991507c-2307-11ed-b24f-6dbe51e79fca_2300.txt", "TXT")</f>
        <v/>
      </c>
    </row>
    <row r="561">
      <c r="A561" s="1" t="n">
        <v>559</v>
      </c>
      <c r="B561" t="n">
        <v>2021</v>
      </c>
      <c r="C561" s="2" t="n">
        <v>44386.99926894676</v>
      </c>
      <c r="D561" t="inlineStr">
        <is>
          <t>G1</t>
        </is>
      </c>
      <c r="E561" t="inlineStr">
        <is>
          <t>HAITIANOS</t>
        </is>
      </c>
      <c r="F561" t="inlineStr"/>
      <c r="G561" t="inlineStr">
        <is>
          <t>G1</t>
        </is>
      </c>
      <c r="H561" t="inlineStr">
        <is>
          <t>SEXTA-FEIRA, 09 DE JULHO</t>
        </is>
      </c>
      <c r="I561" t="inlineStr">
        <is>
          <t>BOA NOITE. AQUI ESTÃO AS NOTÍCIAS PARA VOCÊ TERMINAR O DIA BEM-INFORMADO.</t>
        </is>
      </c>
      <c r="J561" t="inlineStr"/>
      <c r="K561" t="n">
        <v>0</v>
      </c>
      <c r="L561" t="n">
        <v>1</v>
      </c>
      <c r="M561" t="n">
        <v>1</v>
      </c>
      <c r="N561" t="n">
        <v>0</v>
      </c>
      <c r="O561" t="n">
        <v>25</v>
      </c>
      <c r="P561">
        <f>HYPERLINK("https://g1.globo.com/resumo-do-dia/noticia/2021/07/09/sexta-feira-09-de-julho.ghtml", "URL")</f>
        <v/>
      </c>
      <c r="Q561">
        <f>HYPERLINK("https://raw.githubusercontent.com/marcosmapl/dataset_imigrantes/main/materias_filtered/g1/haitianos/2021/06_jul/html/g1_0340226c-232b-11ed-b24f-6dbe51e79fca_4216.html", "HTML")</f>
        <v/>
      </c>
      <c r="R561">
        <f>HYPERLINK("https://raw.githubusercontent.com/marcosmapl/dataset_imigrantes/main/materias_filtered/g1/haitianos/2021/06_jul/txt/g1_0340226c-232b-11ed-b24f-6dbe51e79fca_4216.txt", "TXT")</f>
        <v/>
      </c>
    </row>
    <row r="562">
      <c r="A562" s="1" t="n">
        <v>560</v>
      </c>
      <c r="B562" t="n">
        <v>2021</v>
      </c>
      <c r="C562" s="2" t="n">
        <v>44386.84929792824</v>
      </c>
      <c r="D562" t="inlineStr">
        <is>
          <t>G1</t>
        </is>
      </c>
      <c r="E562" t="inlineStr">
        <is>
          <t>HAITIANOS</t>
        </is>
      </c>
      <c r="F562" t="inlineStr">
        <is>
          <t>MUNDO</t>
        </is>
      </c>
      <c r="G562" t="inlineStr">
        <is>
          <t>DANIEL PARDO, BBC</t>
        </is>
      </c>
      <c r="H562" t="inlineStr">
        <is>
          <t>HAITI: A INDÚSTRIA DE MERCENÁRIOS COLOMBIANOS QUE PODE ESTAR POR TRÁS DO ASSASSINATO DO PRESIDENTE JOVENEL MOÏSE</t>
        </is>
      </c>
      <c r="I562" t="inlineStr">
        <is>
          <t>A ORIGEM DESTES GRUPOS PARAMILITARES ESTÁ LIGADA ÀS OPERAÇÕES DE COMBATE AO NARCOTRÁFICO E AO TERRORISMO, MUITAS DELAS FINANCIADAS PELOS EUA. ELES ESTIVERAM ENVOLVIDOS EM DIVERSOS CONFLITOS INTERNACIONAIS E SÃO REQUISITADOS POR CAUSA DE SUAS HABILIDADES E DOS VALORES BAIXOS COBRADOS POR SEUS SERVIÇOS.</t>
        </is>
      </c>
      <c r="J562" t="inlineStr"/>
      <c r="K562" t="n">
        <v>0</v>
      </c>
      <c r="L562" t="n">
        <v>4</v>
      </c>
      <c r="M562" t="n">
        <v>3</v>
      </c>
      <c r="N562" t="n">
        <v>0</v>
      </c>
      <c r="O562" t="n">
        <v>6</v>
      </c>
      <c r="P562">
        <f>HYPERLINK("https://g1.globo.com/mundo/noticia/2021/07/09/haiti-a-industria-de-mercenarios-colombianos-que-pode-estar-por-tras-do-assassinato-do-presidente-jovenel-moise.ghtml", "URL")</f>
        <v/>
      </c>
      <c r="Q562">
        <f>HYPERLINK("https://raw.githubusercontent.com/marcosmapl/dataset_imigrantes/main/materias_filtered/g1/haitianos/2021/06_jul/html/g1_9e2af4b0-231b-11ed-b24f-6dbe51e79fca_3396.html", "HTML")</f>
        <v/>
      </c>
      <c r="R562">
        <f>HYPERLINK("https://raw.githubusercontent.com/marcosmapl/dataset_imigrantes/main/materias_filtered/g1/haitianos/2021/06_jul/txt/g1_9e2af4b0-231b-11ed-b24f-6dbe51e79fca_3396.txt", "TXT")</f>
        <v/>
      </c>
    </row>
    <row r="563">
      <c r="A563" s="1" t="n">
        <v>561</v>
      </c>
      <c r="B563" t="n">
        <v>2021</v>
      </c>
      <c r="C563" s="2" t="n">
        <v>44386.67059748842</v>
      </c>
      <c r="D563" t="inlineStr">
        <is>
          <t>G1</t>
        </is>
      </c>
      <c r="E563" t="inlineStr">
        <is>
          <t>VENEZUELANOS</t>
        </is>
      </c>
      <c r="F563" t="inlineStr">
        <is>
          <t>PARAÍBA</t>
        </is>
      </c>
      <c r="G563" t="inlineStr">
        <is>
          <t>PLÍNIO ALMEIDA, TV CABO BRANCO</t>
        </is>
      </c>
      <c r="H563" t="inlineStr">
        <is>
          <t>MÉDICO VENEZUELANO VIVE NO BRASIL HÁ 4 ANOS E HOJE TRABALHA COMO MARCENEIRO: 'ATÉ OS MÉDICOS NÃO TÊM CONDIÇÕES', DIZ</t>
        </is>
      </c>
      <c r="I563" t="inlineStr">
        <is>
          <t>ELE É AUTÔNOMO E ELA TRABALHA EM UMA PIZZARIA. É COMO O CASAL DE REFUGIADOS, QUE MORA DE ALUGUEL EM GRAMAME, SUSTENTA A FAMÍLIA E TENTA AJUDAR FAMILIARES QUE FICARAM NA VENEZUELA.</t>
        </is>
      </c>
      <c r="J563" t="inlineStr"/>
      <c r="K563" t="n">
        <v>0</v>
      </c>
      <c r="L563" t="n">
        <v>3</v>
      </c>
      <c r="M563" t="n">
        <v>2</v>
      </c>
      <c r="N563" t="n">
        <v>0</v>
      </c>
      <c r="O563" t="n">
        <v>1</v>
      </c>
      <c r="P563">
        <f>HYPERLINK("https://g1.globo.com/pb/paraiba/noticia/2021/07/09/medico-venezuelano-vive-no-brasil-ha-4-anos-e-hoje-trabalha-como-marceneiro-ate-os-medicos-nao-tem-condicoes-diz.ghtml", "URL")</f>
        <v/>
      </c>
      <c r="Q563">
        <f>HYPERLINK("https://raw.githubusercontent.com/marcosmapl/dataset_imigrantes/main/materias_filtered/g1/venezuelanos/2021/06_jul/html/g1_434adcc2-232a-11ed-b24f-6dbe51e79fca_4167.html", "HTML")</f>
        <v/>
      </c>
      <c r="R563">
        <f>HYPERLINK("https://raw.githubusercontent.com/marcosmapl/dataset_imigrantes/main/materias_filtered/g1/venezuelanos/2021/06_jul/txt/g1_434adcc2-232a-11ed-b24f-6dbe51e79fca_4167.txt", "TXT")</f>
        <v/>
      </c>
    </row>
    <row r="564">
      <c r="A564" s="1" t="n">
        <v>562</v>
      </c>
      <c r="B564" t="n">
        <v>2021</v>
      </c>
      <c r="C564" s="2" t="n">
        <v>44386.57903466436</v>
      </c>
      <c r="D564" t="inlineStr">
        <is>
          <t>G1</t>
        </is>
      </c>
      <c r="E564" t="inlineStr">
        <is>
          <t>HAITIANOS</t>
        </is>
      </c>
      <c r="F564" t="inlineStr">
        <is>
          <t>MUNDO</t>
        </is>
      </c>
      <c r="G564" t="inlineStr">
        <is>
          <t>G1</t>
        </is>
      </c>
      <c r="H564" t="inlineStr">
        <is>
          <t>COLÔMBIA INVESTIGA SE PRESOS PELA MORTE DO PRESIDENTE DO HAITI SÃO MILITARES</t>
        </is>
      </c>
      <c r="I564" t="inlineStr">
        <is>
          <t>GOVERNO DE TAIWAN REVELOU NESTA SEXTA QUE 11 HOMENS ARMADOS INVADIRAM SUA EMBAIXADA EM PORTO PRÍNCIPE E QUE AUTORIZOU A POLÍCIA HAITIANA A ENTRAR NO LOCAL E PRENDER OS SUSPEITOS.</t>
        </is>
      </c>
      <c r="J564" t="inlineStr"/>
      <c r="K564" t="n">
        <v>0</v>
      </c>
      <c r="L564" t="n">
        <v>4</v>
      </c>
      <c r="M564" t="n">
        <v>2</v>
      </c>
      <c r="N564" t="n">
        <v>0</v>
      </c>
      <c r="O564" t="n">
        <v>12</v>
      </c>
      <c r="P564">
        <f>HYPERLINK("https://g1.globo.com/mundo/noticia/2021/07/09/colombia-investiga-se-presos-pela-morte-do-presidente-do-haiti-sao-reservistas-do-exercito-do-pais.ghtml", "URL")</f>
        <v/>
      </c>
      <c r="Q564">
        <f>HYPERLINK("https://raw.githubusercontent.com/marcosmapl/dataset_imigrantes/main/materias_filtered/g1/haitianos/2021/06_jul/html/g1_e8707bce-230e-11ed-b24f-6dbe51e79fca_2765.html", "HTML")</f>
        <v/>
      </c>
      <c r="R564">
        <f>HYPERLINK("https://raw.githubusercontent.com/marcosmapl/dataset_imigrantes/main/materias_filtered/g1/haitianos/2021/06_jul/txt/g1_e8707bce-230e-11ed-b24f-6dbe51e79fca_2765.txt", "TXT")</f>
        <v/>
      </c>
    </row>
    <row r="565">
      <c r="A565" s="1" t="n">
        <v>563</v>
      </c>
      <c r="B565" t="n">
        <v>2021</v>
      </c>
      <c r="C565" s="2" t="n">
        <v>44386.04274789352</v>
      </c>
      <c r="D565" t="inlineStr">
        <is>
          <t>G1</t>
        </is>
      </c>
      <c r="E565" t="inlineStr">
        <is>
          <t>HAITIANOS</t>
        </is>
      </c>
      <c r="F565" t="inlineStr">
        <is>
          <t>JORNAL NACIONAL</t>
        </is>
      </c>
      <c r="G565" t="inlineStr">
        <is>
          <t>JORNAL NACIONAL</t>
        </is>
      </c>
      <c r="H565" t="inlineStr">
        <is>
          <t>POLÍCIA HAITIANA PRENDE SEIS SUSPEITOS DE ENVOLVIMENTO NA MORTE DO PRESIDENTE JOVENEL MOISE</t>
        </is>
      </c>
      <c r="I565" t="inlineStr">
        <is>
          <t>QUATRO MORRERAM NUMA TROCA DE TIROS COM OS POLICIAIS, QUE PROCURAM OS MANDANTES DO CRIME.</t>
        </is>
      </c>
      <c r="J565" t="inlineStr"/>
      <c r="K565" t="n">
        <v>0</v>
      </c>
      <c r="L565" t="n">
        <v>1</v>
      </c>
      <c r="M565" t="n">
        <v>1</v>
      </c>
      <c r="N565" t="n">
        <v>0</v>
      </c>
      <c r="O565" t="n">
        <v>0</v>
      </c>
      <c r="P565">
        <f>HYPERLINK("https://g1.globo.com/jornal-nacional/noticia/2021/07/08/policia-haitiana-prende-seis-suspeitos-de-envolvimento-na-morte-do-presidente-jovenel-moise.ghtml", "URL")</f>
        <v/>
      </c>
      <c r="Q565">
        <f>HYPERLINK("https://raw.githubusercontent.com/marcosmapl/dataset_imigrantes/main/materias_filtered/g1/haitianos/2021/06_jul/html/g1_63eeaffa-230f-11ed-b24f-6dbe51e79fca_2793.html", "HTML")</f>
        <v/>
      </c>
      <c r="R565">
        <f>HYPERLINK("https://raw.githubusercontent.com/marcosmapl/dataset_imigrantes/main/materias_filtered/g1/haitianos/2021/06_jul/txt/g1_63eeaffa-230f-11ed-b24f-6dbe51e79fca_2793.txt", "TXT")</f>
        <v/>
      </c>
    </row>
    <row r="566">
      <c r="A566" s="1" t="n">
        <v>564</v>
      </c>
      <c r="B566" t="n">
        <v>2021</v>
      </c>
      <c r="C566" s="2" t="n">
        <v>44386.03813144676</v>
      </c>
      <c r="D566" t="inlineStr">
        <is>
          <t>G1</t>
        </is>
      </c>
      <c r="E566" t="inlineStr">
        <is>
          <t>HAITIANOS</t>
        </is>
      </c>
      <c r="F566" t="inlineStr">
        <is>
          <t>MUNDO</t>
        </is>
      </c>
      <c r="G566" t="inlineStr">
        <is>
          <t>G1</t>
        </is>
      </c>
      <c r="H566" t="inlineStr">
        <is>
          <t>POLÍCIA DO HAITI ACUSA CIDADÃOS DA COLÔMBIA E DOS EUA DE ENVOLVIMENTO NO ASSASSINATO DO PRESIDENTE</t>
        </is>
      </c>
      <c r="I566" t="inlineStr">
        <is>
          <t>SEGUNDO DIRETOR POLICIAL, AO MENOS 28 PESSOAS PARTICIPARAM DO ASSASSINATO DE JOVENEL MOISE: 2 CIDADÃOS AMERICANOS NASCIDOS NO HAITI E 26 COLOMBIANOS.</t>
        </is>
      </c>
      <c r="J566" t="inlineStr"/>
      <c r="K566" t="n">
        <v>0</v>
      </c>
      <c r="L566" t="n">
        <v>4</v>
      </c>
      <c r="M566" t="n">
        <v>2</v>
      </c>
      <c r="N566" t="n">
        <v>0</v>
      </c>
      <c r="O566" t="n">
        <v>15</v>
      </c>
      <c r="P566">
        <f>HYPERLINK("https://g1.globo.com/mundo/noticia/2021/07/08/policia-do-haiti-acusa-cidadaos-da-colombia-e-dos-eua-de-envolvimento-no-assassinato-do-presidente.ghtml", "URL")</f>
        <v/>
      </c>
      <c r="Q566">
        <f>HYPERLINK("https://raw.githubusercontent.com/marcosmapl/dataset_imigrantes/main/materias_filtered/g1/haitianos/2021/06_jul/html/g1_5a65be6e-2310-11ed-b24f-6dbe51e79fca_2856.html", "HTML")</f>
        <v/>
      </c>
      <c r="R566">
        <f>HYPERLINK("https://raw.githubusercontent.com/marcosmapl/dataset_imigrantes/main/materias_filtered/g1/haitianos/2021/06_jul/txt/g1_5a65be6e-2310-11ed-b24f-6dbe51e79fca_2856.txt", "TXT")</f>
        <v/>
      </c>
    </row>
    <row r="567">
      <c r="A567" s="1" t="n">
        <v>565</v>
      </c>
      <c r="B567" t="n">
        <v>2021</v>
      </c>
      <c r="C567" s="2" t="n">
        <v>44385.65146092592</v>
      </c>
      <c r="D567" t="inlineStr">
        <is>
          <t>G1</t>
        </is>
      </c>
      <c r="E567" t="inlineStr">
        <is>
          <t>HAITIANOS</t>
        </is>
      </c>
      <c r="F567" t="inlineStr">
        <is>
          <t>MUNDO</t>
        </is>
      </c>
      <c r="G567" t="inlineStr">
        <is>
          <t>G1</t>
        </is>
      </c>
      <c r="H567" t="inlineStr">
        <is>
          <t>POLÍCIA DO HAITI PRENDE 6 SUSPEITOS DE MATAR O PRESIDENTE</t>
        </is>
      </c>
      <c r="I567" t="inlineStr">
        <is>
          <t>UM DOS DETIDOS SERIA CIDADÃO DOS EUA, DIZ AGÊNCIA CITANDO O GOVERNO. EX-PREMIÊ HAITIANO DIVULGOU IMAGEM DO QUE ELE DIZ SER MERCENÁRIOS ESTRANGEIROS DETIDOS POR MATAR JOVENEL MOISE.</t>
        </is>
      </c>
      <c r="J567" t="inlineStr"/>
      <c r="K567" t="n">
        <v>0</v>
      </c>
      <c r="L567" t="n">
        <v>3</v>
      </c>
      <c r="M567" t="n">
        <v>2</v>
      </c>
      <c r="N567" t="n">
        <v>0</v>
      </c>
      <c r="O567" t="n">
        <v>15</v>
      </c>
      <c r="P567">
        <f>HYPERLINK("https://g1.globo.com/mundo/noticia/2021/07/08/policia-do-haiti-prende-mais-suspeitos-de-assassinar-o-presidente-diz-imprensa.ghtml", "URL")</f>
        <v/>
      </c>
      <c r="Q567">
        <f>HYPERLINK("https://raw.githubusercontent.com/marcosmapl/dataset_imigrantes/main/materias_filtered/g1/haitianos/2021/06_jul/html/g1_8e6a4052-22f4-11ed-b24f-6dbe51e79fca_1897.html", "HTML")</f>
        <v/>
      </c>
      <c r="R567">
        <f>HYPERLINK("https://raw.githubusercontent.com/marcosmapl/dataset_imigrantes/main/materias_filtered/g1/haitianos/2021/06_jul/txt/g1_8e6a4052-22f4-11ed-b24f-6dbe51e79fca_1897.txt", "TXT")</f>
        <v/>
      </c>
    </row>
    <row r="568">
      <c r="A568" s="1" t="n">
        <v>566</v>
      </c>
      <c r="B568" t="n">
        <v>2021</v>
      </c>
      <c r="C568" s="2" t="n">
        <v>44385.54724546296</v>
      </c>
      <c r="D568" t="inlineStr">
        <is>
          <t>G1</t>
        </is>
      </c>
      <c r="E568" t="inlineStr">
        <is>
          <t>HAITIANOS</t>
        </is>
      </c>
      <c r="F568" t="inlineStr">
        <is>
          <t>MUNDO</t>
        </is>
      </c>
      <c r="G568" t="inlineStr">
        <is>
          <t>G1</t>
        </is>
      </c>
      <c r="H568" t="inlineStr">
        <is>
          <t>PRIMEIRO-MINISTRO ASSUME INTERINAMENTE GOVERNO DO HAITI</t>
        </is>
      </c>
      <c r="I568" t="inlineStr">
        <is>
          <t>CLAUDE JOSEPH ASSUME, PELO MENOS POR ENQUANTO, O COMANDO DO PAÍS. O PRAZO DELE COMO PRIMEIRO-MINISTRO JÁ ESTAVA CHEGANDO AO FIM, MAS COMO NÃO HÁ OUTRA PESSOA PARA LIDERAR O HAITI, ELE FARÁ ISSO PROVISORIAMENTE.</t>
        </is>
      </c>
      <c r="J568" t="inlineStr"/>
      <c r="K568" t="n">
        <v>0</v>
      </c>
      <c r="L568" t="n">
        <v>2</v>
      </c>
      <c r="M568" t="n">
        <v>1</v>
      </c>
      <c r="N568" t="n">
        <v>0</v>
      </c>
      <c r="O568" t="n">
        <v>5</v>
      </c>
      <c r="P568">
        <f>HYPERLINK("https://g1.globo.com/mundo/noticia/2021/07/08/primeiro-ministro-assume-interinamente-governo-do-haiti.ghtml", "URL")</f>
        <v/>
      </c>
      <c r="Q568">
        <f>HYPERLINK("https://raw.githubusercontent.com/marcosmapl/dataset_imigrantes/main/materias_filtered/g1/haitianos/2021/06_jul/html/g1_e54b83fc-230a-11ed-b24f-6dbe51e79fca_2533.html", "HTML")</f>
        <v/>
      </c>
      <c r="R568">
        <f>HYPERLINK("https://raw.githubusercontent.com/marcosmapl/dataset_imigrantes/main/materias_filtered/g1/haitianos/2021/06_jul/txt/g1_e54b83fc-230a-11ed-b24f-6dbe51e79fca_2533.txt", "TXT")</f>
        <v/>
      </c>
    </row>
    <row r="569">
      <c r="A569" s="1" t="n">
        <v>567</v>
      </c>
      <c r="B569" t="n">
        <v>2021</v>
      </c>
      <c r="C569" s="2" t="n">
        <v>44385.44496020833</v>
      </c>
      <c r="D569" t="inlineStr">
        <is>
          <t>G1</t>
        </is>
      </c>
      <c r="E569" t="inlineStr">
        <is>
          <t>HAITIANOS</t>
        </is>
      </c>
      <c r="F569" t="inlineStr">
        <is>
          <t>MUNDO</t>
        </is>
      </c>
      <c r="G569" t="inlineStr">
        <is>
          <t>G1</t>
        </is>
      </c>
      <c r="H569" t="inlineStr">
        <is>
          <t>PAPA CONDENA 'TODA FORMA DE VIOLÊNCIA' APÓS HOMICÍDIO DE PRESIDENTE DO HAITI</t>
        </is>
      </c>
      <c r="I569" t="inlineStr">
        <is>
          <t>O PONTÍFICE DESEJOU 'UM FUTURO FRATERNAL, DE HARMONIA, SOLIDARIEDADE E PROSPERIDADE' PARA O POVO HAITIANO.</t>
        </is>
      </c>
      <c r="J569" t="inlineStr"/>
      <c r="K569" t="n">
        <v>0</v>
      </c>
      <c r="L569" t="n">
        <v>2</v>
      </c>
      <c r="M569" t="n">
        <v>1</v>
      </c>
      <c r="N569" t="n">
        <v>0</v>
      </c>
      <c r="O569" t="n">
        <v>7</v>
      </c>
      <c r="P569">
        <f>HYPERLINK("https://g1.globo.com/mundo/noticia/2021/07/08/papa-condena-toda-forma-de-violencia-apos-homicidio-de-presidente-do-haiti.ghtml", "URL")</f>
        <v/>
      </c>
      <c r="Q569">
        <f>HYPERLINK("https://raw.githubusercontent.com/marcosmapl/dataset_imigrantes/main/materias_filtered/g1/haitianos/2021/06_jul/html/g1_415d2d22-22f1-11ed-b24f-6dbe51e79fca_1742.html", "HTML")</f>
        <v/>
      </c>
      <c r="R569">
        <f>HYPERLINK("https://raw.githubusercontent.com/marcosmapl/dataset_imigrantes/main/materias_filtered/g1/haitianos/2021/06_jul/txt/g1_415d2d22-22f1-11ed-b24f-6dbe51e79fca_1742.txt", "TXT")</f>
        <v/>
      </c>
    </row>
    <row r="570">
      <c r="A570" s="1" t="n">
        <v>568</v>
      </c>
      <c r="B570" t="n">
        <v>2021</v>
      </c>
      <c r="C570" s="2" t="n">
        <v>44385.05766322916</v>
      </c>
      <c r="D570" t="inlineStr">
        <is>
          <t>G1</t>
        </is>
      </c>
      <c r="E570" t="inlineStr">
        <is>
          <t>HAITIANOS</t>
        </is>
      </c>
      <c r="F570" t="inlineStr">
        <is>
          <t>MUNDO</t>
        </is>
      </c>
      <c r="G570" t="inlineStr">
        <is>
          <t>G1</t>
        </is>
      </c>
      <c r="H570" t="inlineStr">
        <is>
          <t>POLÍCIA DO HAITI ANUNCIA MORTE E PRISÃO DE SUSPEITOS PELO ASSASSINATO DO PRESIDENTE</t>
        </is>
      </c>
      <c r="I570" t="inlineStr">
        <is>
          <t>4 ENVOLVIDOS NO ATENTADO FORAM MORTOS E 2 FORAM PRESOS. JOVENEL MOISE FOI ASSASSINADO EM SUA CASA NA MADRUGADA E PRIMEIRA-DAMA, GRAVEMENTE FERIDA, FOI LEVADA AOS EUA PARA TRATAMENTO.</t>
        </is>
      </c>
      <c r="J570" t="inlineStr"/>
      <c r="K570" t="n">
        <v>0</v>
      </c>
      <c r="L570" t="n">
        <v>2</v>
      </c>
      <c r="M570" t="n">
        <v>2</v>
      </c>
      <c r="N570" t="n">
        <v>0</v>
      </c>
      <c r="O570" t="n">
        <v>12</v>
      </c>
      <c r="P570">
        <f>HYPERLINK("https://g1.globo.com/mundo/noticia/2021/07/07/policia-do-haiti-anuncia-morte-e-prisao-de-supostos-envolvidos-em-assassinato-de-presidente.ghtml", "URL")</f>
        <v/>
      </c>
      <c r="Q570">
        <f>HYPERLINK("https://raw.githubusercontent.com/marcosmapl/dataset_imigrantes/main/materias_filtered/g1/haitianos/2021/06_jul/html/g1_13056cbe-2319-11ed-b24f-6dbe51e79fca_3298.html", "HTML")</f>
        <v/>
      </c>
      <c r="R570">
        <f>HYPERLINK("https://raw.githubusercontent.com/marcosmapl/dataset_imigrantes/main/materias_filtered/g1/haitianos/2021/06_jul/txt/g1_13056cbe-2319-11ed-b24f-6dbe51e79fca_3298.txt", "TXT")</f>
        <v/>
      </c>
    </row>
    <row r="571">
      <c r="A571" s="1" t="n">
        <v>569</v>
      </c>
      <c r="B571" t="n">
        <v>2021</v>
      </c>
      <c r="C571" s="2" t="n">
        <v>44384.8423262037</v>
      </c>
      <c r="D571" t="inlineStr">
        <is>
          <t>G1</t>
        </is>
      </c>
      <c r="E571" t="inlineStr">
        <is>
          <t>HAITIANOS</t>
        </is>
      </c>
      <c r="F571" t="inlineStr">
        <is>
          <t>SANTA CATARINA</t>
        </is>
      </c>
      <c r="G571" t="inlineStr">
        <is>
          <t>G1 SC</t>
        </is>
      </c>
      <c r="H571" t="inlineStr">
        <is>
          <t>EMPRESA É CONDENADA PELA JUSTIÇA A INDENIZAR TRABALHADOR HAITIANO TRATADO COM 'VAIAS E URROS' PELOS COLEGAS BRASILEIROS EM SC</t>
        </is>
      </c>
      <c r="I571" t="inlineStr">
        <is>
          <t>PARA  TRIBUNAL REGIONAL DO TRABALHO, HOUVE OMISSÃO DA PRODUTORA DE SUÍNOS ONDE A VÍTIMA TRABALHA. ELE TERÁ DE RECEBER R$ 10 MIL POR ASSÉDIO MORAL.</t>
        </is>
      </c>
      <c r="J571" t="inlineStr"/>
      <c r="K571" t="n">
        <v>0</v>
      </c>
      <c r="L571" t="n">
        <v>1</v>
      </c>
      <c r="M571" t="n">
        <v>1</v>
      </c>
      <c r="N571" t="n">
        <v>0</v>
      </c>
      <c r="O571" t="n">
        <v>9</v>
      </c>
      <c r="P571">
        <f>HYPERLINK("https://g1.globo.com/sc/santa-catarina/noticia/2021/07/07/empresa-e-condenada-pela-justica-a-indenizar-trabalhador-haitiano-tratado-com-vaias-e-urros-pelos-colegas-brasileiros-em-sc.ghtml", "URL")</f>
        <v/>
      </c>
      <c r="Q571">
        <f>HYPERLINK("https://raw.githubusercontent.com/marcosmapl/dataset_imigrantes/main/materias_filtered/g1/haitianos/2021/06_jul/html/g1_860fbf2e-22b1-11ed-b24f-6dbe51e79fca_1634.html", "HTML")</f>
        <v/>
      </c>
      <c r="R571">
        <f>HYPERLINK("https://raw.githubusercontent.com/marcosmapl/dataset_imigrantes/main/materias_filtered/g1/haitianos/2021/06_jul/txt/g1_860fbf2e-22b1-11ed-b24f-6dbe51e79fca_1634.txt", "TXT")</f>
        <v/>
      </c>
    </row>
    <row r="572">
      <c r="A572" s="1" t="n">
        <v>570</v>
      </c>
      <c r="B572" t="n">
        <v>2021</v>
      </c>
      <c r="C572" s="2" t="n">
        <v>44384.5228724074</v>
      </c>
      <c r="D572" t="inlineStr">
        <is>
          <t>G1</t>
        </is>
      </c>
      <c r="E572" t="inlineStr">
        <is>
          <t>HAITIANOS</t>
        </is>
      </c>
      <c r="F572" t="inlineStr">
        <is>
          <t>MUNDO</t>
        </is>
      </c>
      <c r="G572" t="inlineStr">
        <is>
          <t>G1</t>
        </is>
      </c>
      <c r="H572" t="inlineStr">
        <is>
          <t>PRESIDENTE DO HAITI É ASSASSINADO A TIROS EM CASA; VEJA REPERCUSSÃO</t>
        </is>
      </c>
      <c r="I572" t="inlineStr">
        <is>
          <t>ITAMARATY DIVULGOU COMUNICADO NO QUAL DIZ ESPERAR QUE OS RESPONSÁVEIS SEJAM IDENTIFICADOS E LEVADOS À JUSTIÇA. PRESIDENTE DA COLÔMBIA PEDIU À OEA QUE ENVIE URGENTEMENTE UMA MISSÃO AO HAITI PARA 'PROTEGER A ORDEM DEMOCRÁTICA' NO PAÍS.</t>
        </is>
      </c>
      <c r="J572" t="inlineStr"/>
      <c r="K572" t="n">
        <v>0</v>
      </c>
      <c r="L572" t="n">
        <v>1</v>
      </c>
      <c r="M572" t="n">
        <v>1</v>
      </c>
      <c r="N572" t="n">
        <v>0</v>
      </c>
      <c r="O572" t="n">
        <v>8</v>
      </c>
      <c r="P572">
        <f>HYPERLINK("https://g1.globo.com/mundo/noticia/2021/07/07/presidente-do-haiti-e-assassinado-a-tiros-em-casa-veja-repercussao.ghtml", "URL")</f>
        <v/>
      </c>
      <c r="Q572">
        <f>HYPERLINK("https://raw.githubusercontent.com/marcosmapl/dataset_imigrantes/main/materias_filtered/g1/haitianos/2021/06_jul/html/g1_7e9a24a4-231b-11ed-b24f-6dbe51e79fca_3389.html", "HTML")</f>
        <v/>
      </c>
      <c r="R572">
        <f>HYPERLINK("https://raw.githubusercontent.com/marcosmapl/dataset_imigrantes/main/materias_filtered/g1/haitianos/2021/06_jul/txt/g1_7e9a24a4-231b-11ed-b24f-6dbe51e79fca_3389.txt", "TXT")</f>
        <v/>
      </c>
    </row>
    <row r="573">
      <c r="A573" s="1" t="n">
        <v>571</v>
      </c>
      <c r="B573" t="n">
        <v>2021</v>
      </c>
      <c r="C573" s="2" t="n">
        <v>44384.43583243056</v>
      </c>
      <c r="D573" t="inlineStr">
        <is>
          <t>G1</t>
        </is>
      </c>
      <c r="E573" t="inlineStr">
        <is>
          <t>HAITIANOS</t>
        </is>
      </c>
      <c r="F573" t="inlineStr">
        <is>
          <t>MUNDO</t>
        </is>
      </c>
      <c r="G573" t="inlineStr">
        <is>
          <t>G1</t>
        </is>
      </c>
      <c r="H573" t="inlineStr">
        <is>
          <t>PRESIDENTE DO HAITI É ASSASSINADO A TIROS EM CASA</t>
        </is>
      </c>
      <c r="I573" t="inlineStr">
        <is>
          <t>PREMIÊ INTERINO DIZ QUE 'UM GRUPO DE INDIVÍDUOS NÃO IDENTIFICADOS, ALGUNS DOS QUAIS FALAVAM EM ESPANHOL, ATACOU A RESIDÊNCIA PRIVADA DO PRESIDENTE' E 'FERIU MORTALMENTE O CHEFE DE ESTADO'.</t>
        </is>
      </c>
      <c r="J573" t="inlineStr"/>
      <c r="K573" t="n">
        <v>0</v>
      </c>
      <c r="L573" t="n">
        <v>2</v>
      </c>
      <c r="M573" t="n">
        <v>2</v>
      </c>
      <c r="N573" t="n">
        <v>0</v>
      </c>
      <c r="O573" t="n">
        <v>10</v>
      </c>
      <c r="P573">
        <f>HYPERLINK("https://g1.globo.com/mundo/noticia/2021/07/07/presidente-do-haiti-e-morto-em-ataque-anuncia-primeiro-ministro.ghtml", "URL")</f>
        <v/>
      </c>
      <c r="Q573">
        <f>HYPERLINK("https://raw.githubusercontent.com/marcosmapl/dataset_imigrantes/main/materias_filtered/g1/haitianos/2021/06_jul/html/g1_765ad496-2307-11ed-b24f-6dbe51e79fca_2319.html", "HTML")</f>
        <v/>
      </c>
      <c r="R573">
        <f>HYPERLINK("https://raw.githubusercontent.com/marcosmapl/dataset_imigrantes/main/materias_filtered/g1/haitianos/2021/06_jul/txt/g1_765ad496-2307-11ed-b24f-6dbe51e79fca_2319.txt", "TXT")</f>
        <v/>
      </c>
    </row>
    <row r="574">
      <c r="A574" s="1" t="n">
        <v>572</v>
      </c>
      <c r="B574" t="n">
        <v>2021</v>
      </c>
      <c r="C574" s="2" t="n">
        <v>44381.75708814815</v>
      </c>
      <c r="D574" t="inlineStr">
        <is>
          <t>G1</t>
        </is>
      </c>
      <c r="E574" t="inlineStr">
        <is>
          <t>VENEZUELANOS</t>
        </is>
      </c>
      <c r="F574" t="inlineStr">
        <is>
          <t>MUNDO</t>
        </is>
      </c>
      <c r="G574" t="inlineStr">
        <is>
          <t>REUTERS</t>
        </is>
      </c>
      <c r="H574" t="inlineStr">
        <is>
          <t>TRIBUNAL VENEZUELANO RESPONSABILIZA ATIVISTAS DE DIREITOS HUMANOS POR TERRORISMO</t>
        </is>
      </c>
      <c r="I574" t="inlineStr">
        <is>
          <t>UM TRIBUNAL VENEZUELANO RESPONSABILIZOU TRÊS DEFENSORES DOS DIREITOS HUMANOS POR TERRORISMO E ORDENOU UMA MEDIDA DE CUSTÓDIA CONTRA ELES. A DECISÃO OCORREU HORAS DEPOIS DE TEREM SIDO DETIDOS ENQUANTO DENUNCIAVAM ASSÉDIO, DIZ ADVOGADO.</t>
        </is>
      </c>
      <c r="J574" t="inlineStr"/>
      <c r="K574" t="n">
        <v>0</v>
      </c>
      <c r="L574" t="n">
        <v>1</v>
      </c>
      <c r="M574" t="n">
        <v>0</v>
      </c>
      <c r="N574" t="n">
        <v>0</v>
      </c>
      <c r="O574" t="n">
        <v>5</v>
      </c>
      <c r="P574">
        <f>HYPERLINK("https://g1.globo.com/mundo/noticia/2021/07/04/tribunal-venezuelano-responsabiliza-ativistas-de-direitos-humanos-por-terrorismo.ghtml", "URL")</f>
        <v/>
      </c>
      <c r="Q574">
        <f>HYPERLINK("https://raw.githubusercontent.com/marcosmapl/dataset_imigrantes/main/materias_filtered/g1/venezuelanos/2021/06_jul/html/g1_164e64ec-231f-11ed-b24f-6dbe51e79fca_3600.html", "HTML")</f>
        <v/>
      </c>
      <c r="R574">
        <f>HYPERLINK("https://raw.githubusercontent.com/marcosmapl/dataset_imigrantes/main/materias_filtered/g1/venezuelanos/2021/06_jul/txt/g1_164e64ec-231f-11ed-b24f-6dbe51e79fca_3600.txt", "TXT")</f>
        <v/>
      </c>
    </row>
    <row r="575">
      <c r="A575" s="1" t="n">
        <v>573</v>
      </c>
      <c r="B575" t="n">
        <v>2021</v>
      </c>
      <c r="C575" s="2" t="n">
        <v>44381.65465932871</v>
      </c>
      <c r="D575" t="inlineStr">
        <is>
          <t>G1</t>
        </is>
      </c>
      <c r="E575" t="inlineStr">
        <is>
          <t>VENEZUELANOS</t>
        </is>
      </c>
      <c r="F575" t="inlineStr">
        <is>
          <t>RORAIMA</t>
        </is>
      </c>
      <c r="G575" t="inlineStr">
        <is>
          <t>G1 RR — BOA VISTA</t>
        </is>
      </c>
      <c r="H575" t="inlineStr">
        <is>
          <t>VENEZUELANO É MORTO E JOVEM FICA FERIDO APÓS TIROS EM VILA EM BOA VISTA</t>
        </is>
      </c>
      <c r="I575" t="inlineStr">
        <is>
          <t>NERSON DAVID ROJAS, DE 23 ANOS, CHEGOU A SER LEVADO AO PRONTO SOCORRO, MAS CHEGOU MORTO NA UNIDADE, INFORMOU A PM. CASO ACONTECEU NA NOITE DESTE SÁBADO (3).</t>
        </is>
      </c>
      <c r="J575" t="inlineStr"/>
      <c r="K575" t="n">
        <v>0</v>
      </c>
      <c r="L575" t="n">
        <v>1</v>
      </c>
      <c r="M575" t="n">
        <v>0</v>
      </c>
      <c r="N575" t="n">
        <v>0</v>
      </c>
      <c r="O575" t="n">
        <v>0</v>
      </c>
      <c r="P575">
        <f>HYPERLINK("https://g1.globo.com/rr/roraima/noticia/2021/07/04/venezuelano-e-morto-e-jovem-fica-ferido-apos-tiros-em-vila-em-boa-vista.ghtml", "URL")</f>
        <v/>
      </c>
      <c r="Q575">
        <f>HYPERLINK("https://raw.githubusercontent.com/marcosmapl/dataset_imigrantes/main/materias_filtered/g1/venezuelanos/2021/06_jul/html/g1_54e9d8bc-2315-11ed-b24f-6dbe51e79fca_3080.html", "HTML")</f>
        <v/>
      </c>
      <c r="R575">
        <f>HYPERLINK("https://raw.githubusercontent.com/marcosmapl/dataset_imigrantes/main/materias_filtered/g1/venezuelanos/2021/06_jul/txt/g1_54e9d8bc-2315-11ed-b24f-6dbe51e79fca_3080.txt", "TXT")</f>
        <v/>
      </c>
    </row>
    <row r="576">
      <c r="A576" s="1" t="n">
        <v>574</v>
      </c>
      <c r="B576" t="n">
        <v>2021</v>
      </c>
      <c r="C576" s="2" t="n">
        <v>44379.5978125</v>
      </c>
      <c r="D576" t="inlineStr">
        <is>
          <t>A CRITICA</t>
        </is>
      </c>
      <c r="E576" t="inlineStr">
        <is>
          <t>VENEZUELANOS</t>
        </is>
      </c>
      <c r="F576" t="inlineStr">
        <is>
          <t>EDUCACAO</t>
        </is>
      </c>
      <c r="G576" t="inlineStr">
        <is>
          <t>PORTAL A CRÍTICA</t>
        </is>
      </c>
      <c r="H576" t="inlineStr">
        <is>
          <t>AUSTRÁLIA É O PRINCIPAL DESTINO DE MOTOCICLETAS EXPORTADAS EM MAIO PELO AMAZONAS</t>
        </is>
      </c>
      <c r="I576" t="inlineStr">
        <is>
          <t>NO INTERIOR, PRESIDENTE FIGUEIREDO CONTINUA SENDO O MAIOR EXPORTADOR, COM O PRODUTO "FERRO-LIGAS" PARA A CHINA</t>
        </is>
      </c>
      <c r="J576" t="inlineStr"/>
      <c r="K576" t="n">
        <v>0</v>
      </c>
      <c r="L576" t="n">
        <v>1</v>
      </c>
      <c r="M576" t="n">
        <v>0</v>
      </c>
      <c r="N576" t="n">
        <v>0</v>
      </c>
      <c r="O576" t="n">
        <v>1</v>
      </c>
      <c r="P576">
        <f>HYPERLINK("https://www.acritica.com/educacao/australia-e-o-principal-destino-de-motocicletas-exportadas-em-maio-pelo-amazonas-1.14660", "URL")</f>
        <v/>
      </c>
      <c r="Q576">
        <f>HYPERLINK("https://raw.githubusercontent.com/marcosmapl/dataset_imigrantes/main/materias_filtered/a_critica/venezuelanos/2021/06_jul/html/1.14660_1274.html", "HTML")</f>
        <v/>
      </c>
      <c r="R576">
        <f>HYPERLINK("https://raw.githubusercontent.com/marcosmapl/dataset_imigrantes/main/materias_filtered/a_critica/venezuelanos/2021/06_jul/txt/1.14660_1274.txt", "TXT")</f>
        <v/>
      </c>
    </row>
    <row r="577">
      <c r="A577" s="1" t="n">
        <v>575</v>
      </c>
      <c r="B577" t="n">
        <v>2021</v>
      </c>
      <c r="C577" s="2" t="n">
        <v>44379.46980324074</v>
      </c>
      <c r="D577" t="inlineStr">
        <is>
          <t>A CRITICA</t>
        </is>
      </c>
      <c r="E577" t="inlineStr">
        <is>
          <t>VENEZUELANOS</t>
        </is>
      </c>
      <c r="F577" t="inlineStr">
        <is>
          <t>EDUCACAO</t>
        </is>
      </c>
      <c r="G577" t="inlineStr">
        <is>
          <t>PORTAL A CRÍTICA</t>
        </is>
      </c>
      <c r="H577" t="inlineStr">
        <is>
          <t>INDÍGENAS VENEZUELANOS ENTREGAM DOCUMENTO PARA GARANTIA DE ACESSO À EDUCAÇÃO</t>
        </is>
      </c>
      <c r="I577" t="inlineStr">
        <is>
          <t>EM PARCERIA COM A UNICEF E ALDEIAS INFANTIS SOS BRASIL, EDUCADORES INDÍGENAS DA ETNIA WARAO ENTREGARAM SOLICITAÇÃO PARA QUE O CONSELHO DE EDUCAÇÃO ESCOLAR INDÍGENA SE MANIFESTE SOBRE OS DIREITOS EDUCACIONAIS DE POVOS INDÍGENAS REFUGIADOS E MIGRANTES NO ESTADO</t>
        </is>
      </c>
      <c r="J577" t="inlineStr"/>
      <c r="K577" t="n">
        <v>0</v>
      </c>
      <c r="L577" t="n">
        <v>1</v>
      </c>
      <c r="M577" t="n">
        <v>0</v>
      </c>
      <c r="N577" t="n">
        <v>0</v>
      </c>
      <c r="O577" t="n">
        <v>0</v>
      </c>
      <c r="P577">
        <f>HYPERLINK("https://www.acritica.com/educacao/indigenas-venezuelanos-entregam-documento-para-garantia-de-acesso-a-educac-o-1.14676", "URL")</f>
        <v/>
      </c>
      <c r="Q577">
        <f>HYPERLINK("https://raw.githubusercontent.com/marcosmapl/dataset_imigrantes/main/materias_filtered/a_critica/venezuelanos/2021/06_jul/html/1.14676_489.html", "HTML")</f>
        <v/>
      </c>
      <c r="R577">
        <f>HYPERLINK("https://raw.githubusercontent.com/marcosmapl/dataset_imigrantes/main/materias_filtered/a_critica/venezuelanos/2021/06_jul/txt/1.14676_489.txt", "TXT")</f>
        <v/>
      </c>
    </row>
    <row r="578">
      <c r="A578" s="1" t="n">
        <v>576</v>
      </c>
      <c r="B578" t="n">
        <v>2021</v>
      </c>
      <c r="C578" s="2" t="n">
        <v>44376.45347222222</v>
      </c>
      <c r="D578" t="inlineStr">
        <is>
          <t>PORTAL AMAZONIA</t>
        </is>
      </c>
      <c r="E578" t="inlineStr">
        <is>
          <t>VENEZUELANOS</t>
        </is>
      </c>
      <c r="F578" t="inlineStr">
        <is>
          <t>CULTURA,ARTE,RORAIMA,NOTÍCIAS,CIDADANIA</t>
        </is>
      </c>
      <c r="G578" t="inlineStr">
        <is>
          <t>REDAÇÃO - JORNALISMO@PORTALAMAZONIA.COM</t>
        </is>
      </c>
      <c r="H578" t="inlineStr">
        <is>
          <t>EXPOSIÇÃO REÚNE OBRAS DE PINTORES E ARTESÃOS VENEZUELANOS EM BOA VISTA</t>
        </is>
      </c>
      <c r="I578" t="inlineStr">
        <is>
          <t>TRABALHOS DE REFUGIADOS E MIGRANTES EXPOSTOS DERAM COR AO DIA MUNDIAL DO REFUGIADO NA CAPITAL RORAIMENSE</t>
        </is>
      </c>
      <c r="J578" t="inlineStr">
        <is>
          <t>ARTE, CIDADANIA, CULTURA, NOTÍCIAS, RORAIMA</t>
        </is>
      </c>
      <c r="K578" t="n">
        <v>5</v>
      </c>
      <c r="L578" t="n">
        <v>8</v>
      </c>
      <c r="M578" t="n">
        <v>0</v>
      </c>
      <c r="N578" t="n">
        <v>0</v>
      </c>
      <c r="O578" t="n">
        <v>16</v>
      </c>
      <c r="P578">
        <f>HYPERLINK("https://portalamazonia.com/noticias/exposicao-reune-obras-de-pintores-e-artesaos-venezuelanos-em-boa-vista", "URL")</f>
        <v/>
      </c>
      <c r="Q578">
        <f>HYPERLINK("https://raw.githubusercontent.com/marcosmapl/dataset_imigrantes/main/materias_filtered/portal_amazonia/venezuelanos/2021/05_jun/html/33063.78306_1567.html", "HTML")</f>
        <v/>
      </c>
      <c r="R578">
        <f>HYPERLINK("https://raw.githubusercontent.com/marcosmapl/dataset_imigrantes/main/materias_filtered/portal_amazonia/venezuelanos/2021/05_jun/txt/33063.78306_1567.txt", "TXT")</f>
        <v/>
      </c>
    </row>
    <row r="579">
      <c r="A579" s="1" t="n">
        <v>577</v>
      </c>
      <c r="B579" t="n">
        <v>2021</v>
      </c>
      <c r="C579" s="2" t="n">
        <v>44376.12760114583</v>
      </c>
      <c r="D579" t="inlineStr">
        <is>
          <t>G1</t>
        </is>
      </c>
      <c r="E579" t="inlineStr">
        <is>
          <t>HAITIANOS</t>
        </is>
      </c>
      <c r="F579" t="inlineStr">
        <is>
          <t>MUNDO</t>
        </is>
      </c>
      <c r="G579" t="inlineStr">
        <is>
          <t>G1</t>
        </is>
      </c>
      <c r="H579" t="inlineStr">
        <is>
          <t>BARCO É ENCONTRADO À DERIVA COM 20 MORTOS NO CARIBE</t>
        </is>
      </c>
      <c r="I579" t="inlineStr">
        <is>
          <t>LOCAL É ROTA DE REFUGIADOS HAITIANOS E TAMBÉM DO TRÁFICO DE DROGAS. POLÍCIA NÃO ENCONTROU SINAIS DE VIOLÊNCIA E NÃO DIVULGOU A IDENTIDADE E A NACIONALIDADE DAS VÍTIMAS.</t>
        </is>
      </c>
      <c r="J579" t="inlineStr"/>
      <c r="K579" t="n">
        <v>0</v>
      </c>
      <c r="L579" t="n">
        <v>1</v>
      </c>
      <c r="M579" t="n">
        <v>1</v>
      </c>
      <c r="N579" t="n">
        <v>0</v>
      </c>
      <c r="O579" t="n">
        <v>1</v>
      </c>
      <c r="P579">
        <f>HYPERLINK("https://g1.globo.com/mundo/noticia/2021/06/29/barco-com-20-mortos-e-encontrado-a-deriva-no-caribe.ghtml", "URL")</f>
        <v/>
      </c>
      <c r="Q579">
        <f>HYPERLINK("https://raw.githubusercontent.com/marcosmapl/dataset_imigrantes/main/materias_filtered/g1/haitianos/2021/05_jun/html/g1_dc185b12-22f5-11ed-b24f-6dbe51e79fca_1976.html", "HTML")</f>
        <v/>
      </c>
      <c r="R579">
        <f>HYPERLINK("https://raw.githubusercontent.com/marcosmapl/dataset_imigrantes/main/materias_filtered/g1/haitianos/2021/05_jun/txt/g1_dc185b12-22f5-11ed-b24f-6dbe51e79fca_1976.txt", "TXT")</f>
        <v/>
      </c>
    </row>
    <row r="580">
      <c r="A580" s="1" t="n">
        <v>578</v>
      </c>
      <c r="B580" t="n">
        <v>2021</v>
      </c>
      <c r="C580" s="2" t="n">
        <v>44373.03924570602</v>
      </c>
      <c r="D580" t="inlineStr">
        <is>
          <t>G1</t>
        </is>
      </c>
      <c r="E580" t="inlineStr">
        <is>
          <t>VENEZUELANOS</t>
        </is>
      </c>
      <c r="F580" t="inlineStr">
        <is>
          <t>ACRE</t>
        </is>
      </c>
      <c r="G580" t="inlineStr">
        <is>
          <t>G1 AC — RIO BRANCO</t>
        </is>
      </c>
      <c r="H580" t="inlineStr">
        <is>
          <t>INDÍGENAS VENEZUELANAS QUE VIVEM EM ABRIGO NO AC GANHAM COLETORES MENSTRUAIS EM AÇÃO NO DIA DO IMIGRANTE</t>
        </is>
      </c>
      <c r="I580" t="inlineStr">
        <is>
          <t>AÇÃO DA DEFENSORIA PÚBLICA DO ACRE ATENDEU MULHERES E ADOLESCENTES DA ETNIA WARAO QUE VIVEM NA CHÁCARA ALIANA, EM RIO BRANCO, NESTA SEXTA-FEIRA (25).</t>
        </is>
      </c>
      <c r="J580" t="inlineStr"/>
      <c r="K580" t="n">
        <v>0</v>
      </c>
      <c r="L580" t="n">
        <v>2</v>
      </c>
      <c r="M580" t="n">
        <v>0</v>
      </c>
      <c r="N580" t="n">
        <v>0</v>
      </c>
      <c r="O580" t="n">
        <v>10</v>
      </c>
      <c r="P580">
        <f>HYPERLINK("https://g1.globo.com/ac/acre/noticia/2021/06/25/indigenas-venezuelanas-que-vivem-em-abrigo-no-ac-ganham-coletores-menstruais-em-acao-no-dia-do-imigrante.ghtml", "URL")</f>
        <v/>
      </c>
      <c r="Q580">
        <f>HYPERLINK("https://raw.githubusercontent.com/marcosmapl/dataset_imigrantes/main/materias_filtered/g1/venezuelanos/2021/05_jun/html/g1_e4ef6184-230b-11ed-b24f-6dbe51e79fca_2594.html", "HTML")</f>
        <v/>
      </c>
      <c r="R580">
        <f>HYPERLINK("https://raw.githubusercontent.com/marcosmapl/dataset_imigrantes/main/materias_filtered/g1/venezuelanos/2021/05_jun/txt/g1_e4ef6184-230b-11ed-b24f-6dbe51e79fca_2594.txt", "TXT")</f>
        <v/>
      </c>
    </row>
    <row r="581">
      <c r="A581" s="1" t="n">
        <v>579</v>
      </c>
      <c r="B581" t="n">
        <v>2021</v>
      </c>
      <c r="C581" s="2" t="n">
        <v>44372.9701671875</v>
      </c>
      <c r="D581" t="inlineStr">
        <is>
          <t>G1</t>
        </is>
      </c>
      <c r="E581" t="inlineStr">
        <is>
          <t>HAITIANOS</t>
        </is>
      </c>
      <c r="F581" t="inlineStr">
        <is>
          <t>SÃO PAULO</t>
        </is>
      </c>
      <c r="G581" t="inlineStr">
        <is>
          <t>SP2 E G1 SP — SÃO PAULO</t>
        </is>
      </c>
      <c r="H581" t="inlineStr">
        <is>
          <t>DIA DO IMIGRANTE: CIDADE DE SP TEM MAIS DE 360 MIL ESTRANGEIROS VIVENDO LEGALMENTE</t>
        </is>
      </c>
      <c r="I581" t="inlineStr">
        <is>
          <t>NACIONALIDADES COM MAIS PRESENÇA SÃO BOLIVIANA E CHINESA. NA BELA VISTA, CENTRO DE SÃO PAULO, HÁ UM CENTRO DE ACOLHIMENTO A IMIGRANTES, UM DOS ÚNICOS DESTE MODELO NO PAÍS.</t>
        </is>
      </c>
      <c r="J581" t="inlineStr"/>
      <c r="K581" t="n">
        <v>0</v>
      </c>
      <c r="L581" t="n">
        <v>2</v>
      </c>
      <c r="M581" t="n">
        <v>1</v>
      </c>
      <c r="N581" t="n">
        <v>0</v>
      </c>
      <c r="O581" t="n">
        <v>3</v>
      </c>
      <c r="P581">
        <f>HYPERLINK("https://g1.globo.com/sp/sao-paulo/noticia/2021/06/25/dia-do-imigrante-cidade-de-sp-tem-mais-de-360-mil-estrangeiros-vivendo-legalmente.ghtml", "URL")</f>
        <v/>
      </c>
      <c r="Q581">
        <f>HYPERLINK("https://raw.githubusercontent.com/marcosmapl/dataset_imigrantes/main/materias_filtered/g1/haitianos/2021/05_jun/html/g1_6d73db40-230a-11ed-b24f-6dbe51e79fca_2505.html", "HTML")</f>
        <v/>
      </c>
      <c r="R581">
        <f>HYPERLINK("https://raw.githubusercontent.com/marcosmapl/dataset_imigrantes/main/materias_filtered/g1/haitianos/2021/05_jun/txt/g1_6d73db40-230a-11ed-b24f-6dbe51e79fca_2505.txt", "TXT")</f>
        <v/>
      </c>
    </row>
    <row r="582">
      <c r="A582" s="1" t="n">
        <v>580</v>
      </c>
      <c r="B582" t="n">
        <v>2021</v>
      </c>
      <c r="C582" s="2" t="n">
        <v>44372.41712982639</v>
      </c>
      <c r="D582" t="inlineStr">
        <is>
          <t>G1</t>
        </is>
      </c>
      <c r="E582" t="inlineStr">
        <is>
          <t>VENEZUELANOS</t>
        </is>
      </c>
      <c r="F582" t="inlineStr">
        <is>
          <t>RORAIMA</t>
        </is>
      </c>
      <c r="G582" t="inlineStr">
        <is>
          <t>G1 RR — BOA VISTA</t>
        </is>
      </c>
      <c r="H582" t="inlineStr">
        <is>
          <t>UFRR ABRE INSCRIÇÕES PARA CURSO BÁSICO E INTERMEDIÁRIO DE LÍNGUA VENEZUELANA DE SINAIS</t>
        </is>
      </c>
      <c r="I582" t="inlineStr">
        <is>
          <t>AS INSCRIÇÕES DEVEM SER FEITAS PELA INTERNET ATÉ O DIA 10 DE JULHO. AS AULAS VÃO ACONTECER DE 31 DE AGOSTO A 4 DE OUTUBRO DESSE ANO</t>
        </is>
      </c>
      <c r="J582" t="inlineStr"/>
      <c r="K582" t="n">
        <v>0</v>
      </c>
      <c r="L582" t="n">
        <v>1</v>
      </c>
      <c r="M582" t="n">
        <v>0</v>
      </c>
      <c r="N582" t="n">
        <v>0</v>
      </c>
      <c r="O582" t="n">
        <v>2</v>
      </c>
      <c r="P582">
        <f>HYPERLINK("https://g1.globo.com/rr/roraima/noticia/2021/06/25/ufrr-abre-inscricoes-para-curso-basico-e-intermediario-de-lingua-venezuelana-de-sinais.ghtml", "URL")</f>
        <v/>
      </c>
      <c r="Q582">
        <f>HYPERLINK("https://raw.githubusercontent.com/marcosmapl/dataset_imigrantes/main/materias_filtered/g1/venezuelanos/2021/05_jun/html/g1_b38459e0-2312-11ed-b24f-6dbe51e79fca_2976.html", "HTML")</f>
        <v/>
      </c>
      <c r="R582">
        <f>HYPERLINK("https://raw.githubusercontent.com/marcosmapl/dataset_imigrantes/main/materias_filtered/g1/venezuelanos/2021/05_jun/txt/g1_b38459e0-2312-11ed-b24f-6dbe51e79fca_2976.txt", "TXT")</f>
        <v/>
      </c>
    </row>
    <row r="583">
      <c r="A583" s="1" t="n">
        <v>581</v>
      </c>
      <c r="B583" t="n">
        <v>2021</v>
      </c>
      <c r="C583" s="2" t="n">
        <v>44372.3754694676</v>
      </c>
      <c r="D583" t="inlineStr">
        <is>
          <t>G1</t>
        </is>
      </c>
      <c r="E583" t="inlineStr">
        <is>
          <t>AMBOS</t>
        </is>
      </c>
      <c r="F583" t="inlineStr">
        <is>
          <t>SÃO PAULO</t>
        </is>
      </c>
      <c r="G583" t="inlineStr">
        <is>
          <t>BÁRBARA MUNIZ VIEIRA, G1 SP — SÃO PAULO</t>
        </is>
      </c>
      <c r="H583" t="inlineStr">
        <is>
          <t>DIA DO IMIGRANTE: Nº DE ESTUDANTES DE OUTROS PAÍSES AUMENTA EM 2021 EM SP; CIDADE TEM ALUNOS DE 97 NAÇÕES NA REDE MUNICIPAL</t>
        </is>
      </c>
      <c r="I583" t="inlineStr">
        <is>
          <t>NACIONALIDADES COM MAIS PRESENÇA SÃO BOLIVIANA, HAITIANA E VENEZUELANA. PARA ESPECIALISTA EM MIGRAÇÕES INTERNACIONAIS E EDUCAÇÃO, 'CRIANÇA É A PARTE MAIS VULNERÁVEL DENTRO DO PROCESSO DE IMIGRAÇÃO'.</t>
        </is>
      </c>
      <c r="J583" t="inlineStr"/>
      <c r="K583" t="n">
        <v>0</v>
      </c>
      <c r="L583" t="n">
        <v>2</v>
      </c>
      <c r="M583" t="n">
        <v>0</v>
      </c>
      <c r="N583" t="n">
        <v>0</v>
      </c>
      <c r="O583" t="n">
        <v>2</v>
      </c>
      <c r="P583">
        <f>HYPERLINK("https://g1.globo.com/sp/sao-paulo/noticia/2021/06/25/dia-do-imigrante-no-de-estudantes-de-outros-paises-aumenta-em-2021-em-sp-cidade-tem-alunos-de-97-nacoes-na-rede-municipal.ghtml", "URL")</f>
        <v/>
      </c>
      <c r="Q583">
        <f>HYPERLINK("https://raw.githubusercontent.com/marcosmapl/dataset_imigrantes/main/materias_filtered/g1/ambos/2021/05_jun/html/g1_fdb91882-2328-11ed-b24f-6dbe51e79fca_4093.html", "HTML")</f>
        <v/>
      </c>
      <c r="R583">
        <f>HYPERLINK("https://raw.githubusercontent.com/marcosmapl/dataset_imigrantes/main/materias_filtered/g1/ambos/2021/05_jun/txt/g1_fdb91882-2328-11ed-b24f-6dbe51e79fca_4093.txt", "TXT")</f>
        <v/>
      </c>
    </row>
    <row r="584">
      <c r="A584" s="1" t="n">
        <v>582</v>
      </c>
      <c r="B584" t="n">
        <v>2021</v>
      </c>
      <c r="C584" s="2" t="n">
        <v>44372.2437765162</v>
      </c>
      <c r="D584" t="inlineStr">
        <is>
          <t>G1</t>
        </is>
      </c>
      <c r="E584" t="inlineStr">
        <is>
          <t>HAITIANOS</t>
        </is>
      </c>
      <c r="F584" t="inlineStr">
        <is>
          <t>AGENDA DO DIA</t>
        </is>
      </c>
      <c r="G584" t="inlineStr">
        <is>
          <t>G1</t>
        </is>
      </c>
      <c r="H584" t="inlineStr">
        <is>
          <t>SEXTA-FEIRA, 25 DE JUNHO</t>
        </is>
      </c>
      <c r="I584" t="inlineStr">
        <is>
          <t>VEJA O QUE VOCÊ PRECISA SABER PARA COMEÇAR O DIA BEM INFORMADO.</t>
        </is>
      </c>
      <c r="J584" t="inlineStr"/>
      <c r="K584" t="n">
        <v>0</v>
      </c>
      <c r="L584" t="n">
        <v>5</v>
      </c>
      <c r="M584" t="n">
        <v>5</v>
      </c>
      <c r="N584" t="n">
        <v>0</v>
      </c>
      <c r="O584" t="n">
        <v>39</v>
      </c>
      <c r="P584">
        <f>HYPERLINK("https://g1.globo.com/agenda-do-dia/noticia/2021/06/25/sexta-feira-25-de-junho.ghtml", "URL")</f>
        <v/>
      </c>
      <c r="Q584">
        <f>HYPERLINK("https://raw.githubusercontent.com/marcosmapl/dataset_imigrantes/main/materias_filtered/g1/haitianos/2021/05_jun/html/g1_5346fc68-232b-11ed-b24f-6dbe51e79fca_4238.html", "HTML")</f>
        <v/>
      </c>
      <c r="R584">
        <f>HYPERLINK("https://raw.githubusercontent.com/marcosmapl/dataset_imigrantes/main/materias_filtered/g1/haitianos/2021/05_jun/txt/g1_5346fc68-232b-11ed-b24f-6dbe51e79fca_4238.txt", "TXT")</f>
        <v/>
      </c>
    </row>
    <row r="585">
      <c r="A585" s="1" t="n">
        <v>583</v>
      </c>
      <c r="B585" t="n">
        <v>2021</v>
      </c>
      <c r="C585" s="2" t="n">
        <v>44371.02749585648</v>
      </c>
      <c r="D585" t="inlineStr">
        <is>
          <t>G1</t>
        </is>
      </c>
      <c r="E585" t="inlineStr">
        <is>
          <t>VENEZUELANOS</t>
        </is>
      </c>
      <c r="F585" t="inlineStr">
        <is>
          <t>RONDÔNIA</t>
        </is>
      </c>
      <c r="G585" t="inlineStr">
        <is>
          <t>G1 RO</t>
        </is>
      </c>
      <c r="H585" t="inlineStr">
        <is>
          <t>VENEZUELANOS RELATAM SERVIÇO PRECÁRIO OFERECIDO POR EMPRESA DE VIAGEM E TURISMO EM RO</t>
        </is>
      </c>
      <c r="I585" t="inlineStr">
        <is>
          <t>O GRUPO, FORMADO POR ADULTOS E CRIANÇAS, RELATA QUE A VIAGEM DEVERIA DURAR UM DIA E MEIO, MAS SE PROLONGOU POR CINCO DIAS E ELES GASTARAM TODO O DINHEIRO QUE TINHAM.</t>
        </is>
      </c>
      <c r="J585" t="inlineStr"/>
      <c r="K585" t="n">
        <v>0</v>
      </c>
      <c r="L585" t="n">
        <v>4</v>
      </c>
      <c r="M585" t="n">
        <v>1</v>
      </c>
      <c r="N585" t="n">
        <v>0</v>
      </c>
      <c r="O585" t="n">
        <v>1</v>
      </c>
      <c r="P585">
        <f>HYPERLINK("https://g1.globo.com/ro/rondonia/noticia/2021/06/23/venezuelanos-relatam-servico-precario-oferecido-por-empresa-de-viagem-e-turismo-em-ro.ghtml", "URL")</f>
        <v/>
      </c>
      <c r="Q585">
        <f>HYPERLINK("https://raw.githubusercontent.com/marcosmapl/dataset_imigrantes/main/materias_filtered/g1/venezuelanos/2021/05_jun/html/g1_4942d29a-2318-11ed-b24f-6dbe51e79fca_3252.html", "HTML")</f>
        <v/>
      </c>
      <c r="R585">
        <f>HYPERLINK("https://raw.githubusercontent.com/marcosmapl/dataset_imigrantes/main/materias_filtered/g1/venezuelanos/2021/05_jun/txt/g1_4942d29a-2318-11ed-b24f-6dbe51e79fca_3252.txt", "TXT")</f>
        <v/>
      </c>
    </row>
    <row r="586">
      <c r="A586" s="1" t="n">
        <v>584</v>
      </c>
      <c r="B586" t="n">
        <v>2021</v>
      </c>
      <c r="C586" s="2" t="n">
        <v>44370.86049178241</v>
      </c>
      <c r="D586" t="inlineStr">
        <is>
          <t>G1</t>
        </is>
      </c>
      <c r="E586" t="inlineStr">
        <is>
          <t>VENEZUELANOS</t>
        </is>
      </c>
      <c r="F586" t="inlineStr">
        <is>
          <t>PARÁ</t>
        </is>
      </c>
      <c r="G586" t="inlineStr">
        <is>
          <t>G1 PA — BELÉM</t>
        </is>
      </c>
      <c r="H586" t="inlineStr">
        <is>
          <t>VENEZUELANOS FICAM PRESOS NO AEROPORTO DE BELÉM APÓS DESEMBARCAR DE VOO PARA SUDESTE DO PAÍS</t>
        </is>
      </c>
      <c r="I586" t="inlineStr">
        <is>
          <t>ELES FORAM IMPEDIDOS DE SEGUIR VIAGEM, DEPOIS DE LOTAÇÃO MÁXIMA NO VOO QUE OS LEVARIA PARA OUTRAS CIDADES DO BRASIL.</t>
        </is>
      </c>
      <c r="J586" t="inlineStr"/>
      <c r="K586" t="n">
        <v>0</v>
      </c>
      <c r="L586" t="n">
        <v>1</v>
      </c>
      <c r="M586" t="n">
        <v>0</v>
      </c>
      <c r="N586" t="n">
        <v>0</v>
      </c>
      <c r="O586" t="n">
        <v>1</v>
      </c>
      <c r="P586">
        <f>HYPERLINK("https://g1.globo.com/pa/para/noticia/2021/06/23/venezuelanos-ficam-presos-no-aeroporto-de-belem-apos-desembarcar-de-voo-para-o-sudeste-do-pais.ghtml", "URL")</f>
        <v/>
      </c>
      <c r="Q586">
        <f>HYPERLINK("https://raw.githubusercontent.com/marcosmapl/dataset_imigrantes/main/materias_filtered/g1/venezuelanos/2021/05_jun/html/g1_992131e6-2311-11ed-b24f-6dbe51e79fca_2924.html", "HTML")</f>
        <v/>
      </c>
      <c r="R586">
        <f>HYPERLINK("https://raw.githubusercontent.com/marcosmapl/dataset_imigrantes/main/materias_filtered/g1/venezuelanos/2021/05_jun/txt/g1_992131e6-2311-11ed-b24f-6dbe51e79fca_2924.txt", "TXT")</f>
        <v/>
      </c>
    </row>
    <row r="587">
      <c r="A587" s="1" t="n">
        <v>585</v>
      </c>
      <c r="B587" t="n">
        <v>2021</v>
      </c>
      <c r="C587" s="2" t="n">
        <v>44370.76779061343</v>
      </c>
      <c r="D587" t="inlineStr">
        <is>
          <t>G1</t>
        </is>
      </c>
      <c r="E587" t="inlineStr">
        <is>
          <t>VENEZUELANOS</t>
        </is>
      </c>
      <c r="F587" t="inlineStr">
        <is>
          <t>MARANHÃO</t>
        </is>
      </c>
      <c r="G587" t="inlineStr">
        <is>
          <t>G1 MA</t>
        </is>
      </c>
      <c r="H587" t="inlineStr">
        <is>
          <t>INDÍGENAS VENEZUELANOS SÃO VACINADOS CONTRA A COVID-19 EM SÃO LUÍS</t>
        </is>
      </c>
      <c r="I587" t="inlineStr">
        <is>
          <t>A VACINAÇÃO DOS IMIGRANTES TEVE INÍCIO NA ÚLTIMA SEGUNDA-FEIRA (21) E, DE ACORDO COM O GOVERNO ESTADUAL, ESSE PÚBLICO É CONSIDERADO DE RISCO POR ESTAR DIARIAMENTE NAS RUAS.</t>
        </is>
      </c>
      <c r="J587" t="inlineStr"/>
      <c r="K587" t="n">
        <v>0</v>
      </c>
      <c r="L587" t="n">
        <v>1</v>
      </c>
      <c r="M587" t="n">
        <v>0</v>
      </c>
      <c r="N587" t="n">
        <v>0</v>
      </c>
      <c r="O587" t="n">
        <v>0</v>
      </c>
      <c r="P587">
        <f>HYPERLINK("https://g1.globo.com/ma/maranhao/noticia/2021/06/23/indigenas-venezuelanos-sao-vacinados-contra-a-covid-19-em-sao-luis.ghtml", "URL")</f>
        <v/>
      </c>
      <c r="Q587">
        <f>HYPERLINK("https://raw.githubusercontent.com/marcosmapl/dataset_imigrantes/main/materias_filtered/g1/venezuelanos/2021/05_jun/html/g1_f63ab012-2313-11ed-b24f-6dbe51e79fca_3037.html", "HTML")</f>
        <v/>
      </c>
      <c r="R587">
        <f>HYPERLINK("https://raw.githubusercontent.com/marcosmapl/dataset_imigrantes/main/materias_filtered/g1/venezuelanos/2021/05_jun/txt/g1_f63ab012-2313-11ed-b24f-6dbe51e79fca_3037.txt", "TXT")</f>
        <v/>
      </c>
    </row>
    <row r="588">
      <c r="A588" s="1" t="n">
        <v>586</v>
      </c>
      <c r="B588" t="n">
        <v>2021</v>
      </c>
      <c r="C588" s="2" t="n">
        <v>44370.62557405092</v>
      </c>
      <c r="D588" t="inlineStr">
        <is>
          <t>G1</t>
        </is>
      </c>
      <c r="E588" t="inlineStr">
        <is>
          <t>HAITIANOS</t>
        </is>
      </c>
      <c r="F588" t="inlineStr">
        <is>
          <t>ACRE</t>
        </is>
      </c>
      <c r="G588" t="inlineStr">
        <is>
          <t>IRYÁ RODRIGUES, G1 AC — RIO BRANCO</t>
        </is>
      </c>
      <c r="H588" t="inlineStr">
        <is>
          <t>IMPEDIDOS DE ATRAVESSAR A FRONTEIRA PELA POLÍCIA PERUANA, CERCA DE 80 IMIGRANTES FICAM RETIDOS NO ACRE</t>
        </is>
      </c>
      <c r="I588" t="inlineStr">
        <is>
          <t>IMIGRANTES CHEGARAM EM ASSIS BRASIL, NO INTERIOR DO ACRE, NO DOMINGO (20) E TENTARAM PASSAR PARA O PAÍS VIZINHO, MAS FORAM IMPEDIDOS PELA BARREIRA POLICIAL PERUANA NA PONTE DA INTEGRAÇÃO. GRUPO, DE MAIORIA HAITIANA E AFRICANA, ESTÁ EM HOTÉIS DA CIDADE ACREANA.</t>
        </is>
      </c>
      <c r="J588" t="inlineStr"/>
      <c r="K588" t="n">
        <v>0</v>
      </c>
      <c r="L588" t="n">
        <v>3</v>
      </c>
      <c r="M588" t="n">
        <v>1</v>
      </c>
      <c r="N588" t="n">
        <v>0</v>
      </c>
      <c r="O588" t="n">
        <v>7</v>
      </c>
      <c r="P588">
        <f>HYPERLINK("https://g1.globo.com/ac/acre/noticia/2021/06/23/impedidos-de-atravessar-a-fronteira-pela-policia-peruana-cerca-de-80-imigrantes-ficam-retidos-no-acre.ghtml", "URL")</f>
        <v/>
      </c>
      <c r="Q588">
        <f>HYPERLINK("https://raw.githubusercontent.com/marcosmapl/dataset_imigrantes/main/materias_filtered/g1/haitianos/2021/05_jun/html/g1_e4b26644-2306-11ed-b24f-6dbe51e79fca_2284.html", "HTML")</f>
        <v/>
      </c>
      <c r="R588">
        <f>HYPERLINK("https://raw.githubusercontent.com/marcosmapl/dataset_imigrantes/main/materias_filtered/g1/haitianos/2021/05_jun/txt/g1_e4b26644-2306-11ed-b24f-6dbe51e79fca_2284.txt", "TXT")</f>
        <v/>
      </c>
    </row>
    <row r="589">
      <c r="A589" s="1" t="n">
        <v>587</v>
      </c>
      <c r="B589" t="n">
        <v>2021</v>
      </c>
      <c r="C589" s="2" t="n">
        <v>44369.73145759259</v>
      </c>
      <c r="D589" t="inlineStr">
        <is>
          <t>G1</t>
        </is>
      </c>
      <c r="E589" t="inlineStr">
        <is>
          <t>AMBOS</t>
        </is>
      </c>
      <c r="F589" t="inlineStr">
        <is>
          <t>POLÍTICA</t>
        </is>
      </c>
      <c r="G589" t="inlineStr">
        <is>
          <t>WELLINGTON HANNA, TV GLOBO — BRASÍLIA</t>
        </is>
      </c>
      <c r="H589" t="inlineStr">
        <is>
          <t>BRASIL TEM 60 MIL REFUGIADOS, DIZ MINISTÉRIO DA JUSTIÇA; 26 MIL FORAM RECONHECIDOS EM 2020</t>
        </is>
      </c>
      <c r="I589" t="inlineStr">
        <is>
          <t>SEIS EM CADA DEZ PEDIDOS VIERAM DE VENEZUELANOS, E A MAIOR PARTE FOI REGISTRADA NA REGIÃO NORTE. CONSELHO TAMBÉM REGISTROU 6,6 MIL SOLICITAÇÕES DE HAITIANOS.</t>
        </is>
      </c>
      <c r="J589" t="inlineStr"/>
      <c r="K589" t="n">
        <v>0</v>
      </c>
      <c r="L589" t="n">
        <v>1</v>
      </c>
      <c r="M589" t="n">
        <v>1</v>
      </c>
      <c r="N589" t="n">
        <v>0</v>
      </c>
      <c r="O589" t="n">
        <v>2</v>
      </c>
      <c r="P589">
        <f>HYPERLINK("https://g1.globo.com/politica/noticia/2021/06/22/brasil-tem-50-mil-refugiados-diz-ministerio-da-justica-26-mil-foram-reconhecidos-em-2020.ghtml", "URL")</f>
        <v/>
      </c>
      <c r="Q589">
        <f>HYPERLINK("https://raw.githubusercontent.com/marcosmapl/dataset_imigrantes/main/materias_filtered/g1/ambos/2021/05_jun/html/g1_a7dce3b4-22f9-11ed-b24f-6dbe51e79fca_2176.html", "HTML")</f>
        <v/>
      </c>
      <c r="R589">
        <f>HYPERLINK("https://raw.githubusercontent.com/marcosmapl/dataset_imigrantes/main/materias_filtered/g1/ambos/2021/05_jun/txt/g1_a7dce3b4-22f9-11ed-b24f-6dbe51e79fca_2176.txt", "TXT")</f>
        <v/>
      </c>
    </row>
    <row r="590">
      <c r="A590" s="1" t="n">
        <v>588</v>
      </c>
      <c r="B590" t="n">
        <v>2021</v>
      </c>
      <c r="C590" s="2" t="n">
        <v>44367.6898659838</v>
      </c>
      <c r="D590" t="inlineStr">
        <is>
          <t>G1</t>
        </is>
      </c>
      <c r="E590" t="inlineStr">
        <is>
          <t>VENEZUELANOS</t>
        </is>
      </c>
      <c r="F590" t="inlineStr">
        <is>
          <t>AMAZONAS</t>
        </is>
      </c>
      <c r="G590" t="inlineStr">
        <is>
          <t>PATRICK MARQUES, G1 AM</t>
        </is>
      </c>
      <c r="H590" t="inlineStr">
        <is>
          <t>VENEZUELANO É MORTO COM GOLPES DE BARRA DE FERRO EM MANAUS</t>
        </is>
      </c>
      <c r="I590" t="inlineStr">
        <is>
          <t>CRIME ACONTECEU EM UM BAR APÓS DISCUSSÃO ENTRE A VÍTIMA E O SUSPEITO QUE FUGIU DO LOCAL.</t>
        </is>
      </c>
      <c r="J590" t="inlineStr"/>
      <c r="K590" t="n">
        <v>0</v>
      </c>
      <c r="L590" t="n">
        <v>4</v>
      </c>
      <c r="M590" t="n">
        <v>0</v>
      </c>
      <c r="N590" t="n">
        <v>0</v>
      </c>
      <c r="O590" t="n">
        <v>1</v>
      </c>
      <c r="P590">
        <f>HYPERLINK("https://g1.globo.com/am/amazonas/noticia/2021/06/20/venezuelano-e-morto-com-golpes-de-barra-de-ferro-em-manaus.ghtml", "URL")</f>
        <v/>
      </c>
      <c r="Q590">
        <f>HYPERLINK("https://raw.githubusercontent.com/marcosmapl/dataset_imigrantes/main/materias_filtered/g1/venezuelanos/2021/05_jun/html/g1_37f70338-2329-11ed-b24f-6dbe51e79fca_4103.html", "HTML")</f>
        <v/>
      </c>
      <c r="R590">
        <f>HYPERLINK("https://raw.githubusercontent.com/marcosmapl/dataset_imigrantes/main/materias_filtered/g1/venezuelanos/2021/05_jun/txt/g1_37f70338-2329-11ed-b24f-6dbe51e79fca_4103.txt", "TXT")</f>
        <v/>
      </c>
    </row>
    <row r="591">
      <c r="A591" s="1" t="n">
        <v>589</v>
      </c>
      <c r="B591" t="n">
        <v>2021</v>
      </c>
      <c r="C591" s="2" t="n">
        <v>44367.67812199074</v>
      </c>
      <c r="D591" t="inlineStr">
        <is>
          <t>G1</t>
        </is>
      </c>
      <c r="E591" t="inlineStr">
        <is>
          <t>VENEZUELANOS</t>
        </is>
      </c>
      <c r="F591" t="inlineStr">
        <is>
          <t>RORAIMA</t>
        </is>
      </c>
      <c r="G591" t="inlineStr">
        <is>
          <t>G1 RR — BOA VISTA</t>
        </is>
      </c>
      <c r="H591" t="inlineStr">
        <is>
          <t>INDÍGENAS VENEZUELANOS SÃO VACINADOS CONTRA A COVID-19 EM RORAIMA</t>
        </is>
      </c>
      <c r="I591" t="inlineStr">
        <is>
          <t>AO TODO, 754 INDÍGENAS DOS QUATRO ABRIGOS DA CAPITAL SERÃO VACINADOS, INFORMOU A OPERAÇÃO ACOLHIDA.</t>
        </is>
      </c>
      <c r="J591" t="inlineStr"/>
      <c r="K591" t="n">
        <v>0</v>
      </c>
      <c r="L591" t="n">
        <v>2</v>
      </c>
      <c r="M591" t="n">
        <v>0</v>
      </c>
      <c r="N591" t="n">
        <v>0</v>
      </c>
      <c r="O591" t="n">
        <v>0</v>
      </c>
      <c r="P591">
        <f>HYPERLINK("https://g1.globo.com/rr/roraima/noticia/2021/06/20/indigenas-venezuelanos-sao-vacinados-contra-a-covid-19-em-roraima.ghtml", "URL")</f>
        <v/>
      </c>
      <c r="Q591">
        <f>HYPERLINK("https://raw.githubusercontent.com/marcosmapl/dataset_imigrantes/main/materias_filtered/g1/venezuelanos/2021/05_jun/html/g1_406c06cc-2319-11ed-b24f-6dbe51e79fca_3305.html", "HTML")</f>
        <v/>
      </c>
      <c r="R591">
        <f>HYPERLINK("https://raw.githubusercontent.com/marcosmapl/dataset_imigrantes/main/materias_filtered/g1/venezuelanos/2021/05_jun/txt/g1_406c06cc-2319-11ed-b24f-6dbe51e79fca_3305.txt", "TXT")</f>
        <v/>
      </c>
    </row>
    <row r="592">
      <c r="A592" s="1" t="n">
        <v>590</v>
      </c>
      <c r="B592" t="n">
        <v>2021</v>
      </c>
      <c r="C592" s="2" t="n">
        <v>44367.5883912037</v>
      </c>
      <c r="D592" t="inlineStr">
        <is>
          <t>A CRITICA</t>
        </is>
      </c>
      <c r="E592" t="inlineStr">
        <is>
          <t>VENEZUELANOS</t>
        </is>
      </c>
      <c r="F592" t="inlineStr">
        <is>
          <t>POLICIA</t>
        </is>
      </c>
      <c r="G592" t="inlineStr">
        <is>
          <t>KAROL ROCHA</t>
        </is>
      </c>
      <c r="H592" t="inlineStr">
        <is>
          <t>NOITE DE HOMICÍDIOS TERMINA COM CINCO ASSASSINADOS EM MANAUS</t>
        </is>
      </c>
      <c r="I592" t="inlineStr">
        <is>
          <t>OS CRIMES OCORRERAM NAS ZONAS NORTE, LESTE E CENTRO SUL DA CAPITAL ENTRE A NOITE DE SÁBADO (19) E A MADRUGADA DE DOMINGO (20)</t>
        </is>
      </c>
      <c r="J592" t="inlineStr"/>
      <c r="K592" t="n">
        <v>0</v>
      </c>
      <c r="L592" t="n">
        <v>1</v>
      </c>
      <c r="M592" t="n">
        <v>0</v>
      </c>
      <c r="N592" t="n">
        <v>0</v>
      </c>
      <c r="O592" t="n">
        <v>0</v>
      </c>
      <c r="P592">
        <f>HYPERLINK("https://www.acritica.com/policia/noite-de-homicidios-termina-com-cinco-assassinados-em-manaus-1.15107", "URL")</f>
        <v/>
      </c>
      <c r="Q592">
        <f>HYPERLINK("https://raw.githubusercontent.com/marcosmapl/dataset_imigrantes/main/materias_filtered/a_critica/venezuelanos/2021/05_jun/html/1.15107_1372.html", "HTML")</f>
        <v/>
      </c>
      <c r="R592">
        <f>HYPERLINK("https://raw.githubusercontent.com/marcosmapl/dataset_imigrantes/main/materias_filtered/a_critica/venezuelanos/2021/05_jun/txt/1.15107_1372.txt", "TXT")</f>
        <v/>
      </c>
    </row>
    <row r="593">
      <c r="A593" s="1" t="n">
        <v>591</v>
      </c>
      <c r="B593" t="n">
        <v>2021</v>
      </c>
      <c r="C593" s="2" t="n">
        <v>44367.4587670949</v>
      </c>
      <c r="D593" t="inlineStr">
        <is>
          <t>G1</t>
        </is>
      </c>
      <c r="E593" t="inlineStr">
        <is>
          <t>VENEZUELANOS</t>
        </is>
      </c>
      <c r="F593" t="inlineStr">
        <is>
          <t>RORAIMA</t>
        </is>
      </c>
      <c r="G593" t="inlineStr">
        <is>
          <t>G1 RR E REDE AMAZÔNICA — BOA VISTA</t>
        </is>
      </c>
      <c r="H593" t="inlineStr">
        <is>
          <t>APAIXONADO POR ANIMAIS, VENEZUELANO MORADOR DE RUA ADOTA OITO CACHORROS EM BOA VISTA</t>
        </is>
      </c>
      <c r="I593" t="inlineStr">
        <is>
          <t>ROLANDO MELENDE, DE 35 ANOS, VENDE ARTESANATO NAS RUAS DA CIDADE E PARTE DO QUE GANHA É USADO PARA CUIDAR DOS CACHORROS.</t>
        </is>
      </c>
      <c r="J593" t="inlineStr"/>
      <c r="K593" t="n">
        <v>0</v>
      </c>
      <c r="L593" t="n">
        <v>1</v>
      </c>
      <c r="M593" t="n">
        <v>1</v>
      </c>
      <c r="N593" t="n">
        <v>0</v>
      </c>
      <c r="O593" t="n">
        <v>0</v>
      </c>
      <c r="P593">
        <f>HYPERLINK("https://g1.globo.com/rr/roraima/noticia/2021/06/20/apaixonado-por-animais-venezuelano-morador-de-rua-adota-oito-cachorros-em-boa-vista.ghtml", "URL")</f>
        <v/>
      </c>
      <c r="Q593">
        <f>HYPERLINK("https://raw.githubusercontent.com/marcosmapl/dataset_imigrantes/main/materias_filtered/g1/venezuelanos/2021/05_jun/html/g1_7d31fd72-2315-11ed-b24f-6dbe51e79fca_3088.html", "HTML")</f>
        <v/>
      </c>
      <c r="R593">
        <f>HYPERLINK("https://raw.githubusercontent.com/marcosmapl/dataset_imigrantes/main/materias_filtered/g1/venezuelanos/2021/05_jun/txt/g1_7d31fd72-2315-11ed-b24f-6dbe51e79fca_3088.txt", "TXT")</f>
        <v/>
      </c>
    </row>
    <row r="594">
      <c r="A594" s="1" t="n">
        <v>592</v>
      </c>
      <c r="B594" t="n">
        <v>2021</v>
      </c>
      <c r="C594" s="2" t="n">
        <v>44365.3755912037</v>
      </c>
      <c r="D594" t="inlineStr">
        <is>
          <t>G1</t>
        </is>
      </c>
      <c r="E594" t="inlineStr">
        <is>
          <t>VENEZUELANOS</t>
        </is>
      </c>
      <c r="F594" t="inlineStr">
        <is>
          <t>MUNDO</t>
        </is>
      </c>
      <c r="G594" t="inlineStr">
        <is>
          <t>FERNANDA BERLINCK, G1 — BOA VISTA</t>
        </is>
      </c>
      <c r="H594" t="inlineStr">
        <is>
          <t>ABRIGADO EM RORAIMA, REFUGIADO VENEZUELANO SE CASA COM ANTIGA COMPANHEIRA E SONHA EM VOLTAR A ATUAR COMO ADVOGADO</t>
        </is>
      </c>
      <c r="I594" t="inlineStr">
        <is>
          <t>ISRAEL ALVAREZ DE ARMAS VIVE COM A ESPOSA EM UM DOS 13 ABRIGOS DA OPERAÇÃO ACOLHIDA, EM BOA VISTA. ELE VEIO AO BRASIL EM ABRIL DE 2019 EM BUSCA DE ASILO POLÍTICO.</t>
        </is>
      </c>
      <c r="J594" t="inlineStr"/>
      <c r="K594" t="n">
        <v>0</v>
      </c>
      <c r="L594" t="n">
        <v>2</v>
      </c>
      <c r="M594" t="n">
        <v>0</v>
      </c>
      <c r="N594" t="n">
        <v>0</v>
      </c>
      <c r="O594" t="n">
        <v>4</v>
      </c>
      <c r="P594">
        <f>HYPERLINK("https://g1.globo.com/mundo/noticia/2021/06/18/abrigado-em-roraima-refugiado-venezuelano-se-casa-com-antiga-companheira-e-sonha-em-voltar-a-atuar-como-advogado.ghtml", "URL")</f>
        <v/>
      </c>
      <c r="Q594">
        <f>HYPERLINK("https://raw.githubusercontent.com/marcosmapl/dataset_imigrantes/main/materias_filtered/g1/venezuelanos/2021/05_jun/html/g1_a87700e8-2326-11ed-b24f-6dbe51e79fca_3990.html", "HTML")</f>
        <v/>
      </c>
      <c r="R594">
        <f>HYPERLINK("https://raw.githubusercontent.com/marcosmapl/dataset_imigrantes/main/materias_filtered/g1/venezuelanos/2021/05_jun/txt/g1_a87700e8-2326-11ed-b24f-6dbe51e79fca_3990.txt", "TXT")</f>
        <v/>
      </c>
    </row>
    <row r="595">
      <c r="A595" s="1" t="n">
        <v>593</v>
      </c>
      <c r="B595" t="n">
        <v>2021</v>
      </c>
      <c r="C595" s="2" t="n">
        <v>44365.04454630787</v>
      </c>
      <c r="D595" t="inlineStr">
        <is>
          <t>G1</t>
        </is>
      </c>
      <c r="E595" t="inlineStr">
        <is>
          <t>VENEZUELANOS</t>
        </is>
      </c>
      <c r="F595" t="inlineStr">
        <is>
          <t>MUNDO</t>
        </is>
      </c>
      <c r="G595" t="inlineStr">
        <is>
          <t>FRANCE PRESSE</t>
        </is>
      </c>
      <c r="H595" t="inlineStr">
        <is>
          <t>EUA FLEXIBILIZAM SANÇÕES CONTRA O GOVERNO MADURO NA VENEZUELA PARA O COMBATE À COVID-19</t>
        </is>
      </c>
      <c r="I595" t="inlineStr">
        <is>
          <t>ENTREGA DE MATERIAIS E INSUMOS PARA COMBATER O CORONAVÍRUS FICA PERMITIDA, MAS NEGÓCIOS COM EMPRESAS VENEZUELANAS INCLUÍDAS NAS SANÇÕES, NÃO. PAÍS TEM VACINAÇÃO LENTA E ALTO NÚMERO DE CASOS DE COVID.</t>
        </is>
      </c>
      <c r="J595" t="inlineStr"/>
      <c r="K595" t="n">
        <v>0</v>
      </c>
      <c r="L595" t="n">
        <v>2</v>
      </c>
      <c r="M595" t="n">
        <v>1</v>
      </c>
      <c r="N595" t="n">
        <v>0</v>
      </c>
      <c r="O595" t="n">
        <v>0</v>
      </c>
      <c r="P595">
        <f>HYPERLINK("https://g1.globo.com/mundo/noticia/2021/06/17/eua-flexibilizam-sancoes-contra-o-governo-maduro-na-venezuela-para-o-combate-a-covid-19.ghtml", "URL")</f>
        <v/>
      </c>
      <c r="Q595">
        <f>HYPERLINK("https://raw.githubusercontent.com/marcosmapl/dataset_imigrantes/main/materias_filtered/g1/venezuelanos/2021/05_jun/html/g1_bd6d9dc2-2326-11ed-b24f-6dbe51e79fca_3996.html", "HTML")</f>
        <v/>
      </c>
      <c r="R595">
        <f>HYPERLINK("https://raw.githubusercontent.com/marcosmapl/dataset_imigrantes/main/materias_filtered/g1/venezuelanos/2021/05_jun/txt/g1_bd6d9dc2-2326-11ed-b24f-6dbe51e79fca_3996.txt", "TXT")</f>
        <v/>
      </c>
    </row>
    <row r="596">
      <c r="A596" s="1" t="n">
        <v>594</v>
      </c>
      <c r="B596" t="n">
        <v>2021</v>
      </c>
      <c r="C596" s="2" t="n">
        <v>44364.98146876157</v>
      </c>
      <c r="D596" t="inlineStr">
        <is>
          <t>G1</t>
        </is>
      </c>
      <c r="E596" t="inlineStr">
        <is>
          <t>VENEZUELANOS</t>
        </is>
      </c>
      <c r="F596" t="inlineStr">
        <is>
          <t>DISTRITO FEDERAL</t>
        </is>
      </c>
      <c r="G596" t="inlineStr">
        <is>
          <t>CAROLINA CRUZ, G1 DF</t>
        </is>
      </c>
      <c r="H596" t="inlineStr">
        <is>
          <t>COPA AMÉRICA: JOGADORES VENEZUELANOS FORAM INFECTADOS PELA VARIANTE GAMA DO CORONAVÍRUS, ORIGINADA EM MANAUS</t>
        </is>
      </c>
      <c r="I596" t="inlineStr">
        <is>
          <t>AO TODO,13 ATLETAS TESTARAM POSITIVO E SEGUEM ISOLADOS EM BRASÍLIA. SEQUENCIAMENTO FOI REALIZADO PELA SECRETARIA DE SAÚDE DO DISTRITO FEDERAL.</t>
        </is>
      </c>
      <c r="J596" t="inlineStr"/>
      <c r="K596" t="n">
        <v>0</v>
      </c>
      <c r="L596" t="n">
        <v>2</v>
      </c>
      <c r="M596" t="n">
        <v>1</v>
      </c>
      <c r="N596" t="n">
        <v>0</v>
      </c>
      <c r="O596" t="n">
        <v>8</v>
      </c>
      <c r="P596">
        <f>HYPERLINK("https://g1.globo.com/df/distrito-federal/noticia/2021/06/17/copa-america-jogadores-venezuelanos-foram-infectados-pela-variante-gama-do-coronavirus-originada-em-manaus.ghtml", "URL")</f>
        <v/>
      </c>
      <c r="Q596">
        <f>HYPERLINK("https://raw.githubusercontent.com/marcosmapl/dataset_imigrantes/main/materias_filtered/g1/venezuelanos/2021/05_jun/html/g1_f933ceca-2322-11ed-b24f-6dbe51e79fca_3781.html", "HTML")</f>
        <v/>
      </c>
      <c r="R596">
        <f>HYPERLINK("https://raw.githubusercontent.com/marcosmapl/dataset_imigrantes/main/materias_filtered/g1/venezuelanos/2021/05_jun/txt/g1_f933ceca-2322-11ed-b24f-6dbe51e79fca_3781.txt", "TXT")</f>
        <v/>
      </c>
    </row>
    <row r="597">
      <c r="A597" s="1" t="n">
        <v>595</v>
      </c>
      <c r="B597" t="n">
        <v>2021</v>
      </c>
      <c r="C597" s="2" t="n">
        <v>44364.38637059028</v>
      </c>
      <c r="D597" t="inlineStr">
        <is>
          <t>G1</t>
        </is>
      </c>
      <c r="E597" t="inlineStr">
        <is>
          <t>VENEZUELANOS</t>
        </is>
      </c>
      <c r="F597" t="inlineStr">
        <is>
          <t>DISTRITO FEDERAL</t>
        </is>
      </c>
      <c r="G597" t="inlineStr">
        <is>
          <t>CAROLINA CRUZ, G1 DF</t>
        </is>
      </c>
      <c r="H597" t="inlineStr">
        <is>
          <t>COPA AMÉRICA: 10 TRABALHADORES DO MANÉ GARRINCHA E 3 FUNCIONÁRIOS DE HOTÉIS TESTAM POSITIVO PARA COVID EM BRASÍLIA</t>
        </is>
      </c>
      <c r="I597" t="inlineStr">
        <is>
          <t>AO TODO, 53 PESSOAS ENVOLVIDAS NO EVENTO ESTÃO CONTAMINADOS NO PAÍS; DESSES, 27 EM BRASÍLIA. LISTA TAMBÉM INCLUI INTEGRANTES DA DELEGAÇÃO VENEZUELANA E DA EQUIPE DA CONMEBOL.</t>
        </is>
      </c>
      <c r="J597" t="inlineStr"/>
      <c r="K597" t="n">
        <v>0</v>
      </c>
      <c r="L597" t="n">
        <v>3</v>
      </c>
      <c r="M597" t="n">
        <v>1</v>
      </c>
      <c r="N597" t="n">
        <v>0</v>
      </c>
      <c r="O597" t="n">
        <v>7</v>
      </c>
      <c r="P597">
        <f>HYPERLINK("https://g1.globo.com/df/distrito-federal/noticia/2021/06/17/copa-america-10-trabalhadores-do-mane-garrincha-e-3-funcionarios-de-hoteis-testam-positivo-para-covid-em-brasilia.ghtml", "URL")</f>
        <v/>
      </c>
      <c r="Q597">
        <f>HYPERLINK("https://raw.githubusercontent.com/marcosmapl/dataset_imigrantes/main/materias_filtered/g1/venezuelanos/2021/05_jun/html/g1_ae31a8ba-230a-11ed-b24f-6dbe51e79fca_2520.html", "HTML")</f>
        <v/>
      </c>
      <c r="R597">
        <f>HYPERLINK("https://raw.githubusercontent.com/marcosmapl/dataset_imigrantes/main/materias_filtered/g1/venezuelanos/2021/05_jun/txt/g1_ae31a8ba-230a-11ed-b24f-6dbe51e79fca_2520.txt", "TXT")</f>
        <v/>
      </c>
    </row>
    <row r="598">
      <c r="A598" s="1" t="n">
        <v>596</v>
      </c>
      <c r="B598" t="n">
        <v>2021</v>
      </c>
      <c r="C598" s="2" t="n">
        <v>44363.77910666667</v>
      </c>
      <c r="D598" t="inlineStr">
        <is>
          <t>G1</t>
        </is>
      </c>
      <c r="E598" t="inlineStr">
        <is>
          <t>VENEZUELANOS</t>
        </is>
      </c>
      <c r="F598" t="inlineStr">
        <is>
          <t>PIAUÍ</t>
        </is>
      </c>
      <c r="G598" t="inlineStr">
        <is>
          <t>CATARINA COSTA, G1 PI</t>
        </is>
      </c>
      <c r="H598" t="inlineStr">
        <is>
          <t>MP INSTAURA PROCEDIMENTO PARA APURAR SITUAÇÃO DE VENEZUELANOS APÓS MORTE DE BEBÊ EM TERESINA</t>
        </is>
      </c>
      <c r="I598" t="inlineStr">
        <is>
          <t>A FUNDAÇÃO NACIONAL DO ÍNDIO (FUNAI) DENUNCIOU QUE AS FAMÍLIAS NÃO ESTÃO RECEBENDO TRATAMENTO DE SAÚDE, ALIMENTAÇÃO E MATERIAIS DE HIGIENE DE FORMA ADEQUADA.</t>
        </is>
      </c>
      <c r="J598" t="inlineStr"/>
      <c r="K598" t="n">
        <v>0</v>
      </c>
      <c r="L598" t="n">
        <v>2</v>
      </c>
      <c r="M598" t="n">
        <v>0</v>
      </c>
      <c r="N598" t="n">
        <v>0</v>
      </c>
      <c r="O598" t="n">
        <v>3</v>
      </c>
      <c r="P598">
        <f>HYPERLINK("https://g1.globo.com/pi/piaui/noticia/2021/06/16/mp-instaura-procedimento-para-apurar-situacao-de-indigenas-apos-morte-de-bebe-por-diarreia-no-piaui.ghtml", "URL")</f>
        <v/>
      </c>
      <c r="Q598">
        <f>HYPERLINK("https://raw.githubusercontent.com/marcosmapl/dataset_imigrantes/main/materias_filtered/g1/venezuelanos/2021/05_jun/html/g1_7a2b4db2-2307-11ed-b24f-6dbe51e79fca_2320.html", "HTML")</f>
        <v/>
      </c>
      <c r="R598">
        <f>HYPERLINK("https://raw.githubusercontent.com/marcosmapl/dataset_imigrantes/main/materias_filtered/g1/venezuelanos/2021/05_jun/txt/g1_7a2b4db2-2307-11ed-b24f-6dbe51e79fca_2320.txt", "TXT")</f>
        <v/>
      </c>
    </row>
    <row r="599">
      <c r="A599" s="1" t="n">
        <v>597</v>
      </c>
      <c r="B599" t="n">
        <v>2021</v>
      </c>
      <c r="C599" s="2" t="n">
        <v>44363.51531795139</v>
      </c>
      <c r="D599" t="inlineStr">
        <is>
          <t>G1</t>
        </is>
      </c>
      <c r="E599" t="inlineStr">
        <is>
          <t>VENEZUELANOS</t>
        </is>
      </c>
      <c r="F599" t="inlineStr">
        <is>
          <t>PIRACICABA E REGIÃO</t>
        </is>
      </c>
      <c r="G599" t="inlineStr">
        <is>
          <t>BOM DIA CIDADE</t>
        </is>
      </c>
      <c r="H599" t="inlineStr">
        <is>
          <t>VENEZUELANO É LEVADO PARA A DELEGACIA APÓS AGREDIR ESPOSA E FILHO DURANTE BRIGA EM LIMEIRA</t>
        </is>
      </c>
      <c r="I599" t="inlineStr">
        <is>
          <t>MULHER DENUNCIOU MARIDO APÓS LEVAR SOCOS E CHUTES, ALÉM DE TER SIDO ESTRANGULADA. CRIANÇA TENTOU SEPARAR BRIGA E FOI EMPURRADA, BATENDO A CABEÇA. HOMEM FOI LIBERADO APÓS DEPOIMENTO.</t>
        </is>
      </c>
      <c r="J599" t="inlineStr"/>
      <c r="K599" t="n">
        <v>0</v>
      </c>
      <c r="L599" t="n">
        <v>2</v>
      </c>
      <c r="M599" t="n">
        <v>1</v>
      </c>
      <c r="N599" t="n">
        <v>0</v>
      </c>
      <c r="O599" t="n">
        <v>2</v>
      </c>
      <c r="P599">
        <f>HYPERLINK("https://g1.globo.com/sp/piracicaba-regiao/noticia/2021/06/16/venezuelano-e-levado-para-a-delegacia-apos-agredir-esposa-e-filho-durante-briga-em-limeira.ghtml", "URL")</f>
        <v/>
      </c>
      <c r="Q599">
        <f>HYPERLINK("https://raw.githubusercontent.com/marcosmapl/dataset_imigrantes/main/materias_filtered/g1/venezuelanos/2021/05_jun/html/g1_8a2560b8-232a-11ed-b24f-6dbe51e79fca_4185.html", "HTML")</f>
        <v/>
      </c>
      <c r="R599">
        <f>HYPERLINK("https://raw.githubusercontent.com/marcosmapl/dataset_imigrantes/main/materias_filtered/g1/venezuelanos/2021/05_jun/txt/g1_8a2560b8-232a-11ed-b24f-6dbe51e79fca_4185.txt", "TXT")</f>
        <v/>
      </c>
    </row>
    <row r="600">
      <c r="A600" s="1" t="n">
        <v>598</v>
      </c>
      <c r="B600" t="n">
        <v>2021</v>
      </c>
      <c r="C600" s="2" t="n">
        <v>44362.67968847222</v>
      </c>
      <c r="D600" t="inlineStr">
        <is>
          <t>G1</t>
        </is>
      </c>
      <c r="E600" t="inlineStr">
        <is>
          <t>VENEZUELANOS</t>
        </is>
      </c>
      <c r="F600" t="inlineStr">
        <is>
          <t>MATO GROSSO</t>
        </is>
      </c>
      <c r="G600" t="inlineStr">
        <is>
          <t>G1 MT</t>
        </is>
      </c>
      <c r="H600" t="inlineStr">
        <is>
          <t>VENEZUELANOS SÃO CAPACITADOS PARA ABRIR O PRÓPRIO NEGÓCIO EM PROJETO DO SEBRAE E DA PASTORAL DO MIGRANTE EM MT</t>
        </is>
      </c>
      <c r="I600" t="inlineStr">
        <is>
          <t>A PARTIR DE UMA ENTREVISTA SOCIAL COM 100 MIGRANTES, FOI FEITA UMA TRIAGEM EM QUE 60 SE ENCAIXAM NO PERFIL EMPREENDEDOR</t>
        </is>
      </c>
      <c r="J600" t="inlineStr"/>
      <c r="K600" t="n">
        <v>0</v>
      </c>
      <c r="L600" t="n">
        <v>2</v>
      </c>
      <c r="M600" t="n">
        <v>0</v>
      </c>
      <c r="N600" t="n">
        <v>0</v>
      </c>
      <c r="O600" t="n">
        <v>0</v>
      </c>
      <c r="P600">
        <f>HYPERLINK("https://g1.globo.com/mt/mato-grosso/noticia/2021/06/15/venezuelanos-serao-capacitados-para-abrir-o-proprio-negocio-em-projeto-do-sebrae-e-da-pastoral-do-migrante-em-mt.ghtml", "URL")</f>
        <v/>
      </c>
      <c r="Q600">
        <f>HYPERLINK("https://raw.githubusercontent.com/marcosmapl/dataset_imigrantes/main/materias_filtered/g1/venezuelanos/2021/05_jun/html/g1_489e37d6-231c-11ed-b24f-6dbe51e79fca_3437.html", "HTML")</f>
        <v/>
      </c>
      <c r="R600">
        <f>HYPERLINK("https://raw.githubusercontent.com/marcosmapl/dataset_imigrantes/main/materias_filtered/g1/venezuelanos/2021/05_jun/txt/g1_489e37d6-231c-11ed-b24f-6dbe51e79fca_3437.txt", "TXT")</f>
        <v/>
      </c>
    </row>
    <row r="601">
      <c r="A601" s="1" t="n">
        <v>599</v>
      </c>
      <c r="B601" t="n">
        <v>2021</v>
      </c>
      <c r="C601" s="2" t="n">
        <v>44362.3838155324</v>
      </c>
      <c r="D601" t="inlineStr">
        <is>
          <t>G1</t>
        </is>
      </c>
      <c r="E601" t="inlineStr">
        <is>
          <t>VENEZUELANOS</t>
        </is>
      </c>
      <c r="F601" t="inlineStr">
        <is>
          <t>DISTRITO FEDERAL</t>
        </is>
      </c>
      <c r="G601" t="inlineStr">
        <is>
          <t>CAROLINA CRUZ, G1 DF</t>
        </is>
      </c>
      <c r="H601" t="inlineStr">
        <is>
          <t>COPA AMÉRICA: GDF MOBILIZA LACEN PARA AGILIZAR IDENTIFICAÇÃO DA CEPA QUE INFECTOU JOGADORES VENEZUELANOS</t>
        </is>
      </c>
      <c r="I601" t="inlineStr">
        <is>
          <t>PRIMEIROS RESULTADOS ESTÃO PREVISTOS PARA ESTA TERÇA-FEIRA (14). HÁ 13 PESSOAS DA DELEGAÇÃO ISOLADAS EM BRASÍLIA.</t>
        </is>
      </c>
      <c r="J601" t="inlineStr"/>
      <c r="K601" t="n">
        <v>0</v>
      </c>
      <c r="L601" t="n">
        <v>1</v>
      </c>
      <c r="M601" t="n">
        <v>0</v>
      </c>
      <c r="N601" t="n">
        <v>0</v>
      </c>
      <c r="O601" t="n">
        <v>8</v>
      </c>
      <c r="P601">
        <f>HYPERLINK("https://g1.globo.com/df/distrito-federal/noticia/2021/06/15/copa-america-gdf-mobiliza-lacen-para-agilizar-identificacao-da-cepa-que-infectou-jogadores-venezuelanos.ghtml", "URL")</f>
        <v/>
      </c>
      <c r="Q601">
        <f>HYPERLINK("https://raw.githubusercontent.com/marcosmapl/dataset_imigrantes/main/materias_filtered/g1/venezuelanos/2021/05_jun/html/g1_8c2ba5c6-2329-11ed-b24f-6dbe51e79fca_4123.html", "HTML")</f>
        <v/>
      </c>
      <c r="R601">
        <f>HYPERLINK("https://raw.githubusercontent.com/marcosmapl/dataset_imigrantes/main/materias_filtered/g1/venezuelanos/2021/05_jun/txt/g1_8c2ba5c6-2329-11ed-b24f-6dbe51e79fca_4123.txt", "TXT")</f>
        <v/>
      </c>
    </row>
    <row r="602">
      <c r="A602" s="1" t="n">
        <v>600</v>
      </c>
      <c r="B602" t="n">
        <v>2021</v>
      </c>
      <c r="C602" s="2" t="n">
        <v>44360.90625862269</v>
      </c>
      <c r="D602" t="inlineStr">
        <is>
          <t>G1</t>
        </is>
      </c>
      <c r="E602" t="inlineStr">
        <is>
          <t>VENEZUELANOS</t>
        </is>
      </c>
      <c r="F602" t="inlineStr">
        <is>
          <t>PIAUÍ</t>
        </is>
      </c>
      <c r="G602" t="inlineStr">
        <is>
          <t>CATARINA COSTA, G1 PI</t>
        </is>
      </c>
      <c r="H602" t="inlineStr">
        <is>
          <t>BEBÊ INDÍGENA DE UM MÊS MORRE DE INFECÇÃO INTESTINAL EM ABRIGO DE VENEZUELANOS NO PIAUÍ</t>
        </is>
      </c>
      <c r="I602" t="inlineStr">
        <is>
          <t>O COLETIVO PIAUÍ INDÍGENA USOU A REDE SOCIAL PARA DENUNCIAR A FALTA DE ACOMPANHAMENTO MÉDICO AOS VENEZUELANOS. SECRETARIA DE CIDADANIA E ASSISTÊNCIA SOCIAL INFORMOU QUE PRESTOU ATENDIMENTO NECESSÁRIO A MÃE DO BEBÊ.</t>
        </is>
      </c>
      <c r="J602" t="inlineStr"/>
      <c r="K602" t="n">
        <v>0</v>
      </c>
      <c r="L602" t="n">
        <v>1</v>
      </c>
      <c r="M602" t="n">
        <v>0</v>
      </c>
      <c r="N602" t="n">
        <v>0</v>
      </c>
      <c r="O602" t="n">
        <v>2</v>
      </c>
      <c r="P602">
        <f>HYPERLINK("https://g1.globo.com/pi/piaui/noticia/2021/06/13/bebe-indigena-de-um-mes-morre-de-diarreia-em-abrigo-de-venezuelanos-no-piaui.ghtml", "URL")</f>
        <v/>
      </c>
      <c r="Q602">
        <f>HYPERLINK("https://raw.githubusercontent.com/marcosmapl/dataset_imigrantes/main/materias_filtered/g1/venezuelanos/2021/05_jun/html/g1_689cb246-2309-11ed-b24f-6dbe51e79fca_2442.html", "HTML")</f>
        <v/>
      </c>
      <c r="R602">
        <f>HYPERLINK("https://raw.githubusercontent.com/marcosmapl/dataset_imigrantes/main/materias_filtered/g1/venezuelanos/2021/05_jun/txt/g1_689cb246-2309-11ed-b24f-6dbe51e79fca_2442.txt", "TXT")</f>
        <v/>
      </c>
    </row>
    <row r="603">
      <c r="A603" s="1" t="n">
        <v>601</v>
      </c>
      <c r="B603" t="n">
        <v>2021</v>
      </c>
      <c r="C603" s="2" t="n">
        <v>44360.54189503472</v>
      </c>
      <c r="D603" t="inlineStr">
        <is>
          <t>G1</t>
        </is>
      </c>
      <c r="E603" t="inlineStr">
        <is>
          <t>VENEZUELANOS</t>
        </is>
      </c>
      <c r="F603" t="inlineStr">
        <is>
          <t>DISTRITO FEDERAL</t>
        </is>
      </c>
      <c r="G603" t="inlineStr">
        <is>
          <t>MARÍLIA MARQUES, G1 DF</t>
        </is>
      </c>
      <c r="H603" t="inlineStr">
        <is>
          <t>COPA AMÉRICA: SAÚDE DO DF APONTA RISCO DE DISSEMINAÇÃO DE NOVAS CEPAS DA COVID-19 DURANTE COMPETIÇÃO INTERNACIONAL</t>
        </is>
      </c>
      <c r="I603" t="inlineStr">
        <is>
          <t>ANÁLISE CONSTA EM PLANO OPERACIONAL DO GOVERNO. PELO MENOS 13 MEMBROS DA SELEÇÃO VENEZUELANA HOSPEDADOS EM BRASÍLIA FORAM DIAGNOSTICADOS COM NOVO CORONAVÍRUS; PARTIDA DE ESTREIA É NESTE DOMINGO (13).</t>
        </is>
      </c>
      <c r="J603" t="inlineStr"/>
      <c r="K603" t="n">
        <v>0</v>
      </c>
      <c r="L603" t="n">
        <v>2</v>
      </c>
      <c r="M603" t="n">
        <v>1</v>
      </c>
      <c r="N603" t="n">
        <v>0</v>
      </c>
      <c r="O603" t="n">
        <v>7</v>
      </c>
      <c r="P603">
        <f>HYPERLINK("https://g1.globo.com/df/distrito-federal/noticia/2021/06/13/copa-america-saude-do-df-aponta-risco-de-disseminacao-de-novas-cepas-da-covid-19-durante-competicao-internacional.ghtml", "URL")</f>
        <v/>
      </c>
      <c r="Q603">
        <f>HYPERLINK("https://raw.githubusercontent.com/marcosmapl/dataset_imigrantes/main/materias_filtered/g1/venezuelanos/2021/05_jun/html/g1_ff158aea-232c-11ed-b24f-6dbe51e79fca_4338.html", "HTML")</f>
        <v/>
      </c>
      <c r="R603">
        <f>HYPERLINK("https://raw.githubusercontent.com/marcosmapl/dataset_imigrantes/main/materias_filtered/g1/venezuelanos/2021/05_jun/txt/g1_ff158aea-232c-11ed-b24f-6dbe51e79fca_4338.txt", "TXT")</f>
        <v/>
      </c>
    </row>
    <row r="604">
      <c r="A604" s="1" t="n">
        <v>602</v>
      </c>
      <c r="B604" t="n">
        <v>2021</v>
      </c>
      <c r="C604" s="2" t="n">
        <v>44359.41708585648</v>
      </c>
      <c r="D604" t="inlineStr">
        <is>
          <t>G1</t>
        </is>
      </c>
      <c r="E604" t="inlineStr">
        <is>
          <t>VENEZUELANOS</t>
        </is>
      </c>
      <c r="F604" t="inlineStr">
        <is>
          <t>RORAIMA</t>
        </is>
      </c>
      <c r="G604" t="inlineStr">
        <is>
          <t>G1 RR — BOA VISTA</t>
        </is>
      </c>
      <c r="H604" t="inlineStr">
        <is>
          <t>FISCALIZAÇÃO APREENDE 72 KG DE QUEIJO CLANDESTINO DA VENEZUELA NA FRONTEIRA EM RR</t>
        </is>
      </c>
      <c r="I604" t="inlineStr">
        <is>
          <t>AS BARRAS DE QUEIJO ESTAVAM ENROLADAS EM UMA TOALHA, CONFORME A AGÊNCIA DE DEFESA AGROPECUÁRIA DE RORAIMA. APREENSÃO ACONTECEU NESSA SEXTA-FEIRA (11).</t>
        </is>
      </c>
      <c r="J604" t="inlineStr"/>
      <c r="K604" t="n">
        <v>0</v>
      </c>
      <c r="L604" t="n">
        <v>1</v>
      </c>
      <c r="M604" t="n">
        <v>0</v>
      </c>
      <c r="N604" t="n">
        <v>0</v>
      </c>
      <c r="O604" t="n">
        <v>0</v>
      </c>
      <c r="P604">
        <f>HYPERLINK("https://g1.globo.com/rr/roraima/noticia/2021/06/12/fiscalizacao-apreende-72-kg-de-queijo-clandestino-da-venezuela-na-fronteira-em-rr.ghtml", "URL")</f>
        <v/>
      </c>
      <c r="Q604">
        <f>HYPERLINK("https://raw.githubusercontent.com/marcosmapl/dataset_imigrantes/main/materias_filtered/g1/venezuelanos/2021/05_jun/html/g1_a041503c-2311-11ed-b24f-6dbe51e79fca_2926.html", "HTML")</f>
        <v/>
      </c>
      <c r="R604">
        <f>HYPERLINK("https://raw.githubusercontent.com/marcosmapl/dataset_imigrantes/main/materias_filtered/g1/venezuelanos/2021/05_jun/txt/g1_a041503c-2311-11ed-b24f-6dbe51e79fca_2926.txt", "TXT")</f>
        <v/>
      </c>
    </row>
    <row r="605">
      <c r="A605" s="1" t="n">
        <v>603</v>
      </c>
      <c r="B605" t="n">
        <v>2021</v>
      </c>
      <c r="C605" s="2" t="n">
        <v>44354.41709674768</v>
      </c>
      <c r="D605" t="inlineStr">
        <is>
          <t>G1</t>
        </is>
      </c>
      <c r="E605" t="inlineStr">
        <is>
          <t>VENEZUELANOS</t>
        </is>
      </c>
      <c r="F605" t="inlineStr">
        <is>
          <t>RORAIMA</t>
        </is>
      </c>
      <c r="G605" t="inlineStr">
        <is>
          <t>G1 RR — BOA VISTA</t>
        </is>
      </c>
      <c r="H605" t="inlineStr">
        <is>
          <t>CÁRITAS PEDE INTERVENÇÃO DE TRÁFEGO NA BR-174 APÓS CARRO ATROPELAR CRIANÇAS VENEZUELANAS EM RR</t>
        </is>
      </c>
      <c r="I605" t="inlineStr">
        <is>
          <t>ACIDENTE ACONTECEU EM 10 DE MAIO, EM TRECHO NA REGIÃO DO BAIRRO 13 DE SETEMBRO, EM BOA VISTA. ORGANIZAÇÃO CATÓLICA PEDE QUE SEJAM COLOCADAS BARREIRAS, QUEBRA-MOLAS OU POSTO POLICIAL.</t>
        </is>
      </c>
      <c r="J605" t="inlineStr"/>
      <c r="K605" t="n">
        <v>0</v>
      </c>
      <c r="L605" t="n">
        <v>1</v>
      </c>
      <c r="M605" t="n">
        <v>0</v>
      </c>
      <c r="N605" t="n">
        <v>0</v>
      </c>
      <c r="O605" t="n">
        <v>0</v>
      </c>
      <c r="P605">
        <f>HYPERLINK("https://g1.globo.com/rr/roraima/noticia/2021/06/07/caritas-pede-intervencao-de-trafego-na-br-174-apos-carro-atropelar-criancas-venezuelanas-em-rr.ghtml", "URL")</f>
        <v/>
      </c>
      <c r="Q605">
        <f>HYPERLINK("https://raw.githubusercontent.com/marcosmapl/dataset_imigrantes/main/materias_filtered/g1/venezuelanos/2021/05_jun/html/g1_7b20cf3a-232a-11ed-b24f-6dbe51e79fca_4182.html", "HTML")</f>
        <v/>
      </c>
      <c r="R605">
        <f>HYPERLINK("https://raw.githubusercontent.com/marcosmapl/dataset_imigrantes/main/materias_filtered/g1/venezuelanos/2021/05_jun/txt/g1_7b20cf3a-232a-11ed-b24f-6dbe51e79fca_4182.txt", "TXT")</f>
        <v/>
      </c>
    </row>
    <row r="606">
      <c r="A606" s="1" t="n">
        <v>604</v>
      </c>
      <c r="B606" t="n">
        <v>2021</v>
      </c>
      <c r="C606" s="2" t="n">
        <v>44353.59356650463</v>
      </c>
      <c r="D606" t="inlineStr">
        <is>
          <t>G1</t>
        </is>
      </c>
      <c r="E606" t="inlineStr">
        <is>
          <t>HAITIANOS</t>
        </is>
      </c>
      <c r="F606" t="inlineStr">
        <is>
          <t>PARÁ</t>
        </is>
      </c>
      <c r="G606" t="inlineStr">
        <is>
          <t>G1 PA — BELÉM</t>
        </is>
      </c>
      <c r="H606" t="inlineStr">
        <is>
          <t>OPERAÇÃO IMPEDE A ENTRADA CLANDESTINA DE 17 HAITIANOS NO PARÁ</t>
        </is>
      </c>
      <c r="I606" t="inlineStr">
        <is>
          <t>DENTRO DO NAVIO, IDENTIFICARAM TAMBÉM UMA CARGA COM ROUPAS, BONÉS, ELETRÔNICOS E SUPLEMENTOS SENDO TRANSPORTADOS SEM COMPROVAÇÃO FISCAL.</t>
        </is>
      </c>
      <c r="J606" t="inlineStr"/>
      <c r="K606" t="n">
        <v>0</v>
      </c>
      <c r="L606" t="n">
        <v>1</v>
      </c>
      <c r="M606" t="n">
        <v>0</v>
      </c>
      <c r="N606" t="n">
        <v>0</v>
      </c>
      <c r="O606" t="n">
        <v>0</v>
      </c>
      <c r="P606">
        <f>HYPERLINK("https://g1.globo.com/pa/para/noticia/2021/06/06/operacao-impede-a-entrada-clandestina-de-17-haitianos-no-para.ghtml", "URL")</f>
        <v/>
      </c>
      <c r="Q606">
        <f>HYPERLINK("https://raw.githubusercontent.com/marcosmapl/dataset_imigrantes/main/materias_filtered/g1/haitianos/2021/05_jun/html/g1_520f5cf4-22f5-11ed-b24f-6dbe51e79fca_1942.html", "HTML")</f>
        <v/>
      </c>
      <c r="R606">
        <f>HYPERLINK("https://raw.githubusercontent.com/marcosmapl/dataset_imigrantes/main/materias_filtered/g1/haitianos/2021/05_jun/txt/g1_520f5cf4-22f5-11ed-b24f-6dbe51e79fca_1942.txt", "TXT")</f>
        <v/>
      </c>
    </row>
    <row r="607">
      <c r="A607" s="1" t="n">
        <v>605</v>
      </c>
      <c r="B607" t="n">
        <v>2021</v>
      </c>
      <c r="C607" s="2" t="n">
        <v>44352.85232581018</v>
      </c>
      <c r="D607" t="inlineStr">
        <is>
          <t>G1</t>
        </is>
      </c>
      <c r="E607" t="inlineStr">
        <is>
          <t>VENEZUELANOS</t>
        </is>
      </c>
      <c r="F607" t="inlineStr">
        <is>
          <t>RORAIMA</t>
        </is>
      </c>
      <c r="G607" t="inlineStr">
        <is>
          <t>G1 RR — BOA VISTA</t>
        </is>
      </c>
      <c r="H607" t="inlineStr">
        <is>
          <t>LUIZA BRUNET VISITA REFUGIADOS VENEZUELANOS EM RORAIMA</t>
        </is>
      </c>
      <c r="I607" t="inlineStr">
        <is>
          <t>MODELO E ATIVISTA LUIZA BRUNET ESTÁ EM RORAIMA ONDE PARTICIPA DE AÇÕES DE SAÚDE VOLTADAS AOS MIGRANTES.</t>
        </is>
      </c>
      <c r="J607" t="inlineStr"/>
      <c r="K607" t="n">
        <v>0</v>
      </c>
      <c r="L607" t="n">
        <v>1</v>
      </c>
      <c r="M607" t="n">
        <v>0</v>
      </c>
      <c r="N607" t="n">
        <v>0</v>
      </c>
      <c r="O607" t="n">
        <v>3</v>
      </c>
      <c r="P607">
        <f>HYPERLINK("https://g1.globo.com/rr/roraima/noticia/2021/06/05/luiza-brunet-visita-refugiados-venezuelanos-em-roraima.ghtml", "URL")</f>
        <v/>
      </c>
      <c r="Q607">
        <f>HYPERLINK("https://raw.githubusercontent.com/marcosmapl/dataset_imigrantes/main/materias_filtered/g1/venezuelanos/2021/05_jun/html/g1_10d45126-2314-11ed-b24f-6dbe51e79fca_3043.html", "HTML")</f>
        <v/>
      </c>
      <c r="R607">
        <f>HYPERLINK("https://raw.githubusercontent.com/marcosmapl/dataset_imigrantes/main/materias_filtered/g1/venezuelanos/2021/05_jun/txt/g1_10d45126-2314-11ed-b24f-6dbe51e79fca_3043.txt", "TXT")</f>
        <v/>
      </c>
    </row>
    <row r="608">
      <c r="A608" s="1" t="n">
        <v>606</v>
      </c>
      <c r="B608" t="n">
        <v>2021</v>
      </c>
      <c r="C608" s="2" t="n">
        <v>44351.97855207176</v>
      </c>
      <c r="D608" t="inlineStr">
        <is>
          <t>G1</t>
        </is>
      </c>
      <c r="E608" t="inlineStr">
        <is>
          <t>VENEZUELANOS</t>
        </is>
      </c>
      <c r="F608" t="inlineStr">
        <is>
          <t>CEARÁ</t>
        </is>
      </c>
      <c r="G608" t="inlineStr">
        <is>
          <t>G1 CE</t>
        </is>
      </c>
      <c r="H608" t="inlineStr">
        <is>
          <t>REFUGIADOS VENEZUELANOS NO CEARÁ RECEBEM DOCUMENTAÇÃO PARA SERVIÇOS DE SAÚDE E EDUCAÇÃO</t>
        </is>
      </c>
      <c r="I608" t="inlineStr">
        <is>
          <t>A CONCESSÃO DOS DOCUMENTOS FOI OBTIDA A PARTIR DE UMA PARCERIA ENTRE SECRETARIA DA PROTEÇÃO SOCIAL, JUSTIÇA, CIDADANIA, MULHERES E DIREITOS HUMANOS (SPS) E POLÍCIA FEDERAL.</t>
        </is>
      </c>
      <c r="J608" t="inlineStr"/>
      <c r="K608" t="n">
        <v>0</v>
      </c>
      <c r="L608" t="n">
        <v>2</v>
      </c>
      <c r="M608" t="n">
        <v>1</v>
      </c>
      <c r="N608" t="n">
        <v>0</v>
      </c>
      <c r="O608" t="n">
        <v>3</v>
      </c>
      <c r="P608">
        <f>HYPERLINK("https://g1.globo.com/ce/ceara/noticia/2021/06/04/refugiados-venezuelanos-no-ceara-recebem-documentacao-para-servicos-de-saude-e-educacao.ghtml", "URL")</f>
        <v/>
      </c>
      <c r="Q608">
        <f>HYPERLINK("https://raw.githubusercontent.com/marcosmapl/dataset_imigrantes/main/materias_filtered/g1/venezuelanos/2021/05_jun/html/g1_88e46398-2325-11ed-b24f-6dbe51e79fca_3920.html", "HTML")</f>
        <v/>
      </c>
      <c r="R608">
        <f>HYPERLINK("https://raw.githubusercontent.com/marcosmapl/dataset_imigrantes/main/materias_filtered/g1/venezuelanos/2021/05_jun/txt/g1_88e46398-2325-11ed-b24f-6dbe51e79fca_3920.txt", "TXT")</f>
        <v/>
      </c>
    </row>
    <row r="609">
      <c r="A609" s="1" t="n">
        <v>607</v>
      </c>
      <c r="B609" t="n">
        <v>2021</v>
      </c>
      <c r="C609" s="2" t="n">
        <v>44351.56601851852</v>
      </c>
      <c r="D609" t="inlineStr">
        <is>
          <t>A CRITICA</t>
        </is>
      </c>
      <c r="E609" t="inlineStr">
        <is>
          <t>VENEZUELANOS</t>
        </is>
      </c>
      <c r="F609" t="inlineStr">
        <is>
          <t>EDUCACAO</t>
        </is>
      </c>
      <c r="G609" t="inlineStr">
        <is>
          <t>PORTAL A CRÍTICA</t>
        </is>
      </c>
      <c r="H609" t="inlineStr">
        <is>
          <t>CURSO PREPARA TRABALHADORES PARA ATUAREM NA RECEPÇÃO DE HISPÂNICOS EM MANAUS</t>
        </is>
      </c>
      <c r="I609" t="inlineStr">
        <is>
          <t>PARTICIPAM DA TURMA PROFISSIONAIS DE 12 INSTITUIÇÕES QUE ATENDEM IMIGRANTES NA CAPITAL</t>
        </is>
      </c>
      <c r="J609" t="inlineStr"/>
      <c r="K609" t="n">
        <v>0</v>
      </c>
      <c r="L609" t="n">
        <v>1</v>
      </c>
      <c r="M609" t="n">
        <v>0</v>
      </c>
      <c r="N609" t="n">
        <v>0</v>
      </c>
      <c r="O609" t="n">
        <v>0</v>
      </c>
      <c r="P609">
        <f>HYPERLINK("https://www.acritica.com/educacao/curso-prepara-trabalhadores-para-atuarem-na-recepc-o-de-hispanicos-em-manaus-1.16380", "URL")</f>
        <v/>
      </c>
      <c r="Q609">
        <f>HYPERLINK("https://raw.githubusercontent.com/marcosmapl/dataset_imigrantes/main/materias_filtered/a_critica/venezuelanos/2021/05_jun/html/1.16380_1215.html", "HTML")</f>
        <v/>
      </c>
      <c r="R609">
        <f>HYPERLINK("https://raw.githubusercontent.com/marcosmapl/dataset_imigrantes/main/materias_filtered/a_critica/venezuelanos/2021/05_jun/txt/1.16380_1215.txt", "TXT")</f>
        <v/>
      </c>
    </row>
    <row r="610">
      <c r="A610" s="1" t="n">
        <v>608</v>
      </c>
      <c r="B610" t="n">
        <v>2021</v>
      </c>
      <c r="C610" s="2" t="n">
        <v>44351.42847222222</v>
      </c>
      <c r="D610" t="inlineStr">
        <is>
          <t>PORTAL AMAZONIA</t>
        </is>
      </c>
      <c r="E610" t="inlineStr">
        <is>
          <t>VENEZUELANOS</t>
        </is>
      </c>
      <c r="F610" t="inlineStr">
        <is>
          <t>AMAZONAS,NOTÍCIAS,EDUCAÇÃO</t>
        </is>
      </c>
      <c r="G610" t="inlineStr">
        <is>
          <t>REDAÇÃO - JORNALISMO@PORTALAMAZONIA.COM</t>
        </is>
      </c>
      <c r="H610" t="inlineStr">
        <is>
          <t>CURSO PREPARA TRABALHADORES PARA ATUAREM NA RECEPÇÃO DE HISPÂNICOS EM MANAUS</t>
        </is>
      </c>
      <c r="I610" t="inlineStr">
        <is>
          <t>PARTICIPAM DA TURMA PROFISSIONAIS DE 12 INSTITUIÇÕES QUE ATENDEM IMIGRANTES NA CAPITAL</t>
        </is>
      </c>
      <c r="J610" t="inlineStr">
        <is>
          <t>AMAZONAS, CURSO DE ESPANHOL, EDUCAÇÃO, MANAUS, MIGRANTES, NOTÍCIAS, SENAC AM</t>
        </is>
      </c>
      <c r="K610" t="n">
        <v>7</v>
      </c>
      <c r="L610" t="n">
        <v>1</v>
      </c>
      <c r="M610" t="n">
        <v>0</v>
      </c>
      <c r="N610" t="n">
        <v>0</v>
      </c>
      <c r="O610" t="n">
        <v>16</v>
      </c>
      <c r="P610">
        <f>HYPERLINK("https://portalamazonia.com/noticias/curso-prepara-trabalhadores-para-atuarem-na-recepcao-de-hispanicos-em-manaus", "URL")</f>
        <v/>
      </c>
      <c r="Q610">
        <f>HYPERLINK("https://raw.githubusercontent.com/marcosmapl/dataset_imigrantes/main/materias_filtered/portal_amazonia/venezuelanos/2021/05_jun/html/32771.77395_1499.html", "HTML")</f>
        <v/>
      </c>
      <c r="R610">
        <f>HYPERLINK("https://raw.githubusercontent.com/marcosmapl/dataset_imigrantes/main/materias_filtered/portal_amazonia/venezuelanos/2021/05_jun/txt/32771.77395_1499.txt", "TXT")</f>
        <v/>
      </c>
    </row>
    <row r="611">
      <c r="A611" s="1" t="n">
        <v>609</v>
      </c>
      <c r="B611" t="n">
        <v>2021</v>
      </c>
      <c r="C611" s="2" t="n">
        <v>44348.56034815972</v>
      </c>
      <c r="D611" t="inlineStr">
        <is>
          <t>G1</t>
        </is>
      </c>
      <c r="E611" t="inlineStr">
        <is>
          <t>HAITIANOS</t>
        </is>
      </c>
      <c r="F611" t="inlineStr">
        <is>
          <t>CAMPINAS E REGIÃO</t>
        </is>
      </c>
      <c r="G611" t="inlineStr">
        <is>
          <t>BOM DIA CIDADE</t>
        </is>
      </c>
      <c r="H611" t="inlineStr">
        <is>
          <t>POLÍCIA CIVIL INVESTIGA SUSPEITA DE GOLPE CONTRA IMIGRANTES HAITIANOS EM CAMPINAS</t>
        </is>
      </c>
      <c r="I611" t="inlineStr">
        <is>
          <t>IMIGRANTES CONTRATARAM SERVIÇO EM AGÊNCIA QUE PROMETIA AJUDAR EM VIAGEM PARA A GUATEMALA E ESTAVAM COM OS DOCUMENTOS 'PRESOS' HÁ MESES NA EMPRESA. GUARDA MUNICIPAL AJUDOU IMIGRANTES NA RECUPERAÇÃO DOS PASSAPORTES.</t>
        </is>
      </c>
      <c r="J611" t="inlineStr"/>
      <c r="K611" t="n">
        <v>0</v>
      </c>
      <c r="L611" t="n">
        <v>2</v>
      </c>
      <c r="M611" t="n">
        <v>1</v>
      </c>
      <c r="N611" t="n">
        <v>0</v>
      </c>
      <c r="O611" t="n">
        <v>2</v>
      </c>
      <c r="P611">
        <f>HYPERLINK("https://g1.globo.com/sp/campinas-regiao/noticia/2021/06/01/policia-civil-investiga-suspeita-de-golpe-contra-imigrantes-haitianos-em-campinas.ghtml", "URL")</f>
        <v/>
      </c>
      <c r="Q611">
        <f>HYPERLINK("https://raw.githubusercontent.com/marcosmapl/dataset_imigrantes/main/materias_filtered/g1/haitianos/2021/05_jun/html/g1_e09de854-22ec-11ed-b24f-6dbe51e79fca_1671.html", "HTML")</f>
        <v/>
      </c>
      <c r="R611">
        <f>HYPERLINK("https://raw.githubusercontent.com/marcosmapl/dataset_imigrantes/main/materias_filtered/g1/haitianos/2021/05_jun/txt/g1_e09de854-22ec-11ed-b24f-6dbe51e79fca_1671.txt", "TXT")</f>
        <v/>
      </c>
    </row>
    <row r="612">
      <c r="A612" s="1" t="n">
        <v>610</v>
      </c>
      <c r="B612" t="n">
        <v>2021</v>
      </c>
      <c r="C612" s="2" t="n">
        <v>44348.46371957176</v>
      </c>
      <c r="D612" t="inlineStr">
        <is>
          <t>G1</t>
        </is>
      </c>
      <c r="E612" t="inlineStr">
        <is>
          <t>VENEZUELANOS</t>
        </is>
      </c>
      <c r="F612" t="inlineStr">
        <is>
          <t>MUNDO</t>
        </is>
      </c>
      <c r="G612" t="inlineStr">
        <is>
          <t>FRANCE PRESSE</t>
        </is>
      </c>
      <c r="H612" t="inlineStr">
        <is>
          <t>OITO MILITARES VENEZUELANOS QUE HAVIAM SIDO CAPTURADOS POR GRUPOS ARMADOS COLOMBIANOS SÃO RESGATADOS</t>
        </is>
      </c>
      <c r="I612" t="inlineStr">
        <is>
          <t>GRUPOS ARMADOS DA COLÔMBIA ATUAM EM TERRITÓRIO DA VENEZUELA. ACREDITA-SE QUE SÃO DISSIDENTES DAS FARC.</t>
        </is>
      </c>
      <c r="J612" t="inlineStr"/>
      <c r="K612" t="n">
        <v>0</v>
      </c>
      <c r="L612" t="n">
        <v>2</v>
      </c>
      <c r="M612" t="n">
        <v>1</v>
      </c>
      <c r="N612" t="n">
        <v>0</v>
      </c>
      <c r="O612" t="n">
        <v>4</v>
      </c>
      <c r="P612">
        <f>HYPERLINK("https://g1.globo.com/mundo/noticia/2021/06/01/oito-militares-venezuelanos-que-haviam-sido-capturados-por-grupos-armados-colombianos-sao-resgatados.ghtml", "URL")</f>
        <v/>
      </c>
      <c r="Q612">
        <f>HYPERLINK("https://raw.githubusercontent.com/marcosmapl/dataset_imigrantes/main/materias_filtered/g1/venezuelanos/2021/05_jun/html/g1_2677f934-2313-11ed-b24f-6dbe51e79fca_2996.html", "HTML")</f>
        <v/>
      </c>
      <c r="R612">
        <f>HYPERLINK("https://raw.githubusercontent.com/marcosmapl/dataset_imigrantes/main/materias_filtered/g1/venezuelanos/2021/05_jun/txt/g1_2677f934-2313-11ed-b24f-6dbe51e79fca_2996.txt", "TXT")</f>
        <v/>
      </c>
    </row>
    <row r="613">
      <c r="A613" s="1" t="n">
        <v>611</v>
      </c>
      <c r="B613" t="n">
        <v>2021</v>
      </c>
      <c r="C613" s="2" t="n">
        <v>44347.71572679398</v>
      </c>
      <c r="D613" t="inlineStr">
        <is>
          <t>G1</t>
        </is>
      </c>
      <c r="E613" t="inlineStr">
        <is>
          <t>VENEZUELANOS</t>
        </is>
      </c>
      <c r="F613" t="inlineStr">
        <is>
          <t>GOIÁS</t>
        </is>
      </c>
      <c r="G613" t="inlineStr">
        <is>
          <t>DANIELLE OLIVEIRA, G1 GO</t>
        </is>
      </c>
      <c r="H613" t="inlineStr">
        <is>
          <t>VENEZUELANO É LEVADO PARA A DELEGACIA SUSPEITO DE AMEAÇAR A MULHER E A ENTEADA COM FACA EM GOIÂNIA</t>
        </is>
      </c>
      <c r="I613" t="inlineStr">
        <is>
          <t>SEGUNDO A GUARDA CIVIL METROPOLITANA, AS VÍTIMAS SE TRANCARAM EM UM QUARTO PARA FUGIR DELE. VIZINHOS ACIONARAM A CORPORAÇÃO, QUE TEVE DE IMOBILIZAR O HOMEM. ELE FOI OUVIDO PELA POLÍCIA CIVIL E LIBERADO.</t>
        </is>
      </c>
      <c r="J613" t="inlineStr"/>
      <c r="K613" t="n">
        <v>0</v>
      </c>
      <c r="L613" t="n">
        <v>2</v>
      </c>
      <c r="M613" t="n">
        <v>1</v>
      </c>
      <c r="N613" t="n">
        <v>0</v>
      </c>
      <c r="O613" t="n">
        <v>3</v>
      </c>
      <c r="P613">
        <f>HYPERLINK("https://g1.globo.com/go/goias/noticia/2021/05/31/venezuelano-e-preso-suspeito-de-tentar-matar-a-mulher-e-a-enteada-com-faca-em-goiania.ghtml", "URL")</f>
        <v/>
      </c>
      <c r="Q613">
        <f>HYPERLINK("https://raw.githubusercontent.com/marcosmapl/dataset_imigrantes/main/materias_filtered/g1/venezuelanos/2021/04_mai/html/g1_4dcd3bb2-2308-11ed-b24f-6dbe51e79fca_2377.html", "HTML")</f>
        <v/>
      </c>
      <c r="R613">
        <f>HYPERLINK("https://raw.githubusercontent.com/marcosmapl/dataset_imigrantes/main/materias_filtered/g1/venezuelanos/2021/04_mai/txt/g1_4dcd3bb2-2308-11ed-b24f-6dbe51e79fca_2377.txt", "TXT")</f>
        <v/>
      </c>
    </row>
    <row r="614">
      <c r="A614" s="1" t="n">
        <v>612</v>
      </c>
      <c r="B614" t="n">
        <v>2021</v>
      </c>
      <c r="C614" s="2" t="n">
        <v>44347.66394530093</v>
      </c>
      <c r="D614" t="inlineStr">
        <is>
          <t>G1</t>
        </is>
      </c>
      <c r="E614" t="inlineStr">
        <is>
          <t>HAITIANOS</t>
        </is>
      </c>
      <c r="F614" t="inlineStr">
        <is>
          <t>MUNDO</t>
        </is>
      </c>
      <c r="G614" t="inlineStr">
        <is>
          <t>REUTERS</t>
        </is>
      </c>
      <c r="H614" t="inlineStr">
        <is>
          <t>DESNUTRIÇÃO AGUDA DISPARA ENTRE CRIANÇAS DO HAITI, ALERTA UNICEF</t>
        </is>
      </c>
      <c r="I614" t="inlineStr">
        <is>
          <t>CERCA DE 4,4 MILHÕES DE HAITIANOS, QUASE METADE DA POPULAÇÃO, ESTÃO ENFRENTANDO UMA INSEGURANÇA ALIMENTAR 'ALTAMENTE AGUDA'.</t>
        </is>
      </c>
      <c r="J614" t="inlineStr"/>
      <c r="K614" t="n">
        <v>0</v>
      </c>
      <c r="L614" t="n">
        <v>4</v>
      </c>
      <c r="M614" t="n">
        <v>1</v>
      </c>
      <c r="N614" t="n">
        <v>0</v>
      </c>
      <c r="O614" t="n">
        <v>2</v>
      </c>
      <c r="P614">
        <f>HYPERLINK("https://g1.globo.com/mundo/noticia/2021/05/31/desnutricao-aguda-dispara-entre-criancas-do-haiti-alerta-unicef.ghtml", "URL")</f>
        <v/>
      </c>
      <c r="Q614">
        <f>HYPERLINK("https://raw.githubusercontent.com/marcosmapl/dataset_imigrantes/main/materias_filtered/g1/haitianos/2021/04_mai/html/g1_6a51373c-22f1-11ed-b24f-6dbe51e79fca_1749.html", "HTML")</f>
        <v/>
      </c>
      <c r="R614">
        <f>HYPERLINK("https://raw.githubusercontent.com/marcosmapl/dataset_imigrantes/main/materias_filtered/g1/haitianos/2021/04_mai/txt/g1_6a51373c-22f1-11ed-b24f-6dbe51e79fca_1749.txt", "TXT")</f>
        <v/>
      </c>
    </row>
    <row r="615">
      <c r="A615" s="1" t="n">
        <v>613</v>
      </c>
      <c r="B615" t="n">
        <v>2021</v>
      </c>
      <c r="C615" s="2" t="n">
        <v>44344.7753730787</v>
      </c>
      <c r="D615" t="inlineStr">
        <is>
          <t>G1</t>
        </is>
      </c>
      <c r="E615" t="inlineStr">
        <is>
          <t>VENEZUELANOS</t>
        </is>
      </c>
      <c r="F615" t="inlineStr">
        <is>
          <t>MATO GROSSO</t>
        </is>
      </c>
      <c r="G615" t="inlineStr">
        <is>
          <t>G1 MT</t>
        </is>
      </c>
      <c r="H615" t="inlineStr">
        <is>
          <t>JUSTIÇA RECONHECE UNIÃO ESTÁVEL DE CASAIS VENEZUELANOS EM MT</t>
        </is>
      </c>
      <c r="I615" t="inlineStr">
        <is>
          <t>AGORA ELES TERÃO ACESSO A BENEFÍCIOS CONCEDIDOS PELA EMPRESA EMPREGADORA, TAIS COMO PLANO DE SAÚDE, ODONTOLÓGICO E SEGURO DE VIDA, E PELO GOVERNO FEDERAL.</t>
        </is>
      </c>
      <c r="J615" t="inlineStr"/>
      <c r="K615" t="n">
        <v>0</v>
      </c>
      <c r="L615" t="n">
        <v>1</v>
      </c>
      <c r="M615" t="n">
        <v>0</v>
      </c>
      <c r="N615" t="n">
        <v>0</v>
      </c>
      <c r="O615" t="n">
        <v>0</v>
      </c>
      <c r="P615">
        <f>HYPERLINK("https://g1.globo.com/mt/mato-grosso/noticia/2021/05/28/justica-reconhece-uniao-estavel-de-casais-venezuelanos-em-mt.ghtml", "URL")</f>
        <v/>
      </c>
      <c r="Q615">
        <f>HYPERLINK("https://raw.githubusercontent.com/marcosmapl/dataset_imigrantes/main/materias_filtered/g1/venezuelanos/2021/04_mai/html/g1_2e39433a-2309-11ed-b24f-6dbe51e79fca_2432.html", "HTML")</f>
        <v/>
      </c>
      <c r="R615">
        <f>HYPERLINK("https://raw.githubusercontent.com/marcosmapl/dataset_imigrantes/main/materias_filtered/g1/venezuelanos/2021/04_mai/txt/g1_2e39433a-2309-11ed-b24f-6dbe51e79fca_2432.txt", "TXT")</f>
        <v/>
      </c>
    </row>
    <row r="616">
      <c r="A616" s="1" t="n">
        <v>614</v>
      </c>
      <c r="B616" t="n">
        <v>2021</v>
      </c>
      <c r="C616" s="2" t="n">
        <v>44341.71274305556</v>
      </c>
      <c r="D616" t="inlineStr">
        <is>
          <t>A CRITICA</t>
        </is>
      </c>
      <c r="E616" t="inlineStr">
        <is>
          <t>VENEZUELANOS</t>
        </is>
      </c>
      <c r="F616" t="inlineStr"/>
      <c r="G616" t="inlineStr">
        <is>
          <t>PORTAL A CRÍTICA</t>
        </is>
      </c>
      <c r="H616" t="inlineStr">
        <is>
          <t>GOVERNO DO AMAZONAS ALINHA PARCERIA COM O EXÉRCITO PARA ORGANIZAÇÃO DO FLUXO MIGRATÓRIO DE VENEZUELANOS</t>
        </is>
      </c>
      <c r="I616" t="inlineStr">
        <is>
          <t>SEGUNDO O EXÉRCITO, 51 MIL VENEZUELANOS QUE INGRESSARAM NO PAÍS JÁ FORAM INTERIORIZADOS PARA 650 CIDADES</t>
        </is>
      </c>
      <c r="J616" t="inlineStr"/>
      <c r="K616" t="n">
        <v>0</v>
      </c>
      <c r="L616" t="n">
        <v>1</v>
      </c>
      <c r="M616" t="n">
        <v>0</v>
      </c>
      <c r="N616" t="n">
        <v>0</v>
      </c>
      <c r="O616" t="n">
        <v>0</v>
      </c>
      <c r="P616">
        <f>HYPERLINK("https://www.acritica.com/governo-do-amazonas-alinha-parceria-com-o-exercito-para-organizac-o-do-fluxo-migratorio-de-venezuelanos-1.16982", "URL")</f>
        <v/>
      </c>
      <c r="Q616">
        <f>HYPERLINK("https://raw.githubusercontent.com/marcosmapl/dataset_imigrantes/main/materias_filtered/a_critica/venezuelanos/2021/04_mai/html/1.16982_683.html", "HTML")</f>
        <v/>
      </c>
      <c r="R616">
        <f>HYPERLINK("https://raw.githubusercontent.com/marcosmapl/dataset_imigrantes/main/materias_filtered/a_critica/venezuelanos/2021/04_mai/txt/1.16982_683.txt", "TXT")</f>
        <v/>
      </c>
    </row>
    <row r="617">
      <c r="A617" s="1" t="n">
        <v>615</v>
      </c>
      <c r="B617" t="n">
        <v>2021</v>
      </c>
      <c r="C617" s="2" t="n">
        <v>44340.98873130787</v>
      </c>
      <c r="D617" t="inlineStr">
        <is>
          <t>G1</t>
        </is>
      </c>
      <c r="E617" t="inlineStr">
        <is>
          <t>HAITIANOS</t>
        </is>
      </c>
      <c r="F617" t="inlineStr">
        <is>
          <t>MATO GROSSO</t>
        </is>
      </c>
      <c r="G617" t="inlineStr">
        <is>
          <t>G1 MT</t>
        </is>
      </c>
      <c r="H617" t="inlineStr">
        <is>
          <t>ASSOCIAÇÃO PEDE DOAÇÃO DE COMIDA E MATERIAIS DE HIGIENE PESSOAL PARA FAMÍLIAS HAITIANAS EM CUIABÁ</t>
        </is>
      </c>
      <c r="I617" t="inlineStr">
        <is>
          <t>ATÉ ESTA SEGUNDA-FEIRA (24), 230 CESTAS BÁSICAS JÁ FORAM DOADAS.</t>
        </is>
      </c>
      <c r="J617" t="inlineStr"/>
      <c r="K617" t="n">
        <v>0</v>
      </c>
      <c r="L617" t="n">
        <v>1</v>
      </c>
      <c r="M617" t="n">
        <v>0</v>
      </c>
      <c r="N617" t="n">
        <v>0</v>
      </c>
      <c r="O617" t="n">
        <v>0</v>
      </c>
      <c r="P617">
        <f>HYPERLINK("https://g1.globo.com/mt/mato-grosso/noticia/2021/05/24/associacao-pede-doacao-de-comida-e-materiais-de-higiene-pessoal-para-familias-haitianas-em-cuiaba.ghtml", "URL")</f>
        <v/>
      </c>
      <c r="Q617">
        <f>HYPERLINK("https://raw.githubusercontent.com/marcosmapl/dataset_imigrantes/main/materias_filtered/g1/haitianos/2021/04_mai/html/g1_987f924c-22ed-11ed-b24f-6dbe51e79fca_1682.html", "HTML")</f>
        <v/>
      </c>
      <c r="R617">
        <f>HYPERLINK("https://raw.githubusercontent.com/marcosmapl/dataset_imigrantes/main/materias_filtered/g1/haitianos/2021/04_mai/txt/g1_987f924c-22ed-11ed-b24f-6dbe51e79fca_1682.txt", "TXT")</f>
        <v/>
      </c>
    </row>
    <row r="618">
      <c r="A618" s="1" t="n">
        <v>616</v>
      </c>
      <c r="B618" t="n">
        <v>2021</v>
      </c>
      <c r="C618" s="2" t="n">
        <v>44338.89435630787</v>
      </c>
      <c r="D618" t="inlineStr">
        <is>
          <t>G1</t>
        </is>
      </c>
      <c r="E618" t="inlineStr">
        <is>
          <t>VENEZUELANOS</t>
        </is>
      </c>
      <c r="F618" t="inlineStr">
        <is>
          <t>RORAIMA</t>
        </is>
      </c>
      <c r="G618" t="inlineStr">
        <is>
          <t>G1 RR — BOA VISTA</t>
        </is>
      </c>
      <c r="H618" t="inlineStr">
        <is>
          <t>CORPO ENCONTRADO ESQUARTEJADO DENTRO DE SACOS EM BOA VISTA ERA DE VENEZUELANO MORADOR DE RUA</t>
        </is>
      </c>
      <c r="I618" t="inlineStr">
        <is>
          <t>VÍTIMA ERA O MORADOR DE RUA, JOSÉ ANGEL MAESTRE ZABALA, DE 22 ANOS. O JOVEM TEVE BRAÇOS E PERNAS SEPARADOS DO TRONCO.</t>
        </is>
      </c>
      <c r="J618" t="inlineStr"/>
      <c r="K618" t="n">
        <v>0</v>
      </c>
      <c r="L618" t="n">
        <v>1</v>
      </c>
      <c r="M618" t="n">
        <v>0</v>
      </c>
      <c r="N618" t="n">
        <v>0</v>
      </c>
      <c r="O618" t="n">
        <v>1</v>
      </c>
      <c r="P618">
        <f>HYPERLINK("https://g1.globo.com/rr/roraima/noticia/2021/05/22/corpo-encontrado-esquartejado-dentro-de-sacos-em-boa-vista-era-de-venezuelano-morador-de-rua.ghtml", "URL")</f>
        <v/>
      </c>
      <c r="Q618">
        <f>HYPERLINK("https://raw.githubusercontent.com/marcosmapl/dataset_imigrantes/main/materias_filtered/g1/venezuelanos/2021/04_mai/html/g1_e83d84d2-230c-11ed-b24f-6dbe51e79fca_2656.html", "HTML")</f>
        <v/>
      </c>
      <c r="R618">
        <f>HYPERLINK("https://raw.githubusercontent.com/marcosmapl/dataset_imigrantes/main/materias_filtered/g1/venezuelanos/2021/04_mai/txt/g1_e83d84d2-230c-11ed-b24f-6dbe51e79fca_2656.txt", "TXT")</f>
        <v/>
      </c>
    </row>
    <row r="619">
      <c r="A619" s="1" t="n">
        <v>617</v>
      </c>
      <c r="B619" t="n">
        <v>2021</v>
      </c>
      <c r="C619" s="2" t="n">
        <v>44338.87231762731</v>
      </c>
      <c r="D619" t="inlineStr">
        <is>
          <t>G1</t>
        </is>
      </c>
      <c r="E619" t="inlineStr">
        <is>
          <t>HAITIANOS</t>
        </is>
      </c>
      <c r="F619" t="inlineStr">
        <is>
          <t>MATO GROSSO</t>
        </is>
      </c>
      <c r="G619" t="inlineStr">
        <is>
          <t>KETHLYN MORAES, G1 MT</t>
        </is>
      </c>
      <c r="H619" t="inlineStr">
        <is>
          <t>PAIS TENTAM TRAZER FILHA DE 13 ANOS DO HAITI E FAZEM ALMOÇO BENEFICENTE EM CUIABÁ PARA ARRECADAR DINHEIRO</t>
        </is>
      </c>
      <c r="I619" t="inlineStr">
        <is>
          <t>O CASAL MORA EM CUIABÁ HÁ CINCO ANOS, TEMPO EM QUE ESTÃO SEM VER A FILHA, NAIKA. HÁ CINCO MESES, CONSEGUIRAM TRAZER A FILHA MAIS NOVA, BERLY, DE 6 ANOS.</t>
        </is>
      </c>
      <c r="J619" t="inlineStr"/>
      <c r="K619" t="n">
        <v>0</v>
      </c>
      <c r="L619" t="n">
        <v>2</v>
      </c>
      <c r="M619" t="n">
        <v>0</v>
      </c>
      <c r="N619" t="n">
        <v>0</v>
      </c>
      <c r="O619" t="n">
        <v>0</v>
      </c>
      <c r="P619">
        <f>HYPERLINK("https://g1.globo.com/mt/mato-grosso/noticia/2021/05/22/pais-fazem-almoco-beneficente-em-cuiaba-para-arrecadar-dinheiro-para-trazer-filha-de-13-anos-do-haiti.ghtml", "URL")</f>
        <v/>
      </c>
      <c r="Q619">
        <f>HYPERLINK("https://raw.githubusercontent.com/marcosmapl/dataset_imigrantes/main/materias_filtered/g1/haitianos/2021/04_mai/html/g1_77a262b0-2316-11ed-b24f-6dbe51e79fca_3149.html", "HTML")</f>
        <v/>
      </c>
      <c r="R619">
        <f>HYPERLINK("https://raw.githubusercontent.com/marcosmapl/dataset_imigrantes/main/materias_filtered/g1/haitianos/2021/04_mai/txt/g1_77a262b0-2316-11ed-b24f-6dbe51e79fca_3149.txt", "TXT")</f>
        <v/>
      </c>
    </row>
    <row r="620">
      <c r="A620" s="1" t="n">
        <v>618</v>
      </c>
      <c r="B620" t="n">
        <v>2021</v>
      </c>
      <c r="C620" s="2" t="n">
        <v>44335.80224454861</v>
      </c>
      <c r="D620" t="inlineStr">
        <is>
          <t>G1</t>
        </is>
      </c>
      <c r="E620" t="inlineStr">
        <is>
          <t>HAITIANOS</t>
        </is>
      </c>
      <c r="F620" t="inlineStr">
        <is>
          <t>MATO GROSSO</t>
        </is>
      </c>
      <c r="G620" t="inlineStr">
        <is>
          <t>G1 MT</t>
        </is>
      </c>
      <c r="H620" t="inlineStr">
        <is>
          <t>HAITIANOS DENUNCIAM ATAQUES RACISTAS E XENOFÓBICOS INCENTIVADOS POR VENDEDORES AUTÔNOMOS EM CUIABÁ</t>
        </is>
      </c>
      <c r="I620" t="inlineStr">
        <is>
          <t>VÍTIMAS TRABALHAM COMO VENDEDORES AMBULANTES E CONTARAM QUE COLEGAS DE TRABALHO BRASILEIROS NÃO ACEITAM DIVIDIR O MESMO ESPAÇO NA CAPITAL.</t>
        </is>
      </c>
      <c r="J620" t="inlineStr"/>
      <c r="K620" t="n">
        <v>0</v>
      </c>
      <c r="L620" t="n">
        <v>2</v>
      </c>
      <c r="M620" t="n">
        <v>0</v>
      </c>
      <c r="N620" t="n">
        <v>0</v>
      </c>
      <c r="O620" t="n">
        <v>0</v>
      </c>
      <c r="P620">
        <f>HYPERLINK("https://g1.globo.com/mt/mato-grosso/noticia/2021/05/19/haitianos-denunciam-ataques-racistas-e-xenofobicos-incentivados-por-vendedores-autonomos-em-cuiaba.ghtml", "URL")</f>
        <v/>
      </c>
      <c r="Q620">
        <f>HYPERLINK("https://raw.githubusercontent.com/marcosmapl/dataset_imigrantes/main/materias_filtered/g1/haitianos/2021/04_mai/html/g1_186a68e0-22f5-11ed-b24f-6dbe51e79fca_1930.html", "HTML")</f>
        <v/>
      </c>
      <c r="R620">
        <f>HYPERLINK("https://raw.githubusercontent.com/marcosmapl/dataset_imigrantes/main/materias_filtered/g1/haitianos/2021/04_mai/txt/g1_186a68e0-22f5-11ed-b24f-6dbe51e79fca_1930.txt", "TXT")</f>
        <v/>
      </c>
    </row>
    <row r="621">
      <c r="A621" s="1" t="n">
        <v>619</v>
      </c>
      <c r="B621" t="n">
        <v>2021</v>
      </c>
      <c r="C621" s="2" t="n">
        <v>44333.9263281713</v>
      </c>
      <c r="D621" t="inlineStr">
        <is>
          <t>G1</t>
        </is>
      </c>
      <c r="E621" t="inlineStr">
        <is>
          <t>VENEZUELANOS</t>
        </is>
      </c>
      <c r="F621" t="inlineStr">
        <is>
          <t>MATO GROSSO DO SUL</t>
        </is>
      </c>
      <c r="G621" t="inlineStr">
        <is>
          <t>G1MS</t>
        </is>
      </c>
      <c r="H621" t="inlineStr">
        <is>
          <t>CONSULADO DA VENEZUELA NO BRASIL FAZ MUTIRÃO PARA EMITIR DOCUMENTOS AOS IMIGRANTES RESIDENTES EM MS</t>
        </is>
      </c>
      <c r="I621" t="inlineStr">
        <is>
          <t>SEGUNDO A COORDENADORA DA ASSOCIAÇÃO DE VENEZUELANOS EM CAMPO GRANDE, MIRTHA CARPIO, O SERVIÇO FOI DIVULGADO EXCLUSIVAMENTE PARA AQUELES QUE POSSUEM DOCUMENTO BRASILEIRO.</t>
        </is>
      </c>
      <c r="J621" t="inlineStr"/>
      <c r="K621" t="n">
        <v>0</v>
      </c>
      <c r="L621" t="n">
        <v>3</v>
      </c>
      <c r="M621" t="n">
        <v>0</v>
      </c>
      <c r="N621" t="n">
        <v>0</v>
      </c>
      <c r="O621" t="n">
        <v>1</v>
      </c>
      <c r="P621">
        <f>HYPERLINK("https://g1.globo.com/ms/mato-grosso-do-sul/noticia/2021/05/17/consulado-nao-oficial-da-venezuela-faz-mutirao-para-emitir-documentos-aos-imigrantes-residentes-em-ms.ghtml", "URL")</f>
        <v/>
      </c>
      <c r="Q621">
        <f>HYPERLINK("https://raw.githubusercontent.com/marcosmapl/dataset_imigrantes/main/materias_filtered/g1/venezuelanos/2021/04_mai/html/g1_014889be-2316-11ed-b24f-6dbe51e79fca_3120.html", "HTML")</f>
        <v/>
      </c>
      <c r="R621">
        <f>HYPERLINK("https://raw.githubusercontent.com/marcosmapl/dataset_imigrantes/main/materias_filtered/g1/venezuelanos/2021/04_mai/txt/g1_014889be-2316-11ed-b24f-6dbe51e79fca_3120.txt", "TXT")</f>
        <v/>
      </c>
    </row>
    <row r="622">
      <c r="A622" s="1" t="n">
        <v>620</v>
      </c>
      <c r="B622" t="n">
        <v>2021</v>
      </c>
      <c r="C622" s="2" t="n">
        <v>44330.64438800926</v>
      </c>
      <c r="D622" t="inlineStr">
        <is>
          <t>G1</t>
        </is>
      </c>
      <c r="E622" t="inlineStr">
        <is>
          <t>HAITIANOS</t>
        </is>
      </c>
      <c r="F622" t="inlineStr">
        <is>
          <t>AMAPÁ</t>
        </is>
      </c>
      <c r="G622" t="inlineStr">
        <is>
          <t>G1 AP — MACAPÁ</t>
        </is>
      </c>
      <c r="H622" t="inlineStr">
        <is>
          <t>CUBANOS E HAITIANO SÃO DETIDOS APÓS ENTRAREM CLANDESTINAMENTE NO AMAPÁ PELA GUIANA FRANCESA</t>
        </is>
      </c>
      <c r="I622" t="inlineStr">
        <is>
          <t>PRF FLAGROU PARTE DO GRUPO ESCONDIDO EM ÁREA DE MATA, E O RESTANTE EM FISCALIZAÇÕES EM VEÍCULOS, EM OIAPOQUE.</t>
        </is>
      </c>
      <c r="J622" t="inlineStr"/>
      <c r="K622" t="n">
        <v>0</v>
      </c>
      <c r="L622" t="n">
        <v>8</v>
      </c>
      <c r="M622" t="n">
        <v>1</v>
      </c>
      <c r="N622" t="n">
        <v>0</v>
      </c>
      <c r="O622" t="n">
        <v>7</v>
      </c>
      <c r="P622">
        <f>HYPERLINK("https://g1.globo.com/ap/amapa/noticia/2021/05/14/cubanos-e-haitiano-sao-detidos-apos-entrarem-clandestinamente-no-amapa-pela-guiana-francesa.ghtml", "URL")</f>
        <v/>
      </c>
      <c r="Q622">
        <f>HYPERLINK("https://raw.githubusercontent.com/marcosmapl/dataset_imigrantes/main/materias_filtered/g1/haitianos/2021/04_mai/html/g1_2ee83168-22f7-11ed-b24f-6dbe51e79fca_2064.html", "HTML")</f>
        <v/>
      </c>
      <c r="R622">
        <f>HYPERLINK("https://raw.githubusercontent.com/marcosmapl/dataset_imigrantes/main/materias_filtered/g1/haitianos/2021/04_mai/txt/g1_2ee83168-22f7-11ed-b24f-6dbe51e79fca_2064.txt", "TXT")</f>
        <v/>
      </c>
    </row>
    <row r="623">
      <c r="A623" s="1" t="n">
        <v>621</v>
      </c>
      <c r="B623" t="n">
        <v>2021</v>
      </c>
      <c r="C623" s="2" t="n">
        <v>44330.54878472222</v>
      </c>
      <c r="D623" t="inlineStr">
        <is>
          <t>A CRITICA</t>
        </is>
      </c>
      <c r="E623" t="inlineStr">
        <is>
          <t>VENEZUELANOS</t>
        </is>
      </c>
      <c r="F623" t="inlineStr">
        <is>
          <t>ESPORTES</t>
        </is>
      </c>
      <c r="G623" t="inlineStr">
        <is>
          <t>DANIEL PRESTES</t>
        </is>
      </c>
      <c r="H623" t="inlineStr">
        <is>
          <t>SCF 3.0 TRAZ 10 LUTAS E PRESENÇA VIP DE KETLEN VIEIRA, LUTADORA DO UFC</t>
        </is>
      </c>
      <c r="I623" t="inlineStr">
        <is>
          <t>MAIN EVENT DO CARD PRINCIPAL SERÁ ENCABEÇADO PELO COMBATE ENTRE MANUEL SILVA E WERLESSON ‘GALINHO’ MARTINS, VALENDO O CINTURÃO DA CATEGORIA DOS GALOS</t>
        </is>
      </c>
      <c r="J623" t="inlineStr"/>
      <c r="K623" t="n">
        <v>0</v>
      </c>
      <c r="L623" t="n">
        <v>1</v>
      </c>
      <c r="M623" t="n">
        <v>0</v>
      </c>
      <c r="N623" t="n">
        <v>0</v>
      </c>
      <c r="O623" t="n">
        <v>0</v>
      </c>
      <c r="P623">
        <f>HYPERLINK("https://www.acritica.com/esportes/scf-3-0-traz-10-lutas-e-presenca-vip-de-ketlen-vieira-lutadora-do-ufc-1.17260", "URL")</f>
        <v/>
      </c>
      <c r="Q623">
        <f>HYPERLINK("https://raw.githubusercontent.com/marcosmapl/dataset_imigrantes/main/materias_filtered/a_critica/venezuelanos/2021/04_mai/html/1.17260_655.html", "HTML")</f>
        <v/>
      </c>
      <c r="R623">
        <f>HYPERLINK("https://raw.githubusercontent.com/marcosmapl/dataset_imigrantes/main/materias_filtered/a_critica/venezuelanos/2021/04_mai/txt/1.17260_655.txt", "TXT")</f>
        <v/>
      </c>
    </row>
    <row r="624">
      <c r="A624" s="1" t="n">
        <v>622</v>
      </c>
      <c r="B624" t="n">
        <v>2021</v>
      </c>
      <c r="C624" s="2" t="n">
        <v>44327.60987171296</v>
      </c>
      <c r="D624" t="inlineStr">
        <is>
          <t>G1</t>
        </is>
      </c>
      <c r="E624" t="inlineStr">
        <is>
          <t>HAITIANOS</t>
        </is>
      </c>
      <c r="F624" t="inlineStr">
        <is>
          <t>OESTE E SUDOESTE</t>
        </is>
      </c>
      <c r="G624" t="inlineStr">
        <is>
          <t>RPC CASCAVEL — FOZ DO IGUAÇU</t>
        </is>
      </c>
      <c r="H624" t="inlineStr">
        <is>
          <t>EX-MARIDO É SUSPEITO DE MATAR MULHER A FACADAS AO TENTAR REATAR RELACIONAMENTO, NO PARANÁ, DIZ DELEGADO</t>
        </is>
      </c>
      <c r="I624" t="inlineStr">
        <is>
          <t>SEGUNDO O DELEGADO, MULHER HAITIANA, DE 28 ANOS, FOI ENCONTRADA MORTA DENTRO DE CASA, EM MARECHAL CÂNDIDO RONDON; SUSPEITO DEVIA CERCA DE R$ 8 MIL À VÍTIMA E ESTÁ FORAGIDO.</t>
        </is>
      </c>
      <c r="J624" t="inlineStr"/>
      <c r="K624" t="n">
        <v>0</v>
      </c>
      <c r="L624" t="n">
        <v>2</v>
      </c>
      <c r="M624" t="n">
        <v>1</v>
      </c>
      <c r="N624" t="n">
        <v>0</v>
      </c>
      <c r="O624" t="n">
        <v>3</v>
      </c>
      <c r="P624">
        <f>HYPERLINK("https://g1.globo.com/pr/oeste-sudoeste/noticia/2021/05/11/ex-marido-e-suspeito-de-matar-mulher-a-facadas-ao-tentar-reatar-relacionamento-no-parana-diz-delegado.ghtml", "URL")</f>
        <v/>
      </c>
      <c r="Q624">
        <f>HYPERLINK("https://raw.githubusercontent.com/marcosmapl/dataset_imigrantes/main/materias_filtered/g1/haitianos/2021/04_mai/html/g1_d32f2074-2310-11ed-b24f-6dbe51e79fca_2878.html", "HTML")</f>
        <v/>
      </c>
      <c r="R624">
        <f>HYPERLINK("https://raw.githubusercontent.com/marcosmapl/dataset_imigrantes/main/materias_filtered/g1/haitianos/2021/04_mai/txt/g1_d32f2074-2310-11ed-b24f-6dbe51e79fca_2878.txt", "TXT")</f>
        <v/>
      </c>
    </row>
    <row r="625">
      <c r="A625" s="1" t="n">
        <v>623</v>
      </c>
      <c r="B625" t="n">
        <v>2021</v>
      </c>
      <c r="C625" s="2" t="n">
        <v>44327.5567278125</v>
      </c>
      <c r="D625" t="inlineStr">
        <is>
          <t>G1</t>
        </is>
      </c>
      <c r="E625" t="inlineStr">
        <is>
          <t>HAITIANOS</t>
        </is>
      </c>
      <c r="F625" t="inlineStr">
        <is>
          <t>MUNDO</t>
        </is>
      </c>
      <c r="G625" t="inlineStr">
        <is>
          <t>BBC</t>
        </is>
      </c>
      <c r="H625" t="inlineStr">
        <is>
          <t>RACISMO: O BRASILEIRO POR TRÁS DE AÇÃO PIONEIRA CONTRA SEGREGAÇÃO NOS EUA EM 1833</t>
        </is>
      </c>
      <c r="I625" t="inlineStr">
        <is>
          <t>HÁ QUASE 200 ANOS, UM REVOLUCIONÁRIO PERNAMBUCANO DESAFIOU O RACISMO NA JUSTIÇA AMERICANA: CONHEÇA O RESGATE DE SUA HISTÓRIA</t>
        </is>
      </c>
      <c r="J625" t="inlineStr"/>
      <c r="K625" t="n">
        <v>0</v>
      </c>
      <c r="L625" t="n">
        <v>2</v>
      </c>
      <c r="M625" t="n">
        <v>0</v>
      </c>
      <c r="N625" t="n">
        <v>0</v>
      </c>
      <c r="O625" t="n">
        <v>1</v>
      </c>
      <c r="P625">
        <f>HYPERLINK("https://g1.globo.com/mundo/noticia/2021/05/11/racismo-o-brasileiro-por-tras-de-acao-pioneira-contra-segregacao-nos-eua-em-1833.ghtml", "URL")</f>
        <v/>
      </c>
      <c r="Q625">
        <f>HYPERLINK("https://raw.githubusercontent.com/marcosmapl/dataset_imigrantes/main/materias_filtered/g1/haitianos/2021/04_mai/html/g1_6db1628e-2329-11ed-b24f-6dbe51e79fca_4116.html", "HTML")</f>
        <v/>
      </c>
      <c r="R625">
        <f>HYPERLINK("https://raw.githubusercontent.com/marcosmapl/dataset_imigrantes/main/materias_filtered/g1/haitianos/2021/04_mai/txt/g1_6db1628e-2329-11ed-b24f-6dbe51e79fca_4116.txt", "TXT")</f>
        <v/>
      </c>
    </row>
    <row r="626">
      <c r="A626" s="1" t="n">
        <v>624</v>
      </c>
      <c r="B626" t="n">
        <v>2021</v>
      </c>
      <c r="C626" s="2" t="n">
        <v>44325.41711181713</v>
      </c>
      <c r="D626" t="inlineStr">
        <is>
          <t>G1</t>
        </is>
      </c>
      <c r="E626" t="inlineStr">
        <is>
          <t>VENEZUELANOS</t>
        </is>
      </c>
      <c r="F626" t="inlineStr">
        <is>
          <t>RORAIMA</t>
        </is>
      </c>
      <c r="G626" t="inlineStr">
        <is>
          <t>VANESSA FERNANDES, G1 RR — BOA VISTA</t>
        </is>
      </c>
      <c r="H626" t="inlineStr">
        <is>
          <t>SOZINHAS E SEM DINHEIRO, MÃES VENEZUELANAS SE ARRISCAM EM ROTAS CLANDESTINAS PARA CHEGAR AO BRASIL: 'LUZ NO FIM DO TÚNEL'</t>
        </is>
      </c>
      <c r="I626" t="inlineStr">
        <is>
          <t>OPERAÇÃO ACOLHIDA ATENDEU 351 MÃES COM FILHOS QUE ENTRARAM NO BRASIL DE FORMA CLANDESTINA DESDE MARÇO DO ANO PASSADO, QUANDO A FRONTEIRA FOI FECHADA.</t>
        </is>
      </c>
      <c r="J626" t="inlineStr"/>
      <c r="K626" t="n">
        <v>0</v>
      </c>
      <c r="L626" t="n">
        <v>2</v>
      </c>
      <c r="M626" t="n">
        <v>0</v>
      </c>
      <c r="N626" t="n">
        <v>0</v>
      </c>
      <c r="O626" t="n">
        <v>7</v>
      </c>
      <c r="P626">
        <f>HYPERLINK("https://g1.globo.com/rr/roraima/noticia/2021/05/09/sozinhas-e-sem-dinheiro-maes-venezuelanas-se-arriscam-em-rotas-clandestinas-para-chegar-ao-brasil-luz-no-fim-do-tunel.ghtml", "URL")</f>
        <v/>
      </c>
      <c r="Q626">
        <f>HYPERLINK("https://raw.githubusercontent.com/marcosmapl/dataset_imigrantes/main/materias_filtered/g1/venezuelanos/2021/04_mai/html/g1_fdc8c7d4-2326-11ed-b24f-6dbe51e79fca_4011.html", "HTML")</f>
        <v/>
      </c>
      <c r="R626">
        <f>HYPERLINK("https://raw.githubusercontent.com/marcosmapl/dataset_imigrantes/main/materias_filtered/g1/venezuelanos/2021/04_mai/txt/g1_fdc8c7d4-2326-11ed-b24f-6dbe51e79fca_4011.txt", "TXT")</f>
        <v/>
      </c>
    </row>
    <row r="627">
      <c r="A627" s="1" t="n">
        <v>625</v>
      </c>
      <c r="B627" t="n">
        <v>2021</v>
      </c>
      <c r="C627" s="2" t="n">
        <v>44324.57569444444</v>
      </c>
      <c r="D627" t="inlineStr">
        <is>
          <t>A CRITICA</t>
        </is>
      </c>
      <c r="E627" t="inlineStr">
        <is>
          <t>VENEZUELANOS</t>
        </is>
      </c>
      <c r="F627" t="inlineStr">
        <is>
          <t>MANAUS</t>
        </is>
      </c>
      <c r="G627" t="inlineStr">
        <is>
          <t>PORTAL A CRÍTICA</t>
        </is>
      </c>
      <c r="H627" t="inlineStr">
        <is>
          <t>BOMBEIROS RESGATARAM 55 PESSOAS DE PRÉDIO QUE PEGOU FOGO; NÃO HOUVE VÍTIMAS FATAIS</t>
        </is>
      </c>
      <c r="I627" t="inlineStr">
        <is>
          <t>MUITOS MORADORES, INCLUSIVE CRIANÇAS, TIVERAM INTOXICAÇÃO E FORAM ENCAMINHADOS A HOSPITAIS; UMA MULHER TEVE FRATURA NO TORNOZELO E FOI LEVADA AO 28 DE AGOSTO</t>
        </is>
      </c>
      <c r="J627" t="inlineStr"/>
      <c r="K627" t="n">
        <v>0</v>
      </c>
      <c r="L627" t="n">
        <v>1</v>
      </c>
      <c r="M627" t="n">
        <v>0</v>
      </c>
      <c r="N627" t="n">
        <v>0</v>
      </c>
      <c r="O627" t="n">
        <v>1</v>
      </c>
      <c r="P627">
        <f>HYPERLINK("https://www.acritica.com/manaus/bombeiros-resgataram-55-pessoas-de-predio-que-pegou-fogo-n-o-houve-vitimas-fatais-1.18596", "URL")</f>
        <v/>
      </c>
      <c r="Q627">
        <f>HYPERLINK("https://raw.githubusercontent.com/marcosmapl/dataset_imigrantes/main/materias_filtered/a_critica/venezuelanos/2021/04_mai/html/1.18596_230.html", "HTML")</f>
        <v/>
      </c>
      <c r="R627">
        <f>HYPERLINK("https://raw.githubusercontent.com/marcosmapl/dataset_imigrantes/main/materias_filtered/a_critica/venezuelanos/2021/04_mai/txt/1.18596_230.txt", "TXT")</f>
        <v/>
      </c>
    </row>
    <row r="628">
      <c r="A628" s="1" t="n">
        <v>626</v>
      </c>
      <c r="B628" t="n">
        <v>2021</v>
      </c>
      <c r="C628" s="2" t="n">
        <v>44324.52196759259</v>
      </c>
      <c r="D628" t="inlineStr">
        <is>
          <t>A CRITICA</t>
        </is>
      </c>
      <c r="E628" t="inlineStr">
        <is>
          <t>VENEZUELANOS</t>
        </is>
      </c>
      <c r="F628" t="inlineStr">
        <is>
          <t>MANAUS</t>
        </is>
      </c>
      <c r="G628" t="inlineStr">
        <is>
          <t>PORTAL A CRÍTICA</t>
        </is>
      </c>
      <c r="H628" t="inlineStr">
        <is>
          <t>INCÊNDIO ATINGE PRÉDIO RESIDENCIAL NO CENTRO E MORADORES SÃO RESGATADOS</t>
        </is>
      </c>
      <c r="I628" t="inlineStr">
        <is>
          <t>CORPO DE BOMBEIROS PRECISARAM RESGATAR MORADORES PELO TETO DO PRÉDIO, INCLUSIVE CRIANÇAS DE COLO; QUARTOS SÃO ALUGADOS POR VENEZUELANOS</t>
        </is>
      </c>
      <c r="J628" t="inlineStr"/>
      <c r="K628" t="n">
        <v>0</v>
      </c>
      <c r="L628" t="n">
        <v>1</v>
      </c>
      <c r="M628" t="n">
        <v>0</v>
      </c>
      <c r="N628" t="n">
        <v>0</v>
      </c>
      <c r="O628" t="n">
        <v>0</v>
      </c>
      <c r="P628">
        <f>HYPERLINK("https://www.acritica.com/manaus/incendio-atinge-predio-residencial-no-centro-e-moradores-s-o-resgatados-1.18602", "URL")</f>
        <v/>
      </c>
      <c r="Q628">
        <f>HYPERLINK("https://raw.githubusercontent.com/marcosmapl/dataset_imigrantes/main/materias_filtered/a_critica/venezuelanos/2021/04_mai/html/1.18602_1356.html", "HTML")</f>
        <v/>
      </c>
      <c r="R628">
        <f>HYPERLINK("https://raw.githubusercontent.com/marcosmapl/dataset_imigrantes/main/materias_filtered/a_critica/venezuelanos/2021/04_mai/txt/1.18602_1356.txt", "TXT")</f>
        <v/>
      </c>
    </row>
    <row r="629">
      <c r="A629" s="1" t="n">
        <v>627</v>
      </c>
      <c r="B629" t="n">
        <v>2021</v>
      </c>
      <c r="C629" s="2" t="n">
        <v>44320.75935461806</v>
      </c>
      <c r="D629" t="inlineStr">
        <is>
          <t>G1</t>
        </is>
      </c>
      <c r="E629" t="inlineStr">
        <is>
          <t>VENEZUELANOS</t>
        </is>
      </c>
      <c r="F629" t="inlineStr">
        <is>
          <t>TOCANTINS</t>
        </is>
      </c>
      <c r="G629" t="inlineStr">
        <is>
          <t>G1 TOCANTINS</t>
        </is>
      </c>
      <c r="H629" t="inlineStr">
        <is>
          <t>JUSTIÇA DETERMINA INCLUSÃO DE VENEZUELANOS EM PROGRAMA SOCIAL; 60 PESSOAS VIVEM EM CASA IMPROVISADA EM ARAGUAÍNA</t>
        </is>
      </c>
      <c r="I629" t="inlineStr">
        <is>
          <t>JUSTIÇA FEDERAL DEU UM PRAZO DE 72 HORAS PARA QUE ESTADO DO TOCANTINS INCLUA AS FAMÍLIAS NO PROGRAMA ALUGUEL SOCIAL. VENEZUELANOS VIVEM EM CONDIÇÕES PRECÁRIAS NA CIDADE.</t>
        </is>
      </c>
      <c r="J629" t="inlineStr"/>
      <c r="K629" t="n">
        <v>0</v>
      </c>
      <c r="L629" t="n">
        <v>1</v>
      </c>
      <c r="M629" t="n">
        <v>0</v>
      </c>
      <c r="N629" t="n">
        <v>0</v>
      </c>
      <c r="O629" t="n">
        <v>2</v>
      </c>
      <c r="P629">
        <f>HYPERLINK("https://g1.globo.com/to/tocantins/noticia/2021/05/04/justica-determina-inclusao-de-venezuelanos-em-programa-social-60-pessoas-vivem-em-casa-improvisada-em-araguaina.ghtml", "URL")</f>
        <v/>
      </c>
      <c r="Q629">
        <f>HYPERLINK("https://raw.githubusercontent.com/marcosmapl/dataset_imigrantes/main/materias_filtered/g1/venezuelanos/2021/04_mai/html/g1_b2e80b82-2329-11ed-b24f-6dbe51e79fca_4133.html", "HTML")</f>
        <v/>
      </c>
      <c r="R629">
        <f>HYPERLINK("https://raw.githubusercontent.com/marcosmapl/dataset_imigrantes/main/materias_filtered/g1/venezuelanos/2021/04_mai/txt/g1_b2e80b82-2329-11ed-b24f-6dbe51e79fca_4133.txt", "TXT")</f>
        <v/>
      </c>
    </row>
    <row r="630">
      <c r="A630" s="1" t="n">
        <v>628</v>
      </c>
      <c r="B630" t="n">
        <v>2021</v>
      </c>
      <c r="C630" s="2" t="n">
        <v>44320.71520833333</v>
      </c>
      <c r="D630" t="inlineStr">
        <is>
          <t>A CRITICA</t>
        </is>
      </c>
      <c r="E630" t="inlineStr">
        <is>
          <t>VENEZUELANOS</t>
        </is>
      </c>
      <c r="F630" t="inlineStr"/>
      <c r="G630" t="inlineStr">
        <is>
          <t>PORTAL A CRÍTICA</t>
        </is>
      </c>
      <c r="H630" t="inlineStr">
        <is>
          <t>‘AS RESPONSABILIDADES DEVEM SER APURADAS’, DIZ SERAFIM APÓS INUNDAÇÃO DESTRUIR ABRIGO</t>
        </is>
      </c>
      <c r="I630" t="inlineStr">
        <is>
          <t>O DEPUTADO DEFENDEU QUE A PREFEITURA DE MANAUS REALIZE UMA PERÍCIA PARA IDENTIFICAR CAUSAS E POSSÍVEIS RESPONSÁVEIS PELA INUNDAÇÃO</t>
        </is>
      </c>
      <c r="J630" t="inlineStr"/>
      <c r="K630" t="n">
        <v>0</v>
      </c>
      <c r="L630" t="n">
        <v>1</v>
      </c>
      <c r="M630" t="n">
        <v>0</v>
      </c>
      <c r="N630" t="n">
        <v>0</v>
      </c>
      <c r="O630" t="n">
        <v>1</v>
      </c>
      <c r="P630">
        <f>HYPERLINK("https://www.acritica.com/as-responsabilidades-devem-ser-apuradas-diz-serafim-apos-inundac-o-destruir-abrigo-1.17690", "URL")</f>
        <v/>
      </c>
      <c r="Q630">
        <f>HYPERLINK("https://raw.githubusercontent.com/marcosmapl/dataset_imigrantes/main/materias_filtered/a_critica/venezuelanos/2021/04_mai/html/1.17690_546.html", "HTML")</f>
        <v/>
      </c>
      <c r="R630">
        <f>HYPERLINK("https://raw.githubusercontent.com/marcosmapl/dataset_imigrantes/main/materias_filtered/a_critica/venezuelanos/2021/04_mai/txt/1.17690_546.txt", "TXT")</f>
        <v/>
      </c>
    </row>
    <row r="631">
      <c r="A631" s="1" t="n">
        <v>629</v>
      </c>
      <c r="B631" t="n">
        <v>2021</v>
      </c>
      <c r="C631" s="2" t="n">
        <v>44320.69415509259</v>
      </c>
      <c r="D631" t="inlineStr">
        <is>
          <t>A CRITICA</t>
        </is>
      </c>
      <c r="E631" t="inlineStr">
        <is>
          <t>VENEZUELANOS</t>
        </is>
      </c>
      <c r="F631" t="inlineStr"/>
      <c r="G631" t="inlineStr">
        <is>
          <t>PORTAL A CRÍTICA</t>
        </is>
      </c>
      <c r="H631" t="inlineStr">
        <is>
          <t>CRIANÇAS E ADULTOS VENEZUELANOS ATUALIZAM A CADERNETA DE VACINAÇÃO EM MANAUS</t>
        </is>
      </c>
      <c r="I631" t="inlineStr">
        <is>
          <t>A ATIVIDADE COMEÇOU DURANTE A SEMANA MUNDIAL DE IMUNIZAÇÃO E SE ESTENDE ATÉ 12 DE MAIO NO POSTO DE RECEPÇÃO E APOIO (PRA) NA CAPITAL AMAZONENSE</t>
        </is>
      </c>
      <c r="J631" t="inlineStr"/>
      <c r="K631" t="n">
        <v>0</v>
      </c>
      <c r="L631" t="n">
        <v>1</v>
      </c>
      <c r="M631" t="n">
        <v>0</v>
      </c>
      <c r="N631" t="n">
        <v>0</v>
      </c>
      <c r="O631" t="n">
        <v>0</v>
      </c>
      <c r="P631">
        <f>HYPERLINK("https://www.acritica.com/criancas-e-adultos-venezuelanos-atualizam-a-caderneta-de-vacinac-o-em-manaus-1.17694", "URL")</f>
        <v/>
      </c>
      <c r="Q631">
        <f>HYPERLINK("https://raw.githubusercontent.com/marcosmapl/dataset_imigrantes/main/materias_filtered/a_critica/venezuelanos/2021/04_mai/html/1.17694_502.html", "HTML")</f>
        <v/>
      </c>
      <c r="R631">
        <f>HYPERLINK("https://raw.githubusercontent.com/marcosmapl/dataset_imigrantes/main/materias_filtered/a_critica/venezuelanos/2021/04_mai/txt/1.17694_502.txt", "TXT")</f>
        <v/>
      </c>
    </row>
    <row r="632">
      <c r="A632" s="1" t="n">
        <v>630</v>
      </c>
      <c r="B632" t="n">
        <v>2021</v>
      </c>
      <c r="C632" s="2" t="n">
        <v>44320.06879679398</v>
      </c>
      <c r="D632" t="inlineStr">
        <is>
          <t>G1</t>
        </is>
      </c>
      <c r="E632" t="inlineStr">
        <is>
          <t>VENEZUELANOS</t>
        </is>
      </c>
      <c r="F632" t="inlineStr">
        <is>
          <t>AMAZONAS</t>
        </is>
      </c>
      <c r="G632" t="inlineStr">
        <is>
          <t>PATRICK MARQUES, G1 AM</t>
        </is>
      </c>
      <c r="H632" t="inlineStr">
        <is>
          <t>APÓS CHUVA DESTRUIR ABRIGO, VENEZUELANOS SÃO TRANSFERIDOS PARA A VILA OLÍMPICA DE MANAUS</t>
        </is>
      </c>
      <c r="I632" t="inlineStr">
        <is>
          <t>ELES DEVEM PERMANECER EM ALOJAMENTO PARA ATLETAS ATÉ QUE SEJAM TRANSFERIDOS PARA OUTROS ESTADOS.</t>
        </is>
      </c>
      <c r="J632" t="inlineStr"/>
      <c r="K632" t="n">
        <v>0</v>
      </c>
      <c r="L632" t="n">
        <v>2</v>
      </c>
      <c r="M632" t="n">
        <v>1</v>
      </c>
      <c r="N632" t="n">
        <v>0</v>
      </c>
      <c r="O632" t="n">
        <v>2</v>
      </c>
      <c r="P632">
        <f>HYPERLINK("https://g1.globo.com/am/amazonas/noticia/2021/05/03/apos-chuva-destruir-abrigo-venezuelanos-sao-transferidos-para-a-vila-olimpica-de-manaus.ghtml", "URL")</f>
        <v/>
      </c>
      <c r="Q632">
        <f>HYPERLINK("https://raw.githubusercontent.com/marcosmapl/dataset_imigrantes/main/materias_filtered/g1/venezuelanos/2021/04_mai/html/g1_e6fe8308-2322-11ed-b24f-6dbe51e79fca_3778.html", "HTML")</f>
        <v/>
      </c>
      <c r="R632">
        <f>HYPERLINK("https://raw.githubusercontent.com/marcosmapl/dataset_imigrantes/main/materias_filtered/g1/venezuelanos/2021/04_mai/txt/g1_e6fe8308-2322-11ed-b24f-6dbe51e79fca_3778.txt", "TXT")</f>
        <v/>
      </c>
    </row>
    <row r="633">
      <c r="A633" s="1" t="n">
        <v>631</v>
      </c>
      <c r="B633" t="n">
        <v>2021</v>
      </c>
      <c r="C633" s="2" t="n">
        <v>44320.03541666667</v>
      </c>
      <c r="D633" t="inlineStr">
        <is>
          <t>A CRITICA</t>
        </is>
      </c>
      <c r="E633" t="inlineStr">
        <is>
          <t>VENEZUELANOS</t>
        </is>
      </c>
      <c r="F633" t="inlineStr">
        <is>
          <t>MANAUS</t>
        </is>
      </c>
      <c r="G633" t="inlineStr">
        <is>
          <t>GABRIELLY GENTIL</t>
        </is>
      </c>
      <c r="H633" t="inlineStr">
        <is>
          <t>VENEZUELANOS ATINGIDOS POR ENXURRADA SÃO TRANSFERIDOS PARA VILA OLÍMPICA</t>
        </is>
      </c>
      <c r="I633" t="inlineStr">
        <is>
          <t>DE ACORDO COM A TITULAR DA SECRETARIA DE ESTADO DA ASSISTÊNCIA SOCIAL (SEAS), ALESSANDRA CAMPÊLO, OS VENEZUELANOS IRÃO FICAR NA VILA OLÍMPICA, ATÉ QUE POSSAM SER TRANSFERIDOS PARA OUTROS ESTADOS, ENQUANTO ISSO, AS PESSOAS PODEM IR ATÉ O LOCAL PARA FAZER DOAÇÕES DE ROUPAS</t>
        </is>
      </c>
      <c r="J633" t="inlineStr"/>
      <c r="K633" t="n">
        <v>0</v>
      </c>
      <c r="L633" t="n">
        <v>1</v>
      </c>
      <c r="M633" t="n">
        <v>0</v>
      </c>
      <c r="N633" t="n">
        <v>0</v>
      </c>
      <c r="O633" t="n">
        <v>0</v>
      </c>
      <c r="P633">
        <f>HYPERLINK("https://www.acritica.com/manaus/venezuelanos-atingidos-por-enxurrada-s-o-transferidos-para-vila-olimpica-1.17736", "URL")</f>
        <v/>
      </c>
      <c r="Q633">
        <f>HYPERLINK("https://raw.githubusercontent.com/marcosmapl/dataset_imigrantes/main/materias_filtered/a_critica/venezuelanos/2021/04_mai/html/1.17736_1368.html", "HTML")</f>
        <v/>
      </c>
      <c r="R633">
        <f>HYPERLINK("https://raw.githubusercontent.com/marcosmapl/dataset_imigrantes/main/materias_filtered/a_critica/venezuelanos/2021/04_mai/txt/1.17736_1368.txt", "TXT")</f>
        <v/>
      </c>
    </row>
    <row r="634">
      <c r="A634" s="1" t="n">
        <v>632</v>
      </c>
      <c r="B634" t="n">
        <v>2021</v>
      </c>
      <c r="C634" s="2" t="n">
        <v>44319.79516203704</v>
      </c>
      <c r="D634" t="inlineStr">
        <is>
          <t>A CRITICA</t>
        </is>
      </c>
      <c r="E634" t="inlineStr">
        <is>
          <t>VENEZUELANOS</t>
        </is>
      </c>
      <c r="F634" t="inlineStr">
        <is>
          <t>POLICIA</t>
        </is>
      </c>
      <c r="G634" t="inlineStr">
        <is>
          <t>GABRIELLY GENTIL</t>
        </is>
      </c>
      <c r="H634" t="inlineStr">
        <is>
          <t>PERÍCIA DEVE EXPLICAR ROMPIMENTO DE MURO EM ABRIGO PARA VENEZUELANOS</t>
        </is>
      </c>
      <c r="I634" t="inlineStr">
        <is>
          <t>DE ACORDO COM A DEFESA CIVIL DO MUNICÍPIO, OITO PESSOAS FORAM REMOVIDAS PARA UNIDADES DE SAÚDE. DENTRE AS VÍTIMAS, UMA GRÁVIDA, E UM BEBÊ.</t>
        </is>
      </c>
      <c r="J634" t="inlineStr"/>
      <c r="K634" t="n">
        <v>0</v>
      </c>
      <c r="L634" t="n">
        <v>1</v>
      </c>
      <c r="M634" t="n">
        <v>0</v>
      </c>
      <c r="N634" t="n">
        <v>0</v>
      </c>
      <c r="O634" t="n">
        <v>0</v>
      </c>
      <c r="P634">
        <f>HYPERLINK("https://www.acritica.com/policia/pericia-deve-explicar-rompimento-de-muro-em-abrigo-para-venezuelanos-1.18824", "URL")</f>
        <v/>
      </c>
      <c r="Q634">
        <f>HYPERLINK("https://raw.githubusercontent.com/marcosmapl/dataset_imigrantes/main/materias_filtered/a_critica/venezuelanos/2021/04_mai/html/1.18824_1227.html", "HTML")</f>
        <v/>
      </c>
      <c r="R634">
        <f>HYPERLINK("https://raw.githubusercontent.com/marcosmapl/dataset_imigrantes/main/materias_filtered/a_critica/venezuelanos/2021/04_mai/txt/1.18824_1227.txt", "TXT")</f>
        <v/>
      </c>
    </row>
    <row r="635">
      <c r="A635" s="1" t="n">
        <v>633</v>
      </c>
      <c r="B635" t="n">
        <v>2021</v>
      </c>
      <c r="C635" s="2" t="n">
        <v>44319.75822916667</v>
      </c>
      <c r="D635" t="inlineStr">
        <is>
          <t>A CRITICA</t>
        </is>
      </c>
      <c r="E635" t="inlineStr">
        <is>
          <t>VENEZUELANOS</t>
        </is>
      </c>
      <c r="F635" t="inlineStr">
        <is>
          <t>OPINIAO</t>
        </is>
      </c>
      <c r="G635" t="inlineStr">
        <is>
          <t>DULCE RODRIGUEZ</t>
        </is>
      </c>
      <c r="H635" t="inlineStr">
        <is>
          <t>O QUE PASSA UMA JORNALISTA VENEZUELANA PARA NOTICIAR AS AÇÕES DO REGIME</t>
        </is>
      </c>
      <c r="I635" t="inlineStr">
        <is>
          <t>NO DIA INTERNACIONAL DA LIBERDADE DE IMPRENSA QUERO LHES CONTAR COMO O DIREITO DOS PROFISSIONAIS DA MÍDIA É CENSURADO NO MEU PAÍS</t>
        </is>
      </c>
      <c r="J635" t="inlineStr">
        <is>
          <t>VIDA-DE-IMIGRANTE</t>
        </is>
      </c>
      <c r="K635" t="n">
        <v>1</v>
      </c>
      <c r="L635" t="n">
        <v>1</v>
      </c>
      <c r="M635" t="n">
        <v>0</v>
      </c>
      <c r="N635" t="n">
        <v>0</v>
      </c>
      <c r="O635" t="n">
        <v>1</v>
      </c>
      <c r="P635">
        <f>HYPERLINK("https://www.acritica.com/opiniao/o-que-passa-uma-jornalista-venezuelana-para-noticiar-as-ac-es-do-regime-1.215500", "URL")</f>
        <v/>
      </c>
      <c r="Q635">
        <f>HYPERLINK("https://raw.githubusercontent.com/marcosmapl/dataset_imigrantes/main/materias_filtered/a_critica/venezuelanos/2021/04_mai/html/1.215500_406.html", "HTML")</f>
        <v/>
      </c>
      <c r="R635">
        <f>HYPERLINK("https://raw.githubusercontent.com/marcosmapl/dataset_imigrantes/main/materias_filtered/a_critica/venezuelanos/2021/04_mai/txt/1.215500_406.txt", "TXT")</f>
        <v/>
      </c>
    </row>
    <row r="636">
      <c r="A636" s="1" t="n">
        <v>634</v>
      </c>
      <c r="B636" t="n">
        <v>2021</v>
      </c>
      <c r="C636" s="2" t="n">
        <v>44317.94877314815</v>
      </c>
      <c r="D636" t="inlineStr">
        <is>
          <t>A CRITICA</t>
        </is>
      </c>
      <c r="E636" t="inlineStr">
        <is>
          <t>VENEZUELANOS</t>
        </is>
      </c>
      <c r="F636" t="inlineStr"/>
      <c r="G636" t="inlineStr">
        <is>
          <t>AFP</t>
        </is>
      </c>
      <c r="H636" t="inlineStr">
        <is>
          <t>VENEZUELA AUMENTA SALÁRIO MÍNIMO EM QUASE 300%</t>
        </is>
      </c>
      <c r="I636" t="inlineStr">
        <is>
          <t>“ENTRA EM VIGOR UM AUMENTO DO SALÁRIO MÍNIMO PARA 7 MILHÕES DE BOLÍVARES”, EQUIVALENTE A 2,5 DÓLARES. ATUALMENTE, O SALÁRIO NO BRASIL EQUIVALE A 202,26 DÓLARES</t>
        </is>
      </c>
      <c r="J636" t="inlineStr"/>
      <c r="K636" t="n">
        <v>0</v>
      </c>
      <c r="L636" t="n">
        <v>1</v>
      </c>
      <c r="M636" t="n">
        <v>0</v>
      </c>
      <c r="N636" t="n">
        <v>0</v>
      </c>
      <c r="O636" t="n">
        <v>0</v>
      </c>
      <c r="P636">
        <f>HYPERLINK("https://www.acritica.com/venezuela-aumenta-salario-minimo-em-quase-300-1.18872", "URL")</f>
        <v/>
      </c>
      <c r="Q636">
        <f>HYPERLINK("https://raw.githubusercontent.com/marcosmapl/dataset_imigrantes/main/materias_filtered/a_critica/venezuelanos/2021/04_mai/html/1.18872_595.html", "HTML")</f>
        <v/>
      </c>
      <c r="R636">
        <f>HYPERLINK("https://raw.githubusercontent.com/marcosmapl/dataset_imigrantes/main/materias_filtered/a_critica/venezuelanos/2021/04_mai/txt/1.18872_595.txt", "TXT")</f>
        <v/>
      </c>
    </row>
    <row r="637">
      <c r="A637" s="1" t="n">
        <v>635</v>
      </c>
      <c r="B637" t="n">
        <v>2021</v>
      </c>
      <c r="C637" s="2" t="n">
        <v>44316.77058319445</v>
      </c>
      <c r="D637" t="inlineStr">
        <is>
          <t>G1</t>
        </is>
      </c>
      <c r="E637" t="inlineStr">
        <is>
          <t>HAITIANOS</t>
        </is>
      </c>
      <c r="F637" t="inlineStr">
        <is>
          <t>CAMPOS GERAIS E SUL</t>
        </is>
      </c>
      <c r="G637" t="inlineStr">
        <is>
          <t>G1 PR</t>
        </is>
      </c>
      <c r="H637" t="inlineStr">
        <is>
          <t>HOMEM É PRESO SUSPEITO DE ESTUPRAR CRIANÇA DE 8 ANOS EM PONTA GROSSA</t>
        </is>
      </c>
      <c r="I637" t="inlineStr">
        <is>
          <t>SEGUNDO POLÍCIA, VÍTIMA É FILHA DE UM CASAL DE HAITIANOS QUE ACOLHEU O SUSPEITO, TAMBÉM NATURAL DO HAITI, QUANDO HOMEM DE 42 CHEGOU AO BRASIL. PRISÃO ACONTECEU NESTA SEXTA (30).</t>
        </is>
      </c>
      <c r="J637" t="inlineStr"/>
      <c r="K637" t="n">
        <v>0</v>
      </c>
      <c r="L637" t="n">
        <v>7</v>
      </c>
      <c r="M637" t="n">
        <v>0</v>
      </c>
      <c r="N637" t="n">
        <v>0</v>
      </c>
      <c r="O637" t="n">
        <v>2</v>
      </c>
      <c r="P637">
        <f>HYPERLINK("https://g1.globo.com/pr/campos-gerais-sul/noticia/2021/04/30/homem-e-preso-suspeito-de-estuprar-crianca-de-8-anos-em-ponta-grossa.ghtml", "URL")</f>
        <v/>
      </c>
      <c r="Q637">
        <f>HYPERLINK("https://raw.githubusercontent.com/marcosmapl/dataset_imigrantes/main/materias_filtered/g1/haitianos/2021/03_abr/html/g1_c7540c62-22f0-11ed-b24f-6dbe51e79fca_1720.html", "HTML")</f>
        <v/>
      </c>
      <c r="R637">
        <f>HYPERLINK("https://raw.githubusercontent.com/marcosmapl/dataset_imigrantes/main/materias_filtered/g1/haitianos/2021/03_abr/txt/g1_c7540c62-22f0-11ed-b24f-6dbe51e79fca_1720.txt", "TXT")</f>
        <v/>
      </c>
    </row>
    <row r="638">
      <c r="A638" s="1" t="n">
        <v>636</v>
      </c>
      <c r="B638" t="n">
        <v>2021</v>
      </c>
      <c r="C638" s="2" t="n">
        <v>44316.46711805555</v>
      </c>
      <c r="D638" t="inlineStr">
        <is>
          <t>A CRITICA</t>
        </is>
      </c>
      <c r="E638" t="inlineStr">
        <is>
          <t>VENEZUELANOS</t>
        </is>
      </c>
      <c r="F638" t="inlineStr">
        <is>
          <t>ESPORTES</t>
        </is>
      </c>
      <c r="G638" t="inlineStr">
        <is>
          <t>DANIEL PRESTES</t>
        </is>
      </c>
      <c r="H638" t="inlineStr">
        <is>
          <t>CRIA DO RING BOXE, PUGILISTA MORRAMAD ARAÚJO FALA DAS DIFICULDADES EM RETOMAR O PROJETO: 'TAREFA MUITO DIFÍCIL'</t>
        </is>
      </c>
      <c r="I638" t="inlineStr">
        <is>
          <t>A AÇÃO SOCIAL IDEALIZADA PELO EX-BOXEADOR PEDRO NUNES, FALECIDO EM 2019, ESTÁ PARADA DESDE O INÍCIO DA PANDEMIA E BUSCA RECURSOS PARA RETOMAR AS ATIVIDADES</t>
        </is>
      </c>
      <c r="J638" t="inlineStr"/>
      <c r="K638" t="n">
        <v>0</v>
      </c>
      <c r="L638" t="n">
        <v>1</v>
      </c>
      <c r="M638" t="n">
        <v>0</v>
      </c>
      <c r="N638" t="n">
        <v>0</v>
      </c>
      <c r="O638" t="n">
        <v>0</v>
      </c>
      <c r="P638">
        <f>HYPERLINK("https://www.acritica.com/esportes/cria-do-ring-boxe-pugilista-morramad-araujo-fala-das-dificuldades-em-retomar-o-projeto-tarefa-muito-dificil-1.17752", "URL")</f>
        <v/>
      </c>
      <c r="Q638">
        <f>HYPERLINK("https://raw.githubusercontent.com/marcosmapl/dataset_imigrantes/main/materias_filtered/a_critica/venezuelanos/2021/03_abr/html/1.17752_1322.html", "HTML")</f>
        <v/>
      </c>
      <c r="R638">
        <f>HYPERLINK("https://raw.githubusercontent.com/marcosmapl/dataset_imigrantes/main/materias_filtered/a_critica/venezuelanos/2021/03_abr/txt/1.17752_1322.txt", "TXT")</f>
        <v/>
      </c>
    </row>
    <row r="639">
      <c r="A639" s="1" t="n">
        <v>637</v>
      </c>
      <c r="B639" t="n">
        <v>2021</v>
      </c>
      <c r="C639" s="2" t="n">
        <v>44312.97171614583</v>
      </c>
      <c r="D639" t="inlineStr">
        <is>
          <t>G1</t>
        </is>
      </c>
      <c r="E639" t="inlineStr">
        <is>
          <t>VENEZUELANOS</t>
        </is>
      </c>
      <c r="F639" t="inlineStr">
        <is>
          <t>BAHIA</t>
        </is>
      </c>
      <c r="G639" t="inlineStr">
        <is>
          <t>TV SANTA CRUZ</t>
        </is>
      </c>
      <c r="H639" t="inlineStr">
        <is>
          <t>APÓS 14 DIAS, GRUPO DE VENEZUELANOS QUE BUSCOU REFÚGIO EM ITABUNA DEIXA CIDADE E VAI PARA TEIXEIRA DE FREITAS</t>
        </is>
      </c>
      <c r="I639" t="inlineStr">
        <is>
          <t>DE ACORDO COM A SECRETARIA SOCIAL DE TEIXEIRA DE FREITAS, PARTE DO GRUPO TEM COM O DESTINO FINAL O ESTADO DE SÃO PAULO.</t>
        </is>
      </c>
      <c r="J639" t="inlineStr"/>
      <c r="K639" t="n">
        <v>0</v>
      </c>
      <c r="L639" t="n">
        <v>1</v>
      </c>
      <c r="M639" t="n">
        <v>0</v>
      </c>
      <c r="N639" t="n">
        <v>0</v>
      </c>
      <c r="O639" t="n">
        <v>3</v>
      </c>
      <c r="P639">
        <f>HYPERLINK("https://g1.globo.com/ba/bahia/noticia/2021/04/26/grupo-de-venezuelanos-que-buscou-refugio-em-itabuna-deixa-cidade-e-vai-para-teixeira-de-freitas.ghtml", "URL")</f>
        <v/>
      </c>
      <c r="Q639">
        <f>HYPERLINK("https://raw.githubusercontent.com/marcosmapl/dataset_imigrantes/main/materias_filtered/g1/venezuelanos/2021/03_abr/html/g1_1e818ad2-2323-11ed-b24f-6dbe51e79fca_3789.html", "HTML")</f>
        <v/>
      </c>
      <c r="R639">
        <f>HYPERLINK("https://raw.githubusercontent.com/marcosmapl/dataset_imigrantes/main/materias_filtered/g1/venezuelanos/2021/03_abr/txt/g1_1e818ad2-2323-11ed-b24f-6dbe51e79fca_3789.txt", "TXT")</f>
        <v/>
      </c>
    </row>
    <row r="640">
      <c r="A640" s="1" t="n">
        <v>638</v>
      </c>
      <c r="B640" t="n">
        <v>2021</v>
      </c>
      <c r="C640" s="2" t="n">
        <v>44312.61924271991</v>
      </c>
      <c r="D640" t="inlineStr">
        <is>
          <t>G1</t>
        </is>
      </c>
      <c r="E640" t="inlineStr">
        <is>
          <t>VENEZUELANOS</t>
        </is>
      </c>
      <c r="F640" t="inlineStr">
        <is>
          <t>SANTARÉM E REGIÃO</t>
        </is>
      </c>
      <c r="G640" t="inlineStr">
        <is>
          <t>G1 SANTARÉM — PARÁ</t>
        </is>
      </c>
      <c r="H640" t="inlineStr">
        <is>
          <t>ATENDENDO AO MPF, INDÍGENAS VENEZUELANOS WARAO SÃO VACINADOS CONTRA A COVID-19 EM SANTARÉM</t>
        </is>
      </c>
      <c r="I640" t="inlineStr">
        <is>
          <t>47 PESSOAS RECEBERAM A 1ª DOSE DO IMUNIZANTE NO FIM DE SEMANA, ALÉM DE ATENDIMENTO MÉDICO E MEDICAMENTOS.</t>
        </is>
      </c>
      <c r="J640" t="inlineStr"/>
      <c r="K640" t="n">
        <v>0</v>
      </c>
      <c r="L640" t="n">
        <v>2</v>
      </c>
      <c r="M640" t="n">
        <v>0</v>
      </c>
      <c r="N640" t="n">
        <v>0</v>
      </c>
      <c r="O640" t="n">
        <v>1</v>
      </c>
      <c r="P640">
        <f>HYPERLINK("https://g1.globo.com/pa/santarem-regiao/noticia/2021/04/26/atendendo-ao-mpf-indigenas-venezuelanos-warao-sao-vacinados-contra-a-covid-19-em-santarem.ghtml", "URL")</f>
        <v/>
      </c>
      <c r="Q640">
        <f>HYPERLINK("https://raw.githubusercontent.com/marcosmapl/dataset_imigrantes/main/materias_filtered/g1/venezuelanos/2021/03_abr/html/g1_53d306a2-230a-11ed-b24f-6dbe51e79fca_2498.html", "HTML")</f>
        <v/>
      </c>
      <c r="R640">
        <f>HYPERLINK("https://raw.githubusercontent.com/marcosmapl/dataset_imigrantes/main/materias_filtered/g1/venezuelanos/2021/03_abr/txt/g1_53d306a2-230a-11ed-b24f-6dbe51e79fca_2498.txt", "TXT")</f>
        <v/>
      </c>
    </row>
    <row r="641">
      <c r="A641" s="1" t="n">
        <v>639</v>
      </c>
      <c r="B641" t="n">
        <v>2021</v>
      </c>
      <c r="C641" s="2" t="n">
        <v>44312.53612989583</v>
      </c>
      <c r="D641" t="inlineStr">
        <is>
          <t>G1</t>
        </is>
      </c>
      <c r="E641" t="inlineStr">
        <is>
          <t>VENEZUELANOS</t>
        </is>
      </c>
      <c r="F641" t="inlineStr">
        <is>
          <t>RORAIMA</t>
        </is>
      </c>
      <c r="G641" t="inlineStr">
        <is>
          <t>G1 RR — BOA VISTA</t>
        </is>
      </c>
      <c r="H641" t="inlineStr">
        <is>
          <t>MORADORES DE RUA AGRIDEM VENEZUELANO COM PAUS E PEDRAS EM BOA VISTA</t>
        </is>
      </c>
      <c r="I641" t="inlineStr">
        <is>
          <t>VÍTIMA, DE 28 ANOS, APRESENTAVA CORTES PROFUNDOS NA CABEÇA, ALÉM DE VÁRIOS FERIMENTOS PELO CORPO. SUSPEITOS, QUE TÊM ENTRE 21 A 29 ANOS, FORAM ENCONTRADOS. TODOS SÃO MORADORES DE RUA, INFORMOU A GUARDA CIVIL.</t>
        </is>
      </c>
      <c r="J641" t="inlineStr"/>
      <c r="K641" t="n">
        <v>0</v>
      </c>
      <c r="L641" t="n">
        <v>1</v>
      </c>
      <c r="M641" t="n">
        <v>0</v>
      </c>
      <c r="N641" t="n">
        <v>0</v>
      </c>
      <c r="O641" t="n">
        <v>0</v>
      </c>
      <c r="P641">
        <f>HYPERLINK("https://g1.globo.com/rr/roraima/noticia/2021/04/26/moradores-de-rua-agridem-abrigado-com-pauladas-e-pedradas-em-boa-vista.ghtml", "URL")</f>
        <v/>
      </c>
      <c r="Q641">
        <f>HYPERLINK("https://raw.githubusercontent.com/marcosmapl/dataset_imigrantes/main/materias_filtered/g1/venezuelanos/2021/03_abr/html/g1_56403c74-2329-11ed-b24f-6dbe51e79fca_4110.html", "HTML")</f>
        <v/>
      </c>
      <c r="R641">
        <f>HYPERLINK("https://raw.githubusercontent.com/marcosmapl/dataset_imigrantes/main/materias_filtered/g1/venezuelanos/2021/03_abr/txt/g1_56403c74-2329-11ed-b24f-6dbe51e79fca_4110.txt", "TXT")</f>
        <v/>
      </c>
    </row>
    <row r="642">
      <c r="A642" s="1" t="n">
        <v>640</v>
      </c>
      <c r="B642" t="n">
        <v>2021</v>
      </c>
      <c r="C642" s="2" t="n">
        <v>44311.52671148149</v>
      </c>
      <c r="D642" t="inlineStr">
        <is>
          <t>G1</t>
        </is>
      </c>
      <c r="E642" t="inlineStr">
        <is>
          <t>VENEZUELANOS</t>
        </is>
      </c>
      <c r="F642" t="inlineStr">
        <is>
          <t>ACRE</t>
        </is>
      </c>
      <c r="G642" t="inlineStr">
        <is>
          <t>IRYÁ RODRIGUES, G1 AC — RIO BRANCO</t>
        </is>
      </c>
      <c r="H642" t="inlineStr">
        <is>
          <t>OPERAÇÃO ACOLHIDA INTERIORIZOU MAIS DE 50 VENEZUELANOS NO ACRE, DIZ GOVERNO FEDERAL</t>
        </is>
      </c>
      <c r="I642" t="inlineStr">
        <is>
          <t>AO TODO, 56 CIDADÃOS DA VENEZUELA QUE ESTAVAM EM RORAIMA E PASSARAM PELO PROCESSO DE INTERIORIZAÇÃO FORAM DISTRIBUÍDOS PELO GOVERNO BRASILEIRO EM TRÊS MUNICÍPIOS ACREANOS. IMIGRANTES ESTÃO EM RIO BRANCO, TARAUACÁ E CRUZEIRO DO SUL.</t>
        </is>
      </c>
      <c r="J642" t="inlineStr"/>
      <c r="K642" t="n">
        <v>0</v>
      </c>
      <c r="L642" t="n">
        <v>2</v>
      </c>
      <c r="M642" t="n">
        <v>0</v>
      </c>
      <c r="N642" t="n">
        <v>0</v>
      </c>
      <c r="O642" t="n">
        <v>8</v>
      </c>
      <c r="P642">
        <f>HYPERLINK("https://g1.globo.com/ac/acre/noticia/2021/04/25/operacao-acolhida-interiorizou-mais-de-50-venezuelanos-no-acre-diz-governo-federal.ghtml", "URL")</f>
        <v/>
      </c>
      <c r="Q642">
        <f>HYPERLINK("https://raw.githubusercontent.com/marcosmapl/dataset_imigrantes/main/materias_filtered/g1/venezuelanos/2021/03_abr/html/g1_bbd9e4a4-2315-11ed-b24f-6dbe51e79fca_3104.html", "HTML")</f>
        <v/>
      </c>
      <c r="R642">
        <f>HYPERLINK("https://raw.githubusercontent.com/marcosmapl/dataset_imigrantes/main/materias_filtered/g1/venezuelanos/2021/03_abr/txt/g1_bbd9e4a4-2315-11ed-b24f-6dbe51e79fca_3104.txt", "TXT")</f>
        <v/>
      </c>
    </row>
    <row r="643">
      <c r="A643" s="1" t="n">
        <v>641</v>
      </c>
      <c r="B643" t="n">
        <v>2021</v>
      </c>
      <c r="C643" s="2" t="n">
        <v>44307.80716819444</v>
      </c>
      <c r="D643" t="inlineStr">
        <is>
          <t>G1</t>
        </is>
      </c>
      <c r="E643" t="inlineStr">
        <is>
          <t>HAITIANOS</t>
        </is>
      </c>
      <c r="F643" t="inlineStr">
        <is>
          <t>RIO DE JANEIRO</t>
        </is>
      </c>
      <c r="G643" t="inlineStr">
        <is>
          <t>MARCO ANTÔNIO MARTINS, G1 RIO</t>
        </is>
      </c>
      <c r="H643" t="inlineStr">
        <is>
          <t>POLÍCIA FEDERAL PRENDE HAITIANO COM PASSAPORTE FALSO NO AEROPORTO DO GALEÃO</t>
        </is>
      </c>
      <c r="I643" t="inlineStr">
        <is>
          <t>AGENTES SUSPEITARAM DO HOMEM QUE PAGOU US$ 700 PELO DOCUMENTO E QUE ENTROU NO BRASIL PELO MATO GROSSO DO SUL.</t>
        </is>
      </c>
      <c r="J643" t="inlineStr"/>
      <c r="K643" t="n">
        <v>0</v>
      </c>
      <c r="L643" t="n">
        <v>0</v>
      </c>
      <c r="M643" t="n">
        <v>0</v>
      </c>
      <c r="N643" t="n">
        <v>0</v>
      </c>
      <c r="O643" t="n">
        <v>0</v>
      </c>
      <c r="P643">
        <f>HYPERLINK("https://g1.globo.com/rj/rio-de-janeiro/noticia/2021/04/21/policia-federal-prende-haitiano-com-passaporte-falso-no-aeroporto-do-galeao.ghtml", "URL")</f>
        <v/>
      </c>
      <c r="Q643">
        <f>HYPERLINK("https://raw.githubusercontent.com/marcosmapl/dataset_imigrantes/main/materias_filtered/g1/haitianos/2021/03_abr/html/g1_d3b8c218-22fa-11ed-b24f-6dbe51e79fca_2244.html", "HTML")</f>
        <v/>
      </c>
      <c r="R643">
        <f>HYPERLINK("https://raw.githubusercontent.com/marcosmapl/dataset_imigrantes/main/materias_filtered/g1/haitianos/2021/03_abr/txt/g1_d3b8c218-22fa-11ed-b24f-6dbe51e79fca_2244.txt", "TXT")</f>
        <v/>
      </c>
    </row>
    <row r="644">
      <c r="A644" s="1" t="n">
        <v>642</v>
      </c>
      <c r="B644" t="n">
        <v>2021</v>
      </c>
      <c r="C644" s="2" t="n">
        <v>44307.52504629629</v>
      </c>
      <c r="D644" t="inlineStr">
        <is>
          <t>A CRITICA</t>
        </is>
      </c>
      <c r="E644" t="inlineStr">
        <is>
          <t>VENEZUELANOS</t>
        </is>
      </c>
      <c r="F644" t="inlineStr">
        <is>
          <t>ESPORTES</t>
        </is>
      </c>
      <c r="G644" t="inlineStr">
        <is>
          <t>DANIEL PRESTES</t>
        </is>
      </c>
      <c r="H644" t="inlineStr">
        <is>
          <t>LECHEVA MIRA CLASSIFICAÇÃO CONTRA O SÃO RAIMUNDO NAS QUARTAS DE FINAIS DO BAREZÃO: ‘PRINCIPAL OBJETIVO’</t>
        </is>
      </c>
      <c r="I644" t="inlineStr">
        <is>
          <t>AMAZONAS ENFRENTA O TUFÃO DA COLINA NA NOITE DESTA QUARTA-FEIRA (21), NA COLINA, COM TRANSMISSÃO DA TV A CRÍTICA</t>
        </is>
      </c>
      <c r="J644" t="inlineStr"/>
      <c r="K644" t="n">
        <v>0</v>
      </c>
      <c r="L644" t="n">
        <v>1</v>
      </c>
      <c r="M644" t="n">
        <v>0</v>
      </c>
      <c r="N644" t="n">
        <v>0</v>
      </c>
      <c r="O644" t="n">
        <v>0</v>
      </c>
      <c r="P644">
        <f>HYPERLINK("https://www.acritica.com/esportes/lecheva-mira-classificac-o-contra-o-s-o-raimundo-nas-quartas-de-finais-do-barez-o-principal-objetivo-1.18080", "URL")</f>
        <v/>
      </c>
      <c r="Q644">
        <f>HYPERLINK("https://raw.githubusercontent.com/marcosmapl/dataset_imigrantes/main/materias_filtered/a_critica/venezuelanos/2021/03_abr/html/1.18080_137.html", "HTML")</f>
        <v/>
      </c>
      <c r="R644">
        <f>HYPERLINK("https://raw.githubusercontent.com/marcosmapl/dataset_imigrantes/main/materias_filtered/a_critica/venezuelanos/2021/03_abr/txt/1.18080_137.txt", "TXT")</f>
        <v/>
      </c>
    </row>
    <row r="645">
      <c r="A645" s="1" t="n">
        <v>643</v>
      </c>
      <c r="B645" t="n">
        <v>2021</v>
      </c>
      <c r="C645" s="2" t="n">
        <v>44306.86691949074</v>
      </c>
      <c r="D645" t="inlineStr">
        <is>
          <t>G1</t>
        </is>
      </c>
      <c r="E645" t="inlineStr">
        <is>
          <t>VENEZUELANOS</t>
        </is>
      </c>
      <c r="F645" t="inlineStr">
        <is>
          <t>MUNDO</t>
        </is>
      </c>
      <c r="G645" t="inlineStr">
        <is>
          <t>G1</t>
        </is>
      </c>
      <c r="H645" t="inlineStr">
        <is>
          <t>OPERAÇÃO ACOLHIDA INTERIORIZOU MAIS DE 50 MIL VENEZUELANOS NO BRASIL, DIZ GOVERNO</t>
        </is>
      </c>
      <c r="I645" t="inlineStr">
        <is>
          <t>CIDADÃOS DA VENEZUELA QUE PASSARAM PELO PROCESSO DE INTERIORIZAÇÃO FORAM DISTRIBUÍDOS PELO GOVERNO BRASILEIRO EM MAIS DE 670 MUNICÍPIOS BRASILEIROS. NÚMERO CONSIDERA TANTO REFUGIADOS E SOLICITANTES DE REFÚGIO COMO VENEZUELANOS QUE ENTRARAM COM PEDIDO DE RESIDÊNCIA.</t>
        </is>
      </c>
      <c r="J645" t="inlineStr"/>
      <c r="K645" t="n">
        <v>0</v>
      </c>
      <c r="L645" t="n">
        <v>2</v>
      </c>
      <c r="M645" t="n">
        <v>0</v>
      </c>
      <c r="N645" t="n">
        <v>0</v>
      </c>
      <c r="O645" t="n">
        <v>8</v>
      </c>
      <c r="P645">
        <f>HYPERLINK("https://g1.globo.com/mundo/noticia/2021/04/20/operacao-acolhida-interiorizou-mais-de-50-mil-venezuelanos-no-brasil-diz-governo.ghtml", "URL")</f>
        <v/>
      </c>
      <c r="Q645">
        <f>HYPERLINK("https://raw.githubusercontent.com/marcosmapl/dataset_imigrantes/main/materias_filtered/g1/venezuelanos/2021/03_abr/html/g1_c25ec5ac-231e-11ed-b24f-6dbe51e79fca_3583.html", "HTML")</f>
        <v/>
      </c>
      <c r="R645">
        <f>HYPERLINK("https://raw.githubusercontent.com/marcosmapl/dataset_imigrantes/main/materias_filtered/g1/venezuelanos/2021/03_abr/txt/g1_c25ec5ac-231e-11ed-b24f-6dbe51e79fca_3583.txt", "TXT")</f>
        <v/>
      </c>
    </row>
    <row r="646">
      <c r="A646" s="1" t="n">
        <v>644</v>
      </c>
      <c r="B646" t="n">
        <v>2021</v>
      </c>
      <c r="C646" s="2" t="n">
        <v>44306.61507159723</v>
      </c>
      <c r="D646" t="inlineStr">
        <is>
          <t>G1</t>
        </is>
      </c>
      <c r="E646" t="inlineStr">
        <is>
          <t>HAITIANOS</t>
        </is>
      </c>
      <c r="F646" t="inlineStr">
        <is>
          <t>MATO GROSSO</t>
        </is>
      </c>
      <c r="G646" t="inlineStr">
        <is>
          <t>CINTHYA ROCHA, TV CENTRO AMÉRICA</t>
        </is>
      </c>
      <c r="H646" t="inlineStr">
        <is>
          <t>RACISMO E XENOFOBIA CONTRA HAITIANOS EM ÔNIBUS EM CUIABÁ SÃO APURADOS PELA POLÍCIA; VEJA VÍDEO</t>
        </is>
      </c>
      <c r="I646" t="inlineStr">
        <is>
          <t>PASSAGEIRO XINGOU HAITIANOS QUE ESTAVAM NO ÔNIBUS E CITOU HITLER. DELEGADO DISSE QUE CRIME ATINGE TODA A COLETIVIDADE.</t>
        </is>
      </c>
      <c r="J646" t="inlineStr"/>
      <c r="K646" t="n">
        <v>0</v>
      </c>
      <c r="L646" t="n">
        <v>1</v>
      </c>
      <c r="M646" t="n">
        <v>1</v>
      </c>
      <c r="N646" t="n">
        <v>0</v>
      </c>
      <c r="O646" t="n">
        <v>0</v>
      </c>
      <c r="P646">
        <f>HYPERLINK("https://g1.globo.com/mt/mato-grosso/noticia/2021/04/20/video-de-racismo-e-xenofobia-contra-haitianos-em-onibus-em-cuiaba-e-apurado-pela-policia.ghtml", "URL")</f>
        <v/>
      </c>
      <c r="Q646">
        <f>HYPERLINK("https://raw.githubusercontent.com/marcosmapl/dataset_imigrantes/main/materias_filtered/g1/haitianos/2021/03_abr/html/g1_6fa00194-22f3-11ed-b24f-6dbe51e79fca_1841.html", "HTML")</f>
        <v/>
      </c>
      <c r="R646">
        <f>HYPERLINK("https://raw.githubusercontent.com/marcosmapl/dataset_imigrantes/main/materias_filtered/g1/haitianos/2021/03_abr/txt/g1_6fa00194-22f3-11ed-b24f-6dbe51e79fca_1841.txt", "TXT")</f>
        <v/>
      </c>
    </row>
    <row r="647">
      <c r="A647" s="1" t="n">
        <v>645</v>
      </c>
      <c r="B647" t="n">
        <v>2021</v>
      </c>
      <c r="C647" s="2" t="n">
        <v>44306.5596875</v>
      </c>
      <c r="D647" t="inlineStr">
        <is>
          <t>A CRITICA</t>
        </is>
      </c>
      <c r="E647" t="inlineStr">
        <is>
          <t>VENEZUELANOS</t>
        </is>
      </c>
      <c r="F647" t="inlineStr"/>
      <c r="G647" t="inlineStr">
        <is>
          <t>AGÊNCIA BRASIL</t>
        </is>
      </c>
      <c r="H647" t="inlineStr">
        <is>
          <t>OPERAÇÃO ACOLHIDA CONTABILIZA 50 MIL REFUGIADOS VENEZUELANOS</t>
        </is>
      </c>
      <c r="I647" t="inlineStr">
        <is>
          <t>A AÇÃO É REALIZADA EM 675 MUNICÍPIOS BRASILEIROS</t>
        </is>
      </c>
      <c r="J647" t="inlineStr"/>
      <c r="K647" t="n">
        <v>0</v>
      </c>
      <c r="L647" t="n">
        <v>1</v>
      </c>
      <c r="M647" t="n">
        <v>0</v>
      </c>
      <c r="N647" t="n">
        <v>0</v>
      </c>
      <c r="O647" t="n">
        <v>0</v>
      </c>
      <c r="P647">
        <f>HYPERLINK("https://www.acritica.com/operac-o-acolhida-contabiliza-50-mil-refugiados-venezuelanos-1.19295", "URL")</f>
        <v/>
      </c>
      <c r="Q647">
        <f>HYPERLINK("https://raw.githubusercontent.com/marcosmapl/dataset_imigrantes/main/materias_filtered/a_critica/venezuelanos/2021/03_abr/html/1.19295_914.html", "HTML")</f>
        <v/>
      </c>
      <c r="R647">
        <f>HYPERLINK("https://raw.githubusercontent.com/marcosmapl/dataset_imigrantes/main/materias_filtered/a_critica/venezuelanos/2021/03_abr/txt/1.19295_914.txt", "TXT")</f>
        <v/>
      </c>
    </row>
    <row r="648">
      <c r="A648" s="1" t="n">
        <v>646</v>
      </c>
      <c r="B648" t="n">
        <v>2021</v>
      </c>
      <c r="C648" s="2" t="n">
        <v>44305.7546412037</v>
      </c>
      <c r="D648" t="inlineStr">
        <is>
          <t>A CRITICA</t>
        </is>
      </c>
      <c r="E648" t="inlineStr">
        <is>
          <t>VENEZUELANOS</t>
        </is>
      </c>
      <c r="F648" t="inlineStr">
        <is>
          <t>OPINIAO</t>
        </is>
      </c>
      <c r="G648" t="inlineStr">
        <is>
          <t>DULCE RODRIGUEZ</t>
        </is>
      </c>
      <c r="H648" t="inlineStr">
        <is>
          <t>GOVERNO DE MADURO APLICA VACINA CONTRA A COVID-19 COM FILTRO POLÍTICO</t>
        </is>
      </c>
      <c r="I648" t="inlineStr">
        <is>
          <t>NO PLANO DE VACINAÇÃO DO REGÍME CHAVISTA, AS PRIORIDADE SÃO DEPUTADOS, FUNCIONÁRIOS DO GOVERNO, POLÍTICOS E APOIADORES. #VACINASEMDISCRIMINAÇÃO</t>
        </is>
      </c>
      <c r="J648" t="inlineStr">
        <is>
          <t>VIDA-DE-IMIGRANTE</t>
        </is>
      </c>
      <c r="K648" t="n">
        <v>1</v>
      </c>
      <c r="L648" t="n">
        <v>1</v>
      </c>
      <c r="M648" t="n">
        <v>0</v>
      </c>
      <c r="N648" t="n">
        <v>0</v>
      </c>
      <c r="O648" t="n">
        <v>1</v>
      </c>
      <c r="P648">
        <f>HYPERLINK("https://www.acritica.com/opiniao/governo-de-maduro-aplica-vacina-contra-a-covid-19-com-filtro-politico-1.215621", "URL")</f>
        <v/>
      </c>
      <c r="Q648">
        <f>HYPERLINK("https://raw.githubusercontent.com/marcosmapl/dataset_imigrantes/main/materias_filtered/a_critica/venezuelanos/2021/03_abr/html/1.215621_920.html", "HTML")</f>
        <v/>
      </c>
      <c r="R648">
        <f>HYPERLINK("https://raw.githubusercontent.com/marcosmapl/dataset_imigrantes/main/materias_filtered/a_critica/venezuelanos/2021/03_abr/txt/1.215621_920.txt", "TXT")</f>
        <v/>
      </c>
    </row>
    <row r="649">
      <c r="A649" s="1" t="n">
        <v>647</v>
      </c>
      <c r="B649" t="n">
        <v>2021</v>
      </c>
      <c r="C649" s="2" t="n">
        <v>44302.88952765046</v>
      </c>
      <c r="D649" t="inlineStr">
        <is>
          <t>G1</t>
        </is>
      </c>
      <c r="E649" t="inlineStr">
        <is>
          <t>VENEZUELANOS</t>
        </is>
      </c>
      <c r="F649" t="inlineStr">
        <is>
          <t>AMAPÁ</t>
        </is>
      </c>
      <c r="G649" t="inlineStr">
        <is>
          <t>G1 AP — MACAPÁ</t>
        </is>
      </c>
      <c r="H649" t="inlineStr">
        <is>
          <t>TRIPULANTES VENEZUELANOS DE BARCO APREENDIDO NA COSTA DO AP TESTAM NEGATIVO PARA COVID-19</t>
        </is>
      </c>
      <c r="I649" t="inlineStr">
        <is>
          <t>EMBARCAÇÃO ATRACOU NO MUNICÍPIO DE SANTANA NESTA SEXTA-FEIRA (16). GRUPO FOI ENCONTRADO PELA MARINHA DO BRASIL COM 600 KG DE PESCADO CAPTURADO ILEGALMENTE.</t>
        </is>
      </c>
      <c r="J649" t="inlineStr"/>
      <c r="K649" t="n">
        <v>0</v>
      </c>
      <c r="L649" t="n">
        <v>3</v>
      </c>
      <c r="M649" t="n">
        <v>0</v>
      </c>
      <c r="N649" t="n">
        <v>0</v>
      </c>
      <c r="O649" t="n">
        <v>7</v>
      </c>
      <c r="P649">
        <f>HYPERLINK("https://g1.globo.com/ap/amapa/noticia/2021/04/16/tripulantes-venezuelanos-de-barco-apreendido-na-costa-do-ap-testam-negativo-para-covid-19.ghtml", "URL")</f>
        <v/>
      </c>
      <c r="Q649">
        <f>HYPERLINK("https://raw.githubusercontent.com/marcosmapl/dataset_imigrantes/main/materias_filtered/g1/venezuelanos/2021/03_abr/html/g1_a0303cc4-232b-11ed-b24f-6dbe51e79fca_4259.html", "HTML")</f>
        <v/>
      </c>
      <c r="R649">
        <f>HYPERLINK("https://raw.githubusercontent.com/marcosmapl/dataset_imigrantes/main/materias_filtered/g1/venezuelanos/2021/03_abr/txt/g1_a0303cc4-232b-11ed-b24f-6dbe51e79fca_4259.txt", "TXT")</f>
        <v/>
      </c>
    </row>
    <row r="650">
      <c r="A650" s="1" t="n">
        <v>648</v>
      </c>
      <c r="B650" t="n">
        <v>2021</v>
      </c>
      <c r="C650" s="2" t="n">
        <v>44302.47573045139</v>
      </c>
      <c r="D650" t="inlineStr">
        <is>
          <t>G1</t>
        </is>
      </c>
      <c r="E650" t="inlineStr">
        <is>
          <t>VENEZUELANOS</t>
        </is>
      </c>
      <c r="F650" t="inlineStr">
        <is>
          <t>POP &amp; ARTE</t>
        </is>
      </c>
      <c r="G650" t="inlineStr">
        <is>
          <t>FRANCE PRESSE</t>
        </is>
      </c>
      <c r="H650" t="inlineStr">
        <is>
          <t>VENEZUELANO GUSTAVO DUDAMEL É O NOVO DIRETOR MUSICAL DA ÓPERA DE PARIS</t>
        </is>
      </c>
      <c r="I650" t="inlineStr">
        <is>
          <t>ACLAMADO MAESTRO OCUPARÁ O CARGO A PARTIR DE AGOSTO E PERMANECERÁ À FRENTE DA ORQUESTRA FILARMÔNICA DE LOS ANGELES. DUDAMEL TAMBÉM SEGUIRÁ COLABORANDO COM A ORQUESTRA SIMÓN BOLÍVAR DA VENEZUELA.</t>
        </is>
      </c>
      <c r="J650" t="inlineStr"/>
      <c r="K650" t="n">
        <v>0</v>
      </c>
      <c r="L650" t="n">
        <v>1</v>
      </c>
      <c r="M650" t="n">
        <v>0</v>
      </c>
      <c r="N650" t="n">
        <v>0</v>
      </c>
      <c r="O650" t="n">
        <v>0</v>
      </c>
      <c r="P650">
        <f>HYPERLINK("https://g1.globo.com/pop-arte/noticia/2021/04/16/venezuelano-gustavo-dudamel-e-o-novo-diretor-musical-da-opera-de-paris.ghtml", "URL")</f>
        <v/>
      </c>
      <c r="Q650">
        <f>HYPERLINK("https://raw.githubusercontent.com/marcosmapl/dataset_imigrantes/main/materias_filtered/g1/venezuelanos/2021/03_abr/html/g1_cd8c00b8-231c-11ed-b24f-6dbe51e79fca_3465.html", "HTML")</f>
        <v/>
      </c>
      <c r="R650">
        <f>HYPERLINK("https://raw.githubusercontent.com/marcosmapl/dataset_imigrantes/main/materias_filtered/g1/venezuelanos/2021/03_abr/txt/g1_cd8c00b8-231c-11ed-b24f-6dbe51e79fca_3465.txt", "TXT")</f>
        <v/>
      </c>
    </row>
    <row r="651">
      <c r="A651" s="1" t="n">
        <v>649</v>
      </c>
      <c r="B651" t="n">
        <v>2021</v>
      </c>
      <c r="C651" s="2" t="n">
        <v>44301.89868520833</v>
      </c>
      <c r="D651" t="inlineStr">
        <is>
          <t>G1</t>
        </is>
      </c>
      <c r="E651" t="inlineStr">
        <is>
          <t>VENEZUELANOS</t>
        </is>
      </c>
      <c r="F651" t="inlineStr">
        <is>
          <t>AMAPÁ</t>
        </is>
      </c>
      <c r="G651" t="inlineStr">
        <is>
          <t>JOHN PACHECO, G1 AP — MACAPÁ</t>
        </is>
      </c>
      <c r="H651" t="inlineStr">
        <is>
          <t>MARINHA APREENDE 2º BARCO ILEGAL COM VENEZUELANOS NA COSTA DO AMAPÁ EM MENOS DE 1 MÊS</t>
        </is>
      </c>
      <c r="I651" t="inlineStr">
        <is>
          <t>GRUPO COM 14 PESCADORES FOI ENCONTRADO COM 600 KG DE PESCADO CAPTURADO ILEGALMENTE. EMBARCAÇÃO DEVE ANCORAR NA CAPITANIA DOS PORTOS NA MANHÃ DE SEXTA-FEIRA.</t>
        </is>
      </c>
      <c r="J651" t="inlineStr"/>
      <c r="K651" t="n">
        <v>0</v>
      </c>
      <c r="L651" t="n">
        <v>2</v>
      </c>
      <c r="M651" t="n">
        <v>0</v>
      </c>
      <c r="N651" t="n">
        <v>0</v>
      </c>
      <c r="O651" t="n">
        <v>9</v>
      </c>
      <c r="P651">
        <f>HYPERLINK("https://g1.globo.com/ap/amapa/noticia/2021/04/15/marinha-apreende-2o-barco-com-venezuelanos-na-costa-do-amapa-em-menos-de-1-mes.ghtml", "URL")</f>
        <v/>
      </c>
      <c r="Q651">
        <f>HYPERLINK("https://raw.githubusercontent.com/marcosmapl/dataset_imigrantes/main/materias_filtered/g1/venezuelanos/2021/03_abr/html/g1_6df851e8-231b-11ed-b24f-6dbe51e79fca_3386.html", "HTML")</f>
        <v/>
      </c>
      <c r="R651">
        <f>HYPERLINK("https://raw.githubusercontent.com/marcosmapl/dataset_imigrantes/main/materias_filtered/g1/venezuelanos/2021/03_abr/txt/g1_6df851e8-231b-11ed-b24f-6dbe51e79fca_3386.txt", "TXT")</f>
        <v/>
      </c>
    </row>
    <row r="652">
      <c r="A652" s="1" t="n">
        <v>650</v>
      </c>
      <c r="B652" t="n">
        <v>2021</v>
      </c>
      <c r="C652" s="2" t="n">
        <v>44301.58807925926</v>
      </c>
      <c r="D652" t="inlineStr">
        <is>
          <t>G1</t>
        </is>
      </c>
      <c r="E652" t="inlineStr">
        <is>
          <t>VENEZUELANOS</t>
        </is>
      </c>
      <c r="F652" t="inlineStr">
        <is>
          <t>TOCANTINS</t>
        </is>
      </c>
      <c r="G652" t="inlineStr">
        <is>
          <t>TV ANHANGUERA</t>
        </is>
      </c>
      <c r="H652" t="inlineStr">
        <is>
          <t>JUSTIÇA FEDERAL DETERMINA QUE PODER PÚBLICO DÊ ASSISTÊNCIA PARA REFUGIADOS VENEZUELANOS EM PALMAS</t>
        </is>
      </c>
      <c r="I652" t="inlineStr">
        <is>
          <t>ATUALMENTE SÃO SEIS FAMÍLIAS DE INDÍGENAS VIVENDO EM UMA CASA CEDIDA POR IGREJA EM PALMAS. DECISÃO DETERMINA OBRIGAÇÕES PARA UNIÃO, ESTADO E MUNICÍPIO.</t>
        </is>
      </c>
      <c r="J652" t="inlineStr"/>
      <c r="K652" t="n">
        <v>0</v>
      </c>
      <c r="L652" t="n">
        <v>2</v>
      </c>
      <c r="M652" t="n">
        <v>1</v>
      </c>
      <c r="N652" t="n">
        <v>0</v>
      </c>
      <c r="O652" t="n">
        <v>4</v>
      </c>
      <c r="P652">
        <f>HYPERLINK("https://g1.globo.com/to/tocantins/noticia/2021/04/15/justica-federal-determina-que-poder-publico-de-assistencia-para-refugiados-venezuelanos-em-palmas.ghtml", "URL")</f>
        <v/>
      </c>
      <c r="Q652">
        <f>HYPERLINK("https://raw.githubusercontent.com/marcosmapl/dataset_imigrantes/main/materias_filtered/g1/venezuelanos/2021/03_abr/html/g1_84e44998-2316-11ed-b24f-6dbe51e79fca_3152.html", "HTML")</f>
        <v/>
      </c>
      <c r="R652">
        <f>HYPERLINK("https://raw.githubusercontent.com/marcosmapl/dataset_imigrantes/main/materias_filtered/g1/venezuelanos/2021/03_abr/txt/g1_84e44998-2316-11ed-b24f-6dbe51e79fca_3152.txt", "TXT")</f>
        <v/>
      </c>
    </row>
    <row r="653">
      <c r="A653" s="1" t="n">
        <v>651</v>
      </c>
      <c r="B653" t="n">
        <v>2021</v>
      </c>
      <c r="C653" s="2" t="n">
        <v>44301.53324814815</v>
      </c>
      <c r="D653" t="inlineStr">
        <is>
          <t>G1</t>
        </is>
      </c>
      <c r="E653" t="inlineStr">
        <is>
          <t>VENEZUELANOS</t>
        </is>
      </c>
      <c r="F653" t="inlineStr">
        <is>
          <t>AMAPÁ</t>
        </is>
      </c>
      <c r="G653" t="inlineStr">
        <is>
          <t>NÚBIA PACHECO, G1 AP — MACAPÁ</t>
        </is>
      </c>
      <c r="H653" t="inlineStr">
        <is>
          <t>VENEZUELANOS DETIDOS HÁ 25 DIAS POR PESCA ILEGAL NO AMAPÁ SÃO TESTADOS CONTRA COVID-19</t>
        </is>
      </c>
      <c r="I653" t="inlineStr">
        <is>
          <t>TRIPULANTES ENCONTRADOS EM EMBARCAÇÃO NA COSTA DO ESTADO AGUARDAM PROCEDIMENTO DE EXTRADIÇÃO, QUE É DISCUTIDO ENTRE OS GOVERNOS DOS DOIS PAÍSES.</t>
        </is>
      </c>
      <c r="J653" t="inlineStr"/>
      <c r="K653" t="n">
        <v>0</v>
      </c>
      <c r="L653" t="n">
        <v>3</v>
      </c>
      <c r="M653" t="n">
        <v>0</v>
      </c>
      <c r="N653" t="n">
        <v>0</v>
      </c>
      <c r="O653" t="n">
        <v>10</v>
      </c>
      <c r="P653">
        <f>HYPERLINK("https://g1.globo.com/ap/amapa/noticia/2021/04/15/venezuelanos-detidos-ha-25-dias-por-pesca-ilegal-no-amapa-sao-testados-contra-covid-19.ghtml", "URL")</f>
        <v/>
      </c>
      <c r="Q653">
        <f>HYPERLINK("https://raw.githubusercontent.com/marcosmapl/dataset_imigrantes/main/materias_filtered/g1/venezuelanos/2021/03_abr/html/g1_b8e2b7d0-231a-11ed-b24f-6dbe51e79fca_3349.html", "HTML")</f>
        <v/>
      </c>
      <c r="R653">
        <f>HYPERLINK("https://raw.githubusercontent.com/marcosmapl/dataset_imigrantes/main/materias_filtered/g1/venezuelanos/2021/03_abr/txt/g1_b8e2b7d0-231a-11ed-b24f-6dbe51e79fca_3349.txt", "TXT")</f>
        <v/>
      </c>
    </row>
    <row r="654">
      <c r="A654" s="1" t="n">
        <v>652</v>
      </c>
      <c r="B654" t="n">
        <v>2021</v>
      </c>
      <c r="C654" s="2" t="n">
        <v>44300.898214375</v>
      </c>
      <c r="D654" t="inlineStr">
        <is>
          <t>G1</t>
        </is>
      </c>
      <c r="E654" t="inlineStr">
        <is>
          <t>VENEZUELANOS</t>
        </is>
      </c>
      <c r="F654" t="inlineStr">
        <is>
          <t>AMAZONAS</t>
        </is>
      </c>
      <c r="G654" t="inlineStr">
        <is>
          <t>G1 AM</t>
        </is>
      </c>
      <c r="H654" t="inlineStr">
        <is>
          <t>POLÍCIA FEDERAL PRENDE MULHER COM 1,2 KG DE MACONHA NO AEROPORTO DE MANAUS</t>
        </is>
      </c>
      <c r="I654" t="inlineStr">
        <is>
          <t>MULHER VENEZUELANA TENTAVA EMBARCAR PARA BELÉM (PA) COM DOCUMENTO FALSO.</t>
        </is>
      </c>
      <c r="J654" t="inlineStr"/>
      <c r="K654" t="n">
        <v>0</v>
      </c>
      <c r="L654" t="n">
        <v>4</v>
      </c>
      <c r="M654" t="n">
        <v>0</v>
      </c>
      <c r="N654" t="n">
        <v>0</v>
      </c>
      <c r="O654" t="n">
        <v>1</v>
      </c>
      <c r="P654">
        <f>HYPERLINK("https://g1.globo.com/am/amazonas/noticia/2021/04/14/policia-federal-prende-mulher-com-12-kg-de-maconha-no-aeroporto-de-manaus.ghtml", "URL")</f>
        <v/>
      </c>
      <c r="Q654">
        <f>HYPERLINK("https://raw.githubusercontent.com/marcosmapl/dataset_imigrantes/main/materias_filtered/g1/venezuelanos/2021/03_abr/html/g1_069e6870-2307-11ed-b24f-6dbe51e79fca_2292.html", "HTML")</f>
        <v/>
      </c>
      <c r="R654">
        <f>HYPERLINK("https://raw.githubusercontent.com/marcosmapl/dataset_imigrantes/main/materias_filtered/g1/venezuelanos/2021/03_abr/txt/g1_069e6870-2307-11ed-b24f-6dbe51e79fca_2292.txt", "TXT")</f>
        <v/>
      </c>
    </row>
    <row r="655">
      <c r="A655" s="1" t="n">
        <v>653</v>
      </c>
      <c r="B655" t="n">
        <v>2021</v>
      </c>
      <c r="C655" s="2" t="n">
        <v>44298.85058060185</v>
      </c>
      <c r="D655" t="inlineStr">
        <is>
          <t>G1</t>
        </is>
      </c>
      <c r="E655" t="inlineStr">
        <is>
          <t>HAITIANOS</t>
        </is>
      </c>
      <c r="F655" t="inlineStr">
        <is>
          <t>AMAZONAS</t>
        </is>
      </c>
      <c r="G655" t="inlineStr">
        <is>
          <t>ELIANA NASCIMENTO, G1 AM</t>
        </is>
      </c>
      <c r="H655" t="inlineStr">
        <is>
          <t>HAITIANA GRÁVIDA MORRE DURANTE VOO E CASO É INVESTIGADO NO AM</t>
        </is>
      </c>
      <c r="I655" t="inlineStr">
        <is>
          <t>CORPO DA VÍTIMA AINDA ESTÁ NO INSTITUTO MÉDICO LEGAL, DEZ DIAS APÓS ÓBITO.</t>
        </is>
      </c>
      <c r="J655" t="inlineStr"/>
      <c r="K655" t="n">
        <v>0</v>
      </c>
      <c r="L655" t="n">
        <v>4</v>
      </c>
      <c r="M655" t="n">
        <v>0</v>
      </c>
      <c r="N655" t="n">
        <v>0</v>
      </c>
      <c r="O655" t="n">
        <v>1</v>
      </c>
      <c r="P655">
        <f>HYPERLINK("https://g1.globo.com/am/amazonas/noticia/2021/04/12/haitiana-gravida-morre-durante-voo-e-caso-e-investigado-no-am.ghtml", "URL")</f>
        <v/>
      </c>
      <c r="Q655">
        <f>HYPERLINK("https://raw.githubusercontent.com/marcosmapl/dataset_imigrantes/main/materias_filtered/g1/haitianos/2021/03_abr/html/g1_c1fc6f3a-2317-11ed-b24f-6dbe51e79fca_3227.html", "HTML")</f>
        <v/>
      </c>
      <c r="R655">
        <f>HYPERLINK("https://raw.githubusercontent.com/marcosmapl/dataset_imigrantes/main/materias_filtered/g1/haitianos/2021/03_abr/txt/g1_c1fc6f3a-2317-11ed-b24f-6dbe51e79fca_3227.txt", "TXT")</f>
        <v/>
      </c>
    </row>
    <row r="656">
      <c r="A656" s="1" t="n">
        <v>654</v>
      </c>
      <c r="B656" t="n">
        <v>2021</v>
      </c>
      <c r="C656" s="2" t="n">
        <v>44298.74552892361</v>
      </c>
      <c r="D656" t="inlineStr">
        <is>
          <t>G1</t>
        </is>
      </c>
      <c r="E656" t="inlineStr">
        <is>
          <t>VENEZUELANOS</t>
        </is>
      </c>
      <c r="F656" t="inlineStr">
        <is>
          <t>BAHIA</t>
        </is>
      </c>
      <c r="G656" t="inlineStr">
        <is>
          <t>TV SANTA CRUZ</t>
        </is>
      </c>
      <c r="H656" t="inlineStr">
        <is>
          <t>GRUPO DE VENEZUELANOS CHEGA AO SUL DA BAHIA APÓS QUATRO MESES EM BUSCA DE REFÚGIO</t>
        </is>
      </c>
      <c r="I656" t="inlineStr">
        <is>
          <t>ENTRE AS FAMÍLIAS QUE CHEGARAM À CIDADE, ESTÃO 23 CRIANÇAS. TODOS FORAM TESTADOS PARA A COVID-19 E ATENDIDOS NO CENTRO POP DE ITABUNA, ONDE PUDERAM TOMAR BANHO E FAZER AS REFEIÇÕES. PREFEITURA DISSE QUE ACIONOU ÓRGÃOS COMPETENTES PARA DIRECIONAR OS VENEZUELANOS.</t>
        </is>
      </c>
      <c r="J656" t="inlineStr"/>
      <c r="K656" t="n">
        <v>0</v>
      </c>
      <c r="L656" t="n">
        <v>2</v>
      </c>
      <c r="M656" t="n">
        <v>1</v>
      </c>
      <c r="N656" t="n">
        <v>0</v>
      </c>
      <c r="O656" t="n">
        <v>2</v>
      </c>
      <c r="P656">
        <f>HYPERLINK("https://g1.globo.com/ba/bahia/noticia/2021/04/12/grupo-de-venezuelanos-chega-ao-sul-da-bahia-apos-quatro-meses-em-busca-de-refugio.ghtml", "URL")</f>
        <v/>
      </c>
      <c r="Q656">
        <f>HYPERLINK("https://raw.githubusercontent.com/marcosmapl/dataset_imigrantes/main/materias_filtered/g1/venezuelanos/2021/03_abr/html/g1_8f45f440-2316-11ed-b24f-6dbe51e79fca_3155.html", "HTML")</f>
        <v/>
      </c>
      <c r="R656">
        <f>HYPERLINK("https://raw.githubusercontent.com/marcosmapl/dataset_imigrantes/main/materias_filtered/g1/venezuelanos/2021/03_abr/txt/g1_8f45f440-2316-11ed-b24f-6dbe51e79fca_3155.txt", "TXT")</f>
        <v/>
      </c>
    </row>
    <row r="657">
      <c r="A657" s="1" t="n">
        <v>655</v>
      </c>
      <c r="B657" t="n">
        <v>2021</v>
      </c>
      <c r="C657" s="2" t="n">
        <v>44298.72083333333</v>
      </c>
      <c r="D657" t="inlineStr">
        <is>
          <t>PORTAL AMAZONIA</t>
        </is>
      </c>
      <c r="E657" t="inlineStr">
        <is>
          <t>VENEZUELANOS</t>
        </is>
      </c>
      <c r="F657" t="inlineStr">
        <is>
          <t>AMAZÔNIA DE A À Z,I</t>
        </is>
      </c>
      <c r="G657" t="inlineStr">
        <is>
          <t>PORTAL AMAZÔNIA, COM INFORMAÇÃO DO THE ROOTS VR</t>
        </is>
      </c>
      <c r="H657" t="inlineStr">
        <is>
          <t>INSTRUMENTOS MUSICAIS DA AMAZÔNIA</t>
        </is>
      </c>
      <c r="I657" t="inlineStr">
        <is>
          <t>TODA A MUSICALIDADE DA REGIÃO PODE SER CONFERIDA ATRAVÉS DESTES INSTRUMENTOS</t>
        </is>
      </c>
      <c r="J657" t="inlineStr">
        <is>
          <t>AMAZÔNIA DE A À Z, CARICO, CHARANGO, CHUÁ-CHUÁ, CUATRO VENEZUELANO, GAMBÁ DE MAUÉS, INSTRUMENTO DA AMAZÔNIA, MAWAKO FEMEA, NHAMBÉ-INAJÁ, TAMBOR DE CUIA</t>
        </is>
      </c>
      <c r="K657" t="n">
        <v>10</v>
      </c>
      <c r="L657" t="n">
        <v>1</v>
      </c>
      <c r="M657" t="n">
        <v>0</v>
      </c>
      <c r="N657" t="n">
        <v>0</v>
      </c>
      <c r="O657" t="n">
        <v>16</v>
      </c>
      <c r="P657">
        <f>HYPERLINK("https://portalamazonia.com/amazonia-az/instrumentos-musicais-da-amazonia", "URL")</f>
        <v/>
      </c>
      <c r="Q657">
        <f>HYPERLINK("https://raw.githubusercontent.com/marcosmapl/dataset_imigrantes/main/materias_filtered/portal_amazonia/venezuelanos/2021/03_abr/html/32245.77478_1410.html", "HTML")</f>
        <v/>
      </c>
      <c r="R657">
        <f>HYPERLINK("https://raw.githubusercontent.com/marcosmapl/dataset_imigrantes/main/materias_filtered/portal_amazonia/venezuelanos/2021/03_abr/txt/32245.77478_1410.txt", "TXT")</f>
        <v/>
      </c>
    </row>
    <row r="658">
      <c r="A658" s="1" t="n">
        <v>656</v>
      </c>
      <c r="B658" t="n">
        <v>2021</v>
      </c>
      <c r="C658" s="2" t="n">
        <v>44298.67453599537</v>
      </c>
      <c r="D658" t="inlineStr">
        <is>
          <t>G1</t>
        </is>
      </c>
      <c r="E658" t="inlineStr">
        <is>
          <t>AMBOS</t>
        </is>
      </c>
      <c r="F658" t="inlineStr">
        <is>
          <t>ACRE</t>
        </is>
      </c>
      <c r="G658" t="inlineStr">
        <is>
          <t>IRYÁ RODRIGUES, G1 AC — RIO BRANCO</t>
        </is>
      </c>
      <c r="H658" t="inlineStr">
        <is>
          <t>CERCA DE 50 IMIGRANTES VOLTAM A OCUPAR PONTE QUE LIGA ACRE AO PERU EM NOVO PROTESTO PARA TENTAR DEIXAR O BRASIL</t>
        </is>
      </c>
      <c r="I658" t="inlineStr">
        <is>
          <t>GRUPO SE CONCENTROU NA PONTE DA INTEGRAÇÃO NESTA SEGUNDA-FEIRA (12). SECRETARIA DIZ QUE MAIORIA DOS IMIGRANTES É DE NACIONALIDADE CUBANA, ALÉM DE AFRICANOS, VENEZUELANOS E HAITIANOS. NO INÍCIO DE MARÇO, APÓS DETERMINAÇÃO DA JUSTIÇA, GRUPO TEVE QUE CESSAR BLOQUEIO DA PONTE.</t>
        </is>
      </c>
      <c r="J658" t="inlineStr"/>
      <c r="K658" t="n">
        <v>0</v>
      </c>
      <c r="L658" t="n">
        <v>2</v>
      </c>
      <c r="M658" t="n">
        <v>0</v>
      </c>
      <c r="N658" t="n">
        <v>0</v>
      </c>
      <c r="O658" t="n">
        <v>9</v>
      </c>
      <c r="P658">
        <f>HYPERLINK("https://g1.globo.com/ac/acre/noticia/2021/04/12/cerca-de-50-imigrantes-voltam-a-ocupar-ponte-que-liga-acre-ao-peru-em-novo-protesto-para-tentar-deixar-o-brasil.ghtml", "URL")</f>
        <v/>
      </c>
      <c r="Q658">
        <f>HYPERLINK("https://raw.githubusercontent.com/marcosmapl/dataset_imigrantes/main/materias_filtered/g1/ambos/2021/03_abr/html/g1_76c17290-22f4-11ed-b24f-6dbe51e79fca_1891.html", "HTML")</f>
        <v/>
      </c>
      <c r="R658">
        <f>HYPERLINK("https://raw.githubusercontent.com/marcosmapl/dataset_imigrantes/main/materias_filtered/g1/ambos/2021/03_abr/txt/g1_76c17290-22f4-11ed-b24f-6dbe51e79fca_1891.txt", "TXT")</f>
        <v/>
      </c>
    </row>
    <row r="659">
      <c r="A659" s="1" t="n">
        <v>657</v>
      </c>
      <c r="B659" t="n">
        <v>2021</v>
      </c>
      <c r="C659" s="2" t="n">
        <v>44297.92736953704</v>
      </c>
      <c r="D659" t="inlineStr">
        <is>
          <t>G1</t>
        </is>
      </c>
      <c r="E659" t="inlineStr">
        <is>
          <t>VENEZUELANOS</t>
        </is>
      </c>
      <c r="F659" t="inlineStr">
        <is>
          <t>RORAIMA</t>
        </is>
      </c>
      <c r="G659" t="inlineStr">
        <is>
          <t>G1 RR — BOA VISTA</t>
        </is>
      </c>
      <c r="H659" t="inlineStr">
        <is>
          <t>VENEZUELANO VOLUNTÁRIO DA OPERAÇÃO ACOLHIDA É ESFAQUEADO EM BOA VISTA</t>
        </is>
      </c>
      <c r="I659" t="inlineStr">
        <is>
          <t>VÍTIMA FOI LEVADA O HOSPITAL GERAL DE RORAIMA, ONDE ESTÁ ESTÁVEL.</t>
        </is>
      </c>
      <c r="J659" t="inlineStr"/>
      <c r="K659" t="n">
        <v>0</v>
      </c>
      <c r="L659" t="n">
        <v>1</v>
      </c>
      <c r="M659" t="n">
        <v>0</v>
      </c>
      <c r="N659" t="n">
        <v>0</v>
      </c>
      <c r="O659" t="n">
        <v>0</v>
      </c>
      <c r="P659">
        <f>HYPERLINK("https://g1.globo.com/rr/roraima/noticia/2021/04/11/venezuelano-voluntario-da-operacao-acolhida-e-esfaqueado-em-boa-vista.ghtml", "URL")</f>
        <v/>
      </c>
      <c r="Q659">
        <f>HYPERLINK("https://raw.githubusercontent.com/marcosmapl/dataset_imigrantes/main/materias_filtered/g1/venezuelanos/2021/03_abr/html/g1_f6e4f4f2-231b-11ed-b24f-6dbe51e79fca_3419.html", "HTML")</f>
        <v/>
      </c>
      <c r="R659">
        <f>HYPERLINK("https://raw.githubusercontent.com/marcosmapl/dataset_imigrantes/main/materias_filtered/g1/venezuelanos/2021/03_abr/txt/g1_f6e4f4f2-231b-11ed-b24f-6dbe51e79fca_3419.txt", "TXT")</f>
        <v/>
      </c>
    </row>
    <row r="660">
      <c r="A660" s="1" t="n">
        <v>658</v>
      </c>
      <c r="B660" t="n">
        <v>2021</v>
      </c>
      <c r="C660" s="2" t="n">
        <v>44295.89985759259</v>
      </c>
      <c r="D660" t="inlineStr">
        <is>
          <t>G1</t>
        </is>
      </c>
      <c r="E660" t="inlineStr">
        <is>
          <t>VENEZUELANOS</t>
        </is>
      </c>
      <c r="F660" t="inlineStr">
        <is>
          <t>CEARÁ</t>
        </is>
      </c>
      <c r="G660" t="inlineStr">
        <is>
          <t>SAMUEL PINUSA, G1 CE</t>
        </is>
      </c>
      <c r="H660" t="inlineStr">
        <is>
          <t>GRUPO DE VENEZUELANOS REFUGIADOS NO CEARÁ SE ABRIGA EM ITAPIPOCA, APÓS PASSAR POR IGUATU</t>
        </is>
      </c>
      <c r="I660" t="inlineStr">
        <is>
          <t>ELES CHEGARAM A ITAPIPOCA NA NOITE DESTA QUINTA-FEIRA (8) E SE ALOJARAM NA RODOVIÁRIA DO MUNICÍPIO. A PREFEITURA ABRIGOU O GRUPO COMPOSTO POR 39 PESSOAS EM UMA ESCOLA.</t>
        </is>
      </c>
      <c r="J660" t="inlineStr"/>
      <c r="K660" t="n">
        <v>0</v>
      </c>
      <c r="L660" t="n">
        <v>2</v>
      </c>
      <c r="M660" t="n">
        <v>1</v>
      </c>
      <c r="N660" t="n">
        <v>0</v>
      </c>
      <c r="O660" t="n">
        <v>2</v>
      </c>
      <c r="P660">
        <f>HYPERLINK("https://g1.globo.com/ce/ceara/noticia/2021/04/09/grupo-de-venezuelanos-refugiados-no-ceara-se-abriga-em-itapipoca-apos-passar-por-iguatu.ghtml", "URL")</f>
        <v/>
      </c>
      <c r="Q660">
        <f>HYPERLINK("https://raw.githubusercontent.com/marcosmapl/dataset_imigrantes/main/materias_filtered/g1/venezuelanos/2021/03_abr/html/g1_d77f7d92-2327-11ed-b24f-6dbe51e79fca_4051.html", "HTML")</f>
        <v/>
      </c>
      <c r="R660">
        <f>HYPERLINK("https://raw.githubusercontent.com/marcosmapl/dataset_imigrantes/main/materias_filtered/g1/venezuelanos/2021/03_abr/txt/g1_d77f7d92-2327-11ed-b24f-6dbe51e79fca_4051.txt", "TXT")</f>
        <v/>
      </c>
    </row>
    <row r="661">
      <c r="A661" s="1" t="n">
        <v>659</v>
      </c>
      <c r="B661" t="n">
        <v>2021</v>
      </c>
      <c r="C661" s="2" t="n">
        <v>44295.59436556713</v>
      </c>
      <c r="D661" t="inlineStr">
        <is>
          <t>G1</t>
        </is>
      </c>
      <c r="E661" t="inlineStr">
        <is>
          <t>HAITIANOS</t>
        </is>
      </c>
      <c r="F661" t="inlineStr">
        <is>
          <t>SANTOS E REGIÃO</t>
        </is>
      </c>
      <c r="G661" t="inlineStr">
        <is>
          <t>RAFAEL PEIXOTO, G1 SANTOS</t>
        </is>
      </c>
      <c r="H661" t="inlineStr">
        <is>
          <t>REFUGIADO HAITIANO É ACHADO MORTO DENTRO DE UM TANQUE DE PRODUTOS QUÍMICOS EM CUBATÃO</t>
        </is>
      </c>
      <c r="I661" t="inlineStr">
        <is>
          <t>YOUVENS ESTINVIL REALIZAVA A LIMPEZA DOS TANQUES DE PRODUTOS QUÍMICOS. CAUSA DA MORTE SERÁ INVESTIGADA PELA POLÍCIA.</t>
        </is>
      </c>
      <c r="J661" t="inlineStr"/>
      <c r="K661" t="n">
        <v>0</v>
      </c>
      <c r="L661" t="n">
        <v>2</v>
      </c>
      <c r="M661" t="n">
        <v>0</v>
      </c>
      <c r="N661" t="n">
        <v>0</v>
      </c>
      <c r="O661" t="n">
        <v>1</v>
      </c>
      <c r="P661">
        <f>HYPERLINK("https://g1.globo.com/sp/santos-regiao/noticia/2021/04/09/refugiado-haitiano-e-achado-morto-dentro-de-um-tanque-de-produtos-quimicos-em-cubatao-sp.ghtml", "URL")</f>
        <v/>
      </c>
      <c r="Q661">
        <f>HYPERLINK("https://raw.githubusercontent.com/marcosmapl/dataset_imigrantes/main/materias_filtered/g1/haitianos/2021/03_abr/html/g1_bc5fe660-22f9-11ed-b24f-6dbe51e79fca_2182.html", "HTML")</f>
        <v/>
      </c>
      <c r="R661">
        <f>HYPERLINK("https://raw.githubusercontent.com/marcosmapl/dataset_imigrantes/main/materias_filtered/g1/haitianos/2021/03_abr/txt/g1_bc5fe660-22f9-11ed-b24f-6dbe51e79fca_2182.txt", "TXT")</f>
        <v/>
      </c>
    </row>
    <row r="662">
      <c r="A662" s="1" t="n">
        <v>660</v>
      </c>
      <c r="B662" t="n">
        <v>2021</v>
      </c>
      <c r="C662" s="2" t="n">
        <v>44295.02746465278</v>
      </c>
      <c r="D662" t="inlineStr">
        <is>
          <t>G1</t>
        </is>
      </c>
      <c r="E662" t="inlineStr">
        <is>
          <t>VENEZUELANOS</t>
        </is>
      </c>
      <c r="F662" t="inlineStr">
        <is>
          <t>PROFISSÃO REPÓRTER</t>
        </is>
      </c>
      <c r="G662" t="inlineStr">
        <is>
          <t>PROFISSÃO REPÓRTER</t>
        </is>
      </c>
      <c r="H662" t="inlineStr">
        <is>
          <t>DORMINDO NA RUA EM RORAIMA, VENEZUELANA SE EMOCIONA: 'NÃO SEI ONDE ESTÁ MINHA FAMÍLIA'</t>
        </is>
      </c>
      <c r="I662" t="inlineStr">
        <is>
          <t>O 'PROFISSÃO REPÓRTER' REGISTROU UM GRUPO DE INDÍGENAS DA VENEZUELA TENTANDO SE PROTEGER DA CHUVA E DO FRIO EM UMA MARQUISE, EM PACARAIMA. SEM DOCUMENTAÇÃO, ELES NÃO CONSEGUIRAM VAGA EM ABRIGO DO EXÉRCITO.</t>
        </is>
      </c>
      <c r="J662" t="inlineStr"/>
      <c r="K662" t="n">
        <v>0</v>
      </c>
      <c r="L662" t="n">
        <v>2</v>
      </c>
      <c r="M662" t="n">
        <v>1</v>
      </c>
      <c r="N662" t="n">
        <v>0</v>
      </c>
      <c r="O662" t="n">
        <v>8</v>
      </c>
      <c r="P662">
        <f>HYPERLINK("https://g1.globo.com/profissao-reporter/noticia/2021/04/08/dormindo-na-rua-em-roraima-venezuelana-se-emociona-nao-sei-onde-esta-minha-familia.ghtml", "URL")</f>
        <v/>
      </c>
      <c r="Q662">
        <f>HYPERLINK("https://raw.githubusercontent.com/marcosmapl/dataset_imigrantes/main/materias_filtered/g1/venezuelanos/2021/03_abr/html/g1_6b064fbe-2328-11ed-b24f-6dbe51e79fca_4077.html", "HTML")</f>
        <v/>
      </c>
      <c r="R662">
        <f>HYPERLINK("https://raw.githubusercontent.com/marcosmapl/dataset_imigrantes/main/materias_filtered/g1/venezuelanos/2021/03_abr/txt/g1_6b064fbe-2328-11ed-b24f-6dbe51e79fca_4077.txt", "TXT")</f>
        <v/>
      </c>
    </row>
    <row r="663">
      <c r="A663" s="1" t="n">
        <v>661</v>
      </c>
      <c r="B663" t="n">
        <v>2021</v>
      </c>
      <c r="C663" s="2" t="n">
        <v>44294.62222222222</v>
      </c>
      <c r="D663" t="inlineStr">
        <is>
          <t>A CRITICA</t>
        </is>
      </c>
      <c r="E663" t="inlineStr">
        <is>
          <t>HAITIANOS</t>
        </is>
      </c>
      <c r="F663" t="inlineStr">
        <is>
          <t>MANAUS</t>
        </is>
      </c>
      <c r="G663" t="inlineStr">
        <is>
          <t>KAROL ROCHA</t>
        </is>
      </c>
      <c r="H663" t="inlineStr">
        <is>
          <t>HAITIANA GRÁVIDA MORRE DURANTE VOO EM MANAUS E FAMÍLIA ACUSA GOL DE OMITIR INFORMAÇÕES</t>
        </is>
      </c>
      <c r="I663" t="inlineStr">
        <is>
          <t>O CORPO DE ELUNISE CLERVIL, 27, ESTÁ NO IML DE MANAUS HÁ SEIS DIAS, APÓS MAL SÚBITO DURANTE VOO QUE TEVE QUE POUSAR EM MANAUS. COMPANHIA AÉREA ALEGA QUE ESTÁ PRESTANDO ASSISTÊNCIA AOS FAMILIARES</t>
        </is>
      </c>
      <c r="J663" t="inlineStr"/>
      <c r="K663" t="n">
        <v>0</v>
      </c>
      <c r="L663" t="n">
        <v>1</v>
      </c>
      <c r="M663" t="n">
        <v>0</v>
      </c>
      <c r="N663" t="n">
        <v>0</v>
      </c>
      <c r="O663" t="n">
        <v>0</v>
      </c>
      <c r="P663">
        <f>HYPERLINK("https://www.acritica.com/manaus/haitiana-gravida-morre-durante-voo-em-manaus-e-familia-acusa-gol-de-omitir-informac-es-1.19783", "URL")</f>
        <v/>
      </c>
      <c r="Q663">
        <f>HYPERLINK("https://raw.githubusercontent.com/marcosmapl/dataset_imigrantes/main/materias_filtered/a_critica/haitianos/2021/03_abr/html/1.19783_1008.html", "HTML")</f>
        <v/>
      </c>
      <c r="R663">
        <f>HYPERLINK("https://raw.githubusercontent.com/marcosmapl/dataset_imigrantes/main/materias_filtered/a_critica/haitianos/2021/03_abr/txt/1.19783_1008.txt", "TXT")</f>
        <v/>
      </c>
    </row>
    <row r="664">
      <c r="A664" s="1" t="n">
        <v>662</v>
      </c>
      <c r="B664" t="n">
        <v>2021</v>
      </c>
      <c r="C664" s="2" t="n">
        <v>44293.90720351852</v>
      </c>
      <c r="D664" t="inlineStr">
        <is>
          <t>G1</t>
        </is>
      </c>
      <c r="E664" t="inlineStr">
        <is>
          <t>VENEZUELANOS</t>
        </is>
      </c>
      <c r="F664" t="inlineStr">
        <is>
          <t>PROFISSÃO REPÓRTER</t>
        </is>
      </c>
      <c r="G664" t="inlineStr">
        <is>
          <t>PROFISSÃO REPÓRTER</t>
        </is>
      </c>
      <c r="H664" t="inlineStr">
        <is>
          <t>VÍDEO: FLAGRANTE MOSTRA GRUPO DE VENEZUELANOS APREENDIDO APÓS ATRAVESSAR FRONTEIRA</t>
        </is>
      </c>
      <c r="I664" t="inlineStr">
        <is>
          <t>MULHERES E CRIANÇAS ERAM MAIORIA NO GRUPO QUE CAMINHAVA HÁ 18 DIAS E QUE FOI DETIDO POR PMS E HOMENS DO EXÉRCITO EM PACARAIMA, RORAIMA. 'NÃO TEMOS NADA', DESABAFOU UM DOS VENEZUELANOS.</t>
        </is>
      </c>
      <c r="J664" t="inlineStr"/>
      <c r="K664" t="n">
        <v>0</v>
      </c>
      <c r="L664" t="n">
        <v>3</v>
      </c>
      <c r="M664" t="n">
        <v>2</v>
      </c>
      <c r="N664" t="n">
        <v>0</v>
      </c>
      <c r="O664" t="n">
        <v>6</v>
      </c>
      <c r="P664">
        <f>HYPERLINK("https://g1.globo.com/profissao-reporter/noticia/2021/04/07/video-flagrante-mostra-grupo-de-venezuelanos-apreendidos-apos-atravessar-fronteira.ghtml", "URL")</f>
        <v/>
      </c>
      <c r="Q664">
        <f>HYPERLINK("https://raw.githubusercontent.com/marcosmapl/dataset_imigrantes/main/materias_filtered/g1/venezuelanos/2021/03_abr/html/g1_8ad31fb4-230c-11ed-b24f-6dbe51e79fca_2631.html", "HTML")</f>
        <v/>
      </c>
      <c r="R664">
        <f>HYPERLINK("https://raw.githubusercontent.com/marcosmapl/dataset_imigrantes/main/materias_filtered/g1/venezuelanos/2021/03_abr/txt/g1_8ad31fb4-230c-11ed-b24f-6dbe51e79fca_2631.txt", "TXT")</f>
        <v/>
      </c>
    </row>
    <row r="665">
      <c r="A665" s="1" t="n">
        <v>663</v>
      </c>
      <c r="B665" t="n">
        <v>2021</v>
      </c>
      <c r="C665" s="2" t="n">
        <v>44293.86670034722</v>
      </c>
      <c r="D665" t="inlineStr">
        <is>
          <t>G1</t>
        </is>
      </c>
      <c r="E665" t="inlineStr">
        <is>
          <t>VENEZUELANOS</t>
        </is>
      </c>
      <c r="F665" t="inlineStr">
        <is>
          <t>RORAIMA</t>
        </is>
      </c>
      <c r="G665" t="inlineStr">
        <is>
          <t>POLYANA GIRARDI, G1 RR — BOA VISTA</t>
        </is>
      </c>
      <c r="H665" t="inlineStr">
        <is>
          <t>GUARDA MUNICIPAL DERRUBA BARRACOS DE FAMÍLIAS VENEZUELANAS NA BEIRA DO RIO BRANCO EM BOA VISTA</t>
        </is>
      </c>
      <c r="I665" t="inlineStr">
        <is>
          <t>DE ACORDO COM O MORADOR DE UM DOS BARRACOS, JOSUÉ ESPINOZA, DE 19 ANOS,  TRÊS FAMÍLIAS COM CERCA DE 21 PESSOAS, ENTRE ELAS CRIANÇAS, MORAM NO LOCAL HÁ DOIS ANOS.</t>
        </is>
      </c>
      <c r="J665" t="inlineStr"/>
      <c r="K665" t="n">
        <v>0</v>
      </c>
      <c r="L665" t="n">
        <v>3</v>
      </c>
      <c r="M665" t="n">
        <v>0</v>
      </c>
      <c r="N665" t="n">
        <v>0</v>
      </c>
      <c r="O665" t="n">
        <v>0</v>
      </c>
      <c r="P665">
        <f>HYPERLINK("https://g1.globo.com/rr/roraima/noticia/2021/04/07/guarda-municipal-derruba-barracos-de-familias-venezuelanas-na-beira-do-rio-branco-em-boa-vista.ghtml", "URL")</f>
        <v/>
      </c>
      <c r="Q665">
        <f>HYPERLINK("https://raw.githubusercontent.com/marcosmapl/dataset_imigrantes/main/materias_filtered/g1/venezuelanos/2021/03_abr/html/g1_10f16d84-2318-11ed-b24f-6dbe51e79fca_3242.html", "HTML")</f>
        <v/>
      </c>
      <c r="R665">
        <f>HYPERLINK("https://raw.githubusercontent.com/marcosmapl/dataset_imigrantes/main/materias_filtered/g1/venezuelanos/2021/03_abr/txt/g1_10f16d84-2318-11ed-b24f-6dbe51e79fca_3242.txt", "TXT")</f>
        <v/>
      </c>
    </row>
    <row r="666">
      <c r="A666" s="1" t="n">
        <v>664</v>
      </c>
      <c r="B666" t="n">
        <v>2021</v>
      </c>
      <c r="C666" s="2" t="n">
        <v>44293.6503809375</v>
      </c>
      <c r="D666" t="inlineStr">
        <is>
          <t>G1</t>
        </is>
      </c>
      <c r="E666" t="inlineStr">
        <is>
          <t>VENEZUELANOS</t>
        </is>
      </c>
      <c r="F666" t="inlineStr">
        <is>
          <t>PROFISSÃO REPÓRTER</t>
        </is>
      </c>
      <c r="G666" t="inlineStr">
        <is>
          <t>PROFISSÃO REPÓRTER</t>
        </is>
      </c>
      <c r="H666" t="inlineStr">
        <is>
          <t>VENEZUELANOS USAM TRILHAS CLANDESTINAS PARA CHEGAR AO BRASIL: 'BUSCANDO FUTURO PARA O MEU FILHO'</t>
        </is>
      </c>
      <c r="I666" t="inlineStr">
        <is>
          <t>A PASSAGEM ENTRE OS DOIS PAÍSES ESTÁ PROIBIDA POR CAUSA DA PANDEMIA DE COVID, MAS O FLUXO MIGRATÓRIO CONTINUA ATRAVÉS DAS CHAMADAS "TROCHAS".</t>
        </is>
      </c>
      <c r="J666" t="inlineStr"/>
      <c r="K666" t="n">
        <v>0</v>
      </c>
      <c r="L666" t="n">
        <v>3</v>
      </c>
      <c r="M666" t="n">
        <v>2</v>
      </c>
      <c r="N666" t="n">
        <v>0</v>
      </c>
      <c r="O666" t="n">
        <v>4</v>
      </c>
      <c r="P666">
        <f>HYPERLINK("https://g1.globo.com/profissao-reporter/noticia/2021/04/07/venezuelanos-usam-trilhas-clandestinas-para-chegar-ao-brasil-buscando-futuro-para-o-meu-filho.ghtml", "URL")</f>
        <v/>
      </c>
      <c r="Q666">
        <f>HYPERLINK("https://raw.githubusercontent.com/marcosmapl/dataset_imigrantes/main/materias_filtered/g1/venezuelanos/2021/03_abr/html/g1_593f62fe-2308-11ed-b24f-6dbe51e79fca_2380.html", "HTML")</f>
        <v/>
      </c>
      <c r="R666">
        <f>HYPERLINK("https://raw.githubusercontent.com/marcosmapl/dataset_imigrantes/main/materias_filtered/g1/venezuelanos/2021/03_abr/txt/g1_593f62fe-2308-11ed-b24f-6dbe51e79fca_2380.txt", "TXT")</f>
        <v/>
      </c>
    </row>
    <row r="667">
      <c r="A667" s="1" t="n">
        <v>665</v>
      </c>
      <c r="B667" t="n">
        <v>2021</v>
      </c>
      <c r="C667" s="2" t="n">
        <v>44293.22775628472</v>
      </c>
      <c r="D667" t="inlineStr">
        <is>
          <t>G1</t>
        </is>
      </c>
      <c r="E667" t="inlineStr">
        <is>
          <t>VENEZUELANOS</t>
        </is>
      </c>
      <c r="F667" t="inlineStr">
        <is>
          <t>PROFISSÃO REPÓRTER</t>
        </is>
      </c>
      <c r="G667" t="inlineStr">
        <is>
          <t>PROFISSÃO REPÓRTER</t>
        </is>
      </c>
      <c r="H667" t="inlineStr">
        <is>
          <t>'PROFISSÃO REPÓRTER' REVELA O DRAMA DOS MIGRANTES VENEZUELANOS EM RORAIMA</t>
        </is>
      </c>
      <c r="I667" t="inlineStr">
        <is>
          <t>PROGRAMA MOSTRA O REENCONTRO EMOCIONANTE DE PAI E FILHOS SEPARADOS PELA FRONTEIRA, OS CAMINHOS CLANDESTINOS ENTRE BRASIL E VENEZUELA, OS INDÍGENAS EM BUSCA DE SOCORRO, OS ABRIGOS DO EXÉRCITO E A POLÊMICA DAS DEPORTAÇÕES EM MASSA.</t>
        </is>
      </c>
      <c r="J667" t="inlineStr"/>
      <c r="K667" t="n">
        <v>0</v>
      </c>
      <c r="L667" t="n">
        <v>3</v>
      </c>
      <c r="M667" t="n">
        <v>1</v>
      </c>
      <c r="N667" t="n">
        <v>0</v>
      </c>
      <c r="O667" t="n">
        <v>6</v>
      </c>
      <c r="P667">
        <f>HYPERLINK("https://g1.globo.com/profissao-reporter/noticia/2021/04/07/profissao-reporter-revela-o-drama-dos-migrantes-venezuelanos-em-roraima.ghtml", "URL")</f>
        <v/>
      </c>
      <c r="Q667">
        <f>HYPERLINK("https://raw.githubusercontent.com/marcosmapl/dataset_imigrantes/main/materias_filtered/g1/venezuelanos/2021/03_abr/html/g1_bd6c9940-2308-11ed-b24f-6dbe51e79fca_2400.html", "HTML")</f>
        <v/>
      </c>
      <c r="R667">
        <f>HYPERLINK("https://raw.githubusercontent.com/marcosmapl/dataset_imigrantes/main/materias_filtered/g1/venezuelanos/2021/03_abr/txt/g1_bd6c9940-2308-11ed-b24f-6dbe51e79fca_2400.txt", "TXT")</f>
        <v/>
      </c>
    </row>
    <row r="668">
      <c r="A668" s="1" t="n">
        <v>666</v>
      </c>
      <c r="B668" t="n">
        <v>2021</v>
      </c>
      <c r="C668" s="2" t="n">
        <v>44293.2053503588</v>
      </c>
      <c r="D668" t="inlineStr">
        <is>
          <t>G1</t>
        </is>
      </c>
      <c r="E668" t="inlineStr">
        <is>
          <t>VENEZUELANOS</t>
        </is>
      </c>
      <c r="F668" t="inlineStr">
        <is>
          <t>PROFISSÃO REPÓRTER</t>
        </is>
      </c>
      <c r="G668" t="inlineStr">
        <is>
          <t>PROFISSÃO REPÓRTER</t>
        </is>
      </c>
      <c r="H668" t="inlineStr">
        <is>
          <t>VENEZUELANO REENCONTRA FILHOS TRÊS ANOS APÓS CRUZAR FRONTEIRA PARA O BRASIL: 'ME PERDOEM'</t>
        </is>
      </c>
      <c r="I668" t="inlineStr">
        <is>
          <t>OS REPÓRTERES AUGUSTA LUNARDI E RENAN FERREIRA ACOMPANHARAM A VIAGEM DE JESUS GALLARDO DE SÃO PAULO, ONDE MORA ATUALMENTE, ATÉ PACARAIMA, EM RORAIMA, ONDE OS FILHOS O AGUARDAVAM APÓS ATRAVESSAR A FRONTEIRA POR TRILHAS CLANDESTINAS.</t>
        </is>
      </c>
      <c r="J668" t="inlineStr"/>
      <c r="K668" t="n">
        <v>0</v>
      </c>
      <c r="L668" t="n">
        <v>4</v>
      </c>
      <c r="M668" t="n">
        <v>2</v>
      </c>
      <c r="N668" t="n">
        <v>0</v>
      </c>
      <c r="O668" t="n">
        <v>5</v>
      </c>
      <c r="P668">
        <f>HYPERLINK("https://g1.globo.com/profissao-reporter/noticia/2021/04/07/venezuelano-reencontra-filhos-tres-anos-apos-cruzar-fronteira-para-o-brasil-me-perdoem.ghtml", "URL")</f>
        <v/>
      </c>
      <c r="Q668">
        <f>HYPERLINK("https://raw.githubusercontent.com/marcosmapl/dataset_imigrantes/main/materias_filtered/g1/venezuelanos/2021/03_abr/html/g1_5155daca-2315-11ed-b24f-6dbe51e79fca_3079.html", "HTML")</f>
        <v/>
      </c>
      <c r="R668">
        <f>HYPERLINK("https://raw.githubusercontent.com/marcosmapl/dataset_imigrantes/main/materias_filtered/g1/venezuelanos/2021/03_abr/txt/g1_5155daca-2315-11ed-b24f-6dbe51e79fca_3079.txt", "TXT")</f>
        <v/>
      </c>
    </row>
    <row r="669">
      <c r="A669" s="1" t="n">
        <v>667</v>
      </c>
      <c r="B669" t="n">
        <v>2021</v>
      </c>
      <c r="C669" s="2" t="n">
        <v>44293.19916782407</v>
      </c>
      <c r="D669" t="inlineStr">
        <is>
          <t>G1</t>
        </is>
      </c>
      <c r="E669" t="inlineStr">
        <is>
          <t>VENEZUELANOS</t>
        </is>
      </c>
      <c r="F669" t="inlineStr">
        <is>
          <t>PROFISSÃO REPÓRTER</t>
        </is>
      </c>
      <c r="G669" t="inlineStr">
        <is>
          <t>PROFISSÃO REPÓRTER</t>
        </is>
      </c>
      <c r="H669" t="inlineStr">
        <is>
          <t>INDÍGENAS VENEZUELANOS VIVEM EM CONDIÇÃO PRECÁRIA EM RUAS E OCUPAÇÕES EM RORAIMA</t>
        </is>
      </c>
      <c r="I669" t="inlineStr">
        <is>
          <t>O 'PROFISSÃO REPÓRTER' VISITOU UMA OCUPAÇÃO EM BOA VISTA E TAMBÉM ABRIGOS MONTADOS PELO EXÉRCITO. 'NÓS ESTAMOS FALANDO DE UMA CRISE HUMANITÁRIA', DIZ O GENERAL RESPONSÁVEL PELA OPERAÇÃO ACOLHIDA.</t>
        </is>
      </c>
      <c r="J669" t="inlineStr"/>
      <c r="K669" t="n">
        <v>0</v>
      </c>
      <c r="L669" t="n">
        <v>2</v>
      </c>
      <c r="M669" t="n">
        <v>1</v>
      </c>
      <c r="N669" t="n">
        <v>0</v>
      </c>
      <c r="O669" t="n">
        <v>5</v>
      </c>
      <c r="P669">
        <f>HYPERLINK("https://g1.globo.com/profissao-reporter/noticia/2021/04/07/indios-venezuelanos-vivem-em-condicao-precaria-em-ruas-e-ocupacoes-em-roraima.ghtml", "URL")</f>
        <v/>
      </c>
      <c r="Q669">
        <f>HYPERLINK("https://raw.githubusercontent.com/marcosmapl/dataset_imigrantes/main/materias_filtered/g1/venezuelanos/2021/03_abr/html/g1_874abfea-2312-11ed-b24f-6dbe51e79fca_2971.html", "HTML")</f>
        <v/>
      </c>
      <c r="R669">
        <f>HYPERLINK("https://raw.githubusercontent.com/marcosmapl/dataset_imigrantes/main/materias_filtered/g1/venezuelanos/2021/03_abr/txt/g1_874abfea-2312-11ed-b24f-6dbe51e79fca_2971.txt", "TXT")</f>
        <v/>
      </c>
    </row>
    <row r="670">
      <c r="A670" s="1" t="n">
        <v>668</v>
      </c>
      <c r="B670" t="n">
        <v>2021</v>
      </c>
      <c r="C670" s="2" t="n">
        <v>44291.88949043981</v>
      </c>
      <c r="D670" t="inlineStr">
        <is>
          <t>G1</t>
        </is>
      </c>
      <c r="E670" t="inlineStr">
        <is>
          <t>VENEZUELANOS</t>
        </is>
      </c>
      <c r="F670" t="inlineStr">
        <is>
          <t>RONDÔNIA</t>
        </is>
      </c>
      <c r="G670" t="inlineStr">
        <is>
          <t>G1 RO</t>
        </is>
      </c>
      <c r="H670" t="inlineStr">
        <is>
          <t>HOMEM É DENUNCIADO EM RO POR TRÁFICO HUMANO, RACISMO E POR SUBMETER VENEZUELANOS A TRABALHO ANÁLOGO À ESCRAVIDÃO</t>
        </is>
      </c>
      <c r="I670" t="inlineStr">
        <is>
          <t>DENÚNCIA FOI FEITA PELO MINISTÉRIO PÚBLICO FEDERAL E CASO DEVE SER JULGADO PELA JUSTIÇA FEDERAL EM JI-PARANÁ. UMA DAS VÍTIMAS CONTOU QUE CHEGOU A MORAR POR UM TEMPO EM UMA ANTIGA CASA DE CACHORRO.</t>
        </is>
      </c>
      <c r="J670" t="inlineStr"/>
      <c r="K670" t="n">
        <v>0</v>
      </c>
      <c r="L670" t="n">
        <v>1</v>
      </c>
      <c r="M670" t="n">
        <v>0</v>
      </c>
      <c r="N670" t="n">
        <v>0</v>
      </c>
      <c r="O670" t="n">
        <v>2</v>
      </c>
      <c r="P670">
        <f>HYPERLINK("https://g1.globo.com/ro/rondonia/noticia/2021/04/05/homem-e-denunciado-em-ro-por-trafico-humano-racismo-e-por-submeter-venezuelanos-a-trabalho-analogo-a-escravidao.ghtml", "URL")</f>
        <v/>
      </c>
      <c r="Q670">
        <f>HYPERLINK("https://raw.githubusercontent.com/marcosmapl/dataset_imigrantes/main/materias_filtered/g1/venezuelanos/2021/03_abr/html/g1_2b122ac2-2323-11ed-b24f-6dbe51e79fca_3791.html", "HTML")</f>
        <v/>
      </c>
      <c r="R670">
        <f>HYPERLINK("https://raw.githubusercontent.com/marcosmapl/dataset_imigrantes/main/materias_filtered/g1/venezuelanos/2021/03_abr/txt/g1_2b122ac2-2323-11ed-b24f-6dbe51e79fca_3791.txt", "TXT")</f>
        <v/>
      </c>
    </row>
    <row r="671">
      <c r="A671" s="1" t="n">
        <v>669</v>
      </c>
      <c r="B671" t="n">
        <v>2021</v>
      </c>
      <c r="C671" s="2" t="n">
        <v>44291.76956596065</v>
      </c>
      <c r="D671" t="inlineStr">
        <is>
          <t>G1</t>
        </is>
      </c>
      <c r="E671" t="inlineStr">
        <is>
          <t>HAITIANOS</t>
        </is>
      </c>
      <c r="F671" t="inlineStr">
        <is>
          <t>RIO GRANDE DO SUL</t>
        </is>
      </c>
      <c r="G671" t="inlineStr">
        <is>
          <t>G1 RS E RBS TV</t>
        </is>
      </c>
      <c r="H671" t="inlineStr">
        <is>
          <t>PORTO ALEGRE ABRE CENTRO DE ATENDIMENTO PARA REFUGIADOS E IMIGRANTES</t>
        </is>
      </c>
      <c r="I671" t="inlineStr">
        <is>
          <t>UNIDADE É FORMADA POR ADVOGADO, PSICÓLOGO, ASSISTENTE SOCIAL, ENTRE OUTROS PROFISSIONAIS. PREFEITURA ESTIMA QUE 30 MIL IMIGRANTES VIVAM NA CIDADE, SENDO A MAIORIA HAITIANOS.</t>
        </is>
      </c>
      <c r="J671" t="inlineStr"/>
      <c r="K671" t="n">
        <v>0</v>
      </c>
      <c r="L671" t="n">
        <v>2</v>
      </c>
      <c r="M671" t="n">
        <v>1</v>
      </c>
      <c r="N671" t="n">
        <v>0</v>
      </c>
      <c r="O671" t="n">
        <v>8</v>
      </c>
      <c r="P671">
        <f>HYPERLINK("https://g1.globo.com/rs/rio-grande-do-sul/noticia/2021/04/05/porto-alegre-abre-centro-de-atendimento-para-refugiados-e-imigrantes.ghtml", "URL")</f>
        <v/>
      </c>
      <c r="Q671">
        <f>HYPERLINK("https://raw.githubusercontent.com/marcosmapl/dataset_imigrantes/main/materias_filtered/g1/haitianos/2021/03_abr/html/g1_e6f0d2ce-22b1-11ed-b24f-6dbe51e79fca_1640.html", "HTML")</f>
        <v/>
      </c>
      <c r="R671">
        <f>HYPERLINK("https://raw.githubusercontent.com/marcosmapl/dataset_imigrantes/main/materias_filtered/g1/haitianos/2021/03_abr/txt/g1_e6f0d2ce-22b1-11ed-b24f-6dbe51e79fca_1640.txt", "TXT")</f>
        <v/>
      </c>
    </row>
    <row r="672">
      <c r="A672" s="1" t="n">
        <v>670</v>
      </c>
      <c r="B672" t="n">
        <v>2021</v>
      </c>
      <c r="C672" s="2" t="n">
        <v>44291.65983267361</v>
      </c>
      <c r="D672" t="inlineStr">
        <is>
          <t>G1</t>
        </is>
      </c>
      <c r="E672" t="inlineStr">
        <is>
          <t>VENEZUELANOS</t>
        </is>
      </c>
      <c r="F672" t="inlineStr">
        <is>
          <t>PROFISSÃO REPÓRTER</t>
        </is>
      </c>
      <c r="G672" t="inlineStr"/>
      <c r="H672" t="inlineStr">
        <is>
          <t>PROFISSÃO REPÓRTER DESTA TERÇA (6) MOSTRA A SITUAÇÃO DOS MIGRANTES VENEZUELANOS EM RORAIMA</t>
        </is>
      </c>
      <c r="I672" t="inlineStr">
        <is>
          <t>NO PROGRAMA, VOCÊ VAI VER O REENCONTRO DE UM PAI COM SEUS DOIS FILHOS APÓS TRÊS ANOS, A HISTÓRIA DOS INDÍGENAS VENEZUELANOS AMEAÇADOS DE DEPORTAÇÃO E AS TRILHAS CLANDESTINAS USADAS PELOS MIGRANTES ENQUANTO A FRONTEIRA ESTÁ FECHADA.</t>
        </is>
      </c>
      <c r="J672" t="inlineStr"/>
      <c r="K672" t="n">
        <v>0</v>
      </c>
      <c r="L672" t="n">
        <v>1</v>
      </c>
      <c r="M672" t="n">
        <v>1</v>
      </c>
      <c r="N672" t="n">
        <v>0</v>
      </c>
      <c r="O672" t="n">
        <v>4</v>
      </c>
      <c r="P672">
        <f>HYPERLINK("https://g1.globo.com/profissao-reporter/noticia/2021/04/05/profissao-reporter-desta-terca-6-mostra-a-situacao-dos-migrantes-venezuelanos-em-roraima.ghtml", "URL")</f>
        <v/>
      </c>
      <c r="Q672">
        <f>HYPERLINK("https://raw.githubusercontent.com/marcosmapl/dataset_imigrantes/main/materias_filtered/g1/venezuelanos/2021/03_abr/html/g1_25fd2fae-230b-11ed-b24f-6dbe51e79fca_2547.html", "HTML")</f>
        <v/>
      </c>
      <c r="R672">
        <f>HYPERLINK("https://raw.githubusercontent.com/marcosmapl/dataset_imigrantes/main/materias_filtered/g1/venezuelanos/2021/03_abr/txt/g1_25fd2fae-230b-11ed-b24f-6dbe51e79fca_2547.txt", "TXT")</f>
        <v/>
      </c>
    </row>
    <row r="673">
      <c r="A673" s="1" t="n">
        <v>671</v>
      </c>
      <c r="B673" t="n">
        <v>2021</v>
      </c>
      <c r="C673" s="2" t="n">
        <v>44291.55352224537</v>
      </c>
      <c r="D673" t="inlineStr">
        <is>
          <t>G1</t>
        </is>
      </c>
      <c r="E673" t="inlineStr">
        <is>
          <t>AMBOS</t>
        </is>
      </c>
      <c r="F673" t="inlineStr">
        <is>
          <t>ACRE</t>
        </is>
      </c>
      <c r="G673" t="inlineStr">
        <is>
          <t>ALINE NASCIMENTO, G1 AC — RIO BRANCO</t>
        </is>
      </c>
      <c r="H673" t="inlineStr">
        <is>
          <t>NÚMERO DE IMIGRANTES DIMINUI E ABRIGOS EM ESCOLAS SÃO DESATIVADOS EM ASSIS BRASIL, NO AC</t>
        </is>
      </c>
      <c r="I673" t="inlineStr">
        <is>
          <t>EM FEVEREIRO, CIDADE ENFRENTOU CRISE MIGRATÓRIA COM GRUPO DE MAIS DE 300 ACAMPADOS NA PONTE DA INTEGRAÇÃO. ESTRANGEIROS PASSARAM A USAR O ESPAÇO EM MARÇO, QUANDO A PREFEITURA DE ASSIS BRASIL CONCLUIU OBRAS E CONSEGUIU ACOMODAR OS IMIGRANTES.</t>
        </is>
      </c>
      <c r="J673" t="inlineStr"/>
      <c r="K673" t="n">
        <v>0</v>
      </c>
      <c r="L673" t="n">
        <v>3</v>
      </c>
      <c r="M673" t="n">
        <v>0</v>
      </c>
      <c r="N673" t="n">
        <v>0</v>
      </c>
      <c r="O673" t="n">
        <v>8</v>
      </c>
      <c r="P673">
        <f>HYPERLINK("https://g1.globo.com/ac/acre/noticia/2021/04/05/numero-de-imigrantes-diminui-e-abrigos-em-escolas-sao-desativados-em-assis-brasil-no-ac.ghtml", "URL")</f>
        <v/>
      </c>
      <c r="Q673">
        <f>HYPERLINK("https://raw.githubusercontent.com/marcosmapl/dataset_imigrantes/main/materias_filtered/g1/ambos/2021/03_abr/html/g1_7d4b7c4e-230a-11ed-b24f-6dbe51e79fca_2508.html", "HTML")</f>
        <v/>
      </c>
      <c r="R673">
        <f>HYPERLINK("https://raw.githubusercontent.com/marcosmapl/dataset_imigrantes/main/materias_filtered/g1/ambos/2021/03_abr/txt/g1_7d4b7c4e-230a-11ed-b24f-6dbe51e79fca_2508.txt", "TXT")</f>
        <v/>
      </c>
    </row>
    <row r="674">
      <c r="A674" s="1" t="n">
        <v>672</v>
      </c>
      <c r="B674" t="n">
        <v>2021</v>
      </c>
      <c r="C674" s="2" t="n">
        <v>44289.82633825231</v>
      </c>
      <c r="D674" t="inlineStr">
        <is>
          <t>G1</t>
        </is>
      </c>
      <c r="E674" t="inlineStr">
        <is>
          <t>VENEZUELANOS</t>
        </is>
      </c>
      <c r="F674" t="inlineStr">
        <is>
          <t>RORAIMA</t>
        </is>
      </c>
      <c r="G674" t="inlineStr">
        <is>
          <t>G1 RR — BOA VISTA</t>
        </is>
      </c>
      <c r="H674" t="inlineStr">
        <is>
          <t>CORPO DE VENEZUELANO É ENCONTRADO COM TIRO NA CABEÇA EM ÁREA DE LAVRADO EM BOA VISTA</t>
        </is>
      </c>
      <c r="I674" t="inlineStr">
        <is>
          <t>SEGUNDO A PM, HOMEM ESTAVA SEM DOCUMENTOS E TINHA UMA TATUAGEM NO ANTEBRAÇO DIREITO COM OS NOMES 'ANTÔNIA E ARMANDO'.</t>
        </is>
      </c>
      <c r="J674" t="inlineStr"/>
      <c r="K674" t="n">
        <v>0</v>
      </c>
      <c r="L674" t="n">
        <v>1</v>
      </c>
      <c r="M674" t="n">
        <v>0</v>
      </c>
      <c r="N674" t="n">
        <v>0</v>
      </c>
      <c r="O674" t="n">
        <v>0</v>
      </c>
      <c r="P674">
        <f>HYPERLINK("https://g1.globo.com/rr/roraima/noticia/2021/04/03/corpo-e-encontrado-com-tiro-na-cabeca-em-area-de-lavrado-em-boa-vista.ghtml", "URL")</f>
        <v/>
      </c>
      <c r="Q674">
        <f>HYPERLINK("https://raw.githubusercontent.com/marcosmapl/dataset_imigrantes/main/materias_filtered/g1/venezuelanos/2021/03_abr/html/g1_6bfc782a-2324-11ed-b24f-6dbe51e79fca_3870.html", "HTML")</f>
        <v/>
      </c>
      <c r="R674">
        <f>HYPERLINK("https://raw.githubusercontent.com/marcosmapl/dataset_imigrantes/main/materias_filtered/g1/venezuelanos/2021/03_abr/txt/g1_6bfc782a-2324-11ed-b24f-6dbe51e79fca_3870.txt", "TXT")</f>
        <v/>
      </c>
    </row>
    <row r="675">
      <c r="A675" s="1" t="n">
        <v>673</v>
      </c>
      <c r="B675" t="n">
        <v>2021</v>
      </c>
      <c r="C675" s="2" t="n">
        <v>44289.67546413194</v>
      </c>
      <c r="D675" t="inlineStr">
        <is>
          <t>G1</t>
        </is>
      </c>
      <c r="E675" t="inlineStr">
        <is>
          <t>VENEZUELANOS</t>
        </is>
      </c>
      <c r="F675" t="inlineStr">
        <is>
          <t>ACRE</t>
        </is>
      </c>
      <c r="G675" t="inlineStr">
        <is>
          <t>ALCINETE GADELHA, G1 AC — RIO BRANCO</t>
        </is>
      </c>
      <c r="H675" t="inlineStr">
        <is>
          <t>COM MAIS DE 60 INDÍGENAS VENEZUELANOS NO AC, NOVO ABRIGO É ALUGADO PARA ESTRANGEIROS QUE ESTÃO HÁ UM ANO NO ESTADO</t>
        </is>
      </c>
      <c r="I675" t="inlineStr">
        <is>
          <t>GRUPO DA ETNIA WARAO ESTAVA VIVENDO EM ABRIGO NO CONJUNTO HABITACIONAL CIDADE DO POVO HÁ MAIS DE UM ANO. TRANSFERÊNCIA PARA CHÁCARA ALIANÇA OCORREU NESTA SEMANA, SEGUNDO A SECRETARIA DE ASSISTÊNCIA SOCIAL.</t>
        </is>
      </c>
      <c r="J675" t="inlineStr"/>
      <c r="K675" t="n">
        <v>0</v>
      </c>
      <c r="L675" t="n">
        <v>2</v>
      </c>
      <c r="M675" t="n">
        <v>0</v>
      </c>
      <c r="N675" t="n">
        <v>0</v>
      </c>
      <c r="O675" t="n">
        <v>9</v>
      </c>
      <c r="P675">
        <f>HYPERLINK("https://g1.globo.com/ac/acre/noticia/2021/04/03/com-mais-de-60-indigenas-venezuelanos-no-ac-novo-abrigo-e-alugado-para-estrangeiros-que-estao-ha-um-ano-no-estado.ghtml", "URL")</f>
        <v/>
      </c>
      <c r="Q675">
        <f>HYPERLINK("https://raw.githubusercontent.com/marcosmapl/dataset_imigrantes/main/materias_filtered/g1/venezuelanos/2021/03_abr/html/g1_04dc2530-230d-11ed-b24f-6dbe51e79fca_2663.html", "HTML")</f>
        <v/>
      </c>
      <c r="R675">
        <f>HYPERLINK("https://raw.githubusercontent.com/marcosmapl/dataset_imigrantes/main/materias_filtered/g1/venezuelanos/2021/03_abr/txt/g1_04dc2530-230d-11ed-b24f-6dbe51e79fca_2663.txt", "TXT")</f>
        <v/>
      </c>
    </row>
    <row r="676">
      <c r="A676" s="1" t="n">
        <v>674</v>
      </c>
      <c r="B676" t="n">
        <v>2021</v>
      </c>
      <c r="C676" s="2" t="n">
        <v>44289.59441090278</v>
      </c>
      <c r="D676" t="inlineStr">
        <is>
          <t>G1</t>
        </is>
      </c>
      <c r="E676" t="inlineStr">
        <is>
          <t>VENEZUELANOS</t>
        </is>
      </c>
      <c r="F676" t="inlineStr">
        <is>
          <t>PIAUÍ</t>
        </is>
      </c>
      <c r="G676" t="inlineStr">
        <is>
          <t>MARIA ROMERO, G1 PI</t>
        </is>
      </c>
      <c r="H676" t="inlineStr">
        <is>
          <t>PIAUÍ VAI VACINAR IDOSOS, POLICIAIS E BOMBEIROS; CAPITAL VACINA IMIGRANTES VENEZUELANOS</t>
        </is>
      </c>
      <c r="I676" t="inlineStr">
        <is>
          <t>CAPITAL FARÁ A VACINAÇÃO DE IDOSOS COM A SEGUNDA DOSE DA VACINA E APLICARÁ PRIMEIRA DOSE PARA IMIGRANTES VENEZUELANOS. SECRETARIA DE ESTADO DA SAÚDE E SECRETARIA DE SEGURANÇA VACINARÃO FORÇAS DE SEGURANÇA.</t>
        </is>
      </c>
      <c r="J676" t="inlineStr"/>
      <c r="K676" t="n">
        <v>0</v>
      </c>
      <c r="L676" t="n">
        <v>1</v>
      </c>
      <c r="M676" t="n">
        <v>0</v>
      </c>
      <c r="N676" t="n">
        <v>0</v>
      </c>
      <c r="O676" t="n">
        <v>3</v>
      </c>
      <c r="P676">
        <f>HYPERLINK("https://g1.globo.com/pi/piaui/noticia/2021/04/03/teresina-vai-vacinar-venezuelanos-e-garantir-2o-dose-a-idosos-policiais-e-bombeiros-tambem-serao-vacinados.ghtml", "URL")</f>
        <v/>
      </c>
      <c r="Q676">
        <f>HYPERLINK("https://raw.githubusercontent.com/marcosmapl/dataset_imigrantes/main/materias_filtered/g1/venezuelanos/2021/03_abr/html/g1_42e977ea-231e-11ed-b24f-6dbe51e79fca_3549.html", "HTML")</f>
        <v/>
      </c>
      <c r="R676">
        <f>HYPERLINK("https://raw.githubusercontent.com/marcosmapl/dataset_imigrantes/main/materias_filtered/g1/venezuelanos/2021/03_abr/txt/g1_42e977ea-231e-11ed-b24f-6dbe51e79fca_3549.txt", "TXT")</f>
        <v/>
      </c>
    </row>
    <row r="677">
      <c r="A677" s="1" t="n">
        <v>675</v>
      </c>
      <c r="B677" t="n">
        <v>2021</v>
      </c>
      <c r="C677" s="2" t="n">
        <v>44288.86234619213</v>
      </c>
      <c r="D677" t="inlineStr">
        <is>
          <t>G1</t>
        </is>
      </c>
      <c r="E677" t="inlineStr">
        <is>
          <t>VENEZUELANOS</t>
        </is>
      </c>
      <c r="F677" t="inlineStr">
        <is>
          <t>RIO GRANDE DO NORTE</t>
        </is>
      </c>
      <c r="G677" t="inlineStr">
        <is>
          <t>G1 RN</t>
        </is>
      </c>
      <c r="H677" t="inlineStr">
        <is>
          <t>INDÍGENAS VENEZUELANOS WARAO SÃO VACINADOS CONTRA COVID-19 EM NATAL</t>
        </is>
      </c>
      <c r="I677" t="inlineStr">
        <is>
          <t>GRUPO FAZ PARTE DA POPULAÇÃO EM SITUAÇÃO DE VULNERABILIDADE, QUE TEM SIDO VACINADA NA ATUAL FASE DO PLANO NACIONAL DE IMUNIZAÇÃO, DO MINISTÉRIO DA SAÚDE.</t>
        </is>
      </c>
      <c r="J677" t="inlineStr"/>
      <c r="K677" t="n">
        <v>0</v>
      </c>
      <c r="L677" t="n">
        <v>2</v>
      </c>
      <c r="M677" t="n">
        <v>0</v>
      </c>
      <c r="N677" t="n">
        <v>0</v>
      </c>
      <c r="O677" t="n">
        <v>3</v>
      </c>
      <c r="P677">
        <f>HYPERLINK("https://g1.globo.com/rn/rio-grande-do-norte/noticia/2021/04/02/indigenas-venezuelanos-warao-sao-vacinados-contra-covid-19-em-natal.ghtml", "URL")</f>
        <v/>
      </c>
      <c r="Q677">
        <f>HYPERLINK("https://raw.githubusercontent.com/marcosmapl/dataset_imigrantes/main/materias_filtered/g1/venezuelanos/2021/03_abr/html/g1_58f14b68-232c-11ed-b24f-6dbe51e79fca_4299.html", "HTML")</f>
        <v/>
      </c>
      <c r="R677">
        <f>HYPERLINK("https://raw.githubusercontent.com/marcosmapl/dataset_imigrantes/main/materias_filtered/g1/venezuelanos/2021/03_abr/txt/g1_58f14b68-232c-11ed-b24f-6dbe51e79fca_4299.txt", "TXT")</f>
        <v/>
      </c>
    </row>
    <row r="678">
      <c r="A678" s="1" t="n">
        <v>676</v>
      </c>
      <c r="B678" t="n">
        <v>2021</v>
      </c>
      <c r="C678" s="2" t="n">
        <v>44287.781875</v>
      </c>
      <c r="D678" t="inlineStr">
        <is>
          <t>A CRITICA</t>
        </is>
      </c>
      <c r="E678" t="inlineStr">
        <is>
          <t>VENEZUELANOS</t>
        </is>
      </c>
      <c r="F678" t="inlineStr">
        <is>
          <t>SAUDE</t>
        </is>
      </c>
      <c r="G678" t="inlineStr">
        <is>
          <t>PORTAL A CRÍTICA</t>
        </is>
      </c>
      <c r="H678" t="inlineStr">
        <is>
          <t>UNICEF E CÁRITAS DESENVOLVEM AÇÕES DE PREVENÇÃO À COVID-19 EM MANAUS</t>
        </is>
      </c>
      <c r="I678" t="inlineStr">
        <is>
          <t>O PROJETO EMERGÊNCIA MANAUS – WASH TEM COMO FOCO A PREVENÇÃO À COVID-19 POR MEIO DE MELHORIA NAS CONDIÇÕES DE ÁGUA, HIGIENE E SANEAMENTO EM ABRIGOS E ESPAÇOS DE ACOLHIMENTO</t>
        </is>
      </c>
      <c r="J678" t="inlineStr"/>
      <c r="K678" t="n">
        <v>0</v>
      </c>
      <c r="L678" t="n">
        <v>1</v>
      </c>
      <c r="M678" t="n">
        <v>0</v>
      </c>
      <c r="N678" t="n">
        <v>0</v>
      </c>
      <c r="O678" t="n">
        <v>0</v>
      </c>
      <c r="P678">
        <f>HYPERLINK("https://www.acritica.com/saude/unicef-e-caritas-desenvolvem-ac-es-de-prevenc-o-a-covid-19-em-manaus-1.20288", "URL")</f>
        <v/>
      </c>
      <c r="Q678">
        <f>HYPERLINK("https://raw.githubusercontent.com/marcosmapl/dataset_imigrantes/main/materias_filtered/a_critica/venezuelanos/2021/03_abr/html/1.20288_65.html", "HTML")</f>
        <v/>
      </c>
      <c r="R678">
        <f>HYPERLINK("https://raw.githubusercontent.com/marcosmapl/dataset_imigrantes/main/materias_filtered/a_critica/venezuelanos/2021/03_abr/txt/1.20288_65.txt", "TXT")</f>
        <v/>
      </c>
    </row>
    <row r="679">
      <c r="A679" s="1" t="n">
        <v>677</v>
      </c>
      <c r="B679" t="n">
        <v>2021</v>
      </c>
      <c r="C679" s="2" t="n">
        <v>44286.89666666667</v>
      </c>
      <c r="D679" t="inlineStr">
        <is>
          <t>A CRITICA</t>
        </is>
      </c>
      <c r="E679" t="inlineStr">
        <is>
          <t>VENEZUELANOS</t>
        </is>
      </c>
      <c r="F679" t="inlineStr"/>
      <c r="G679" t="inlineStr">
        <is>
          <t>PORTAL A CRÍTICA</t>
        </is>
      </c>
      <c r="H679" t="inlineStr">
        <is>
          <t>OCUPAÇÃO CULTURAL PROMOVE AÇÃO DE INCLUSÃO EM ABRIGOS DE MANAUS</t>
        </is>
      </c>
      <c r="I679" t="inlineStr">
        <is>
          <t>O OBJETIVO É MINIMIZAR OS EFEITOS DA PANDEMIA E DAR ALTERNATIVAS DE GERAÇÃO DE RENDA PARA PESSOAS (ESTRANGEIRAS OU NÃO) QUE SE ENCONTRAM EM SITUAÇÃO DE VULNERABILIDADE</t>
        </is>
      </c>
      <c r="J679" t="inlineStr"/>
      <c r="K679" t="n">
        <v>0</v>
      </c>
      <c r="L679" t="n">
        <v>1</v>
      </c>
      <c r="M679" t="n">
        <v>0</v>
      </c>
      <c r="N679" t="n">
        <v>0</v>
      </c>
      <c r="O679" t="n">
        <v>0</v>
      </c>
      <c r="P679">
        <f>HYPERLINK("https://www.acritica.com/ocupac-o-cultural-promove-ac-o-de-inclus-o-em-abrigos-de-manaus-1.20331", "URL")</f>
        <v/>
      </c>
      <c r="Q679">
        <f>HYPERLINK("https://raw.githubusercontent.com/marcosmapl/dataset_imigrantes/main/materias_filtered/a_critica/venezuelanos/2021/02_mar/html/1.20331_322.html", "HTML")</f>
        <v/>
      </c>
      <c r="R679">
        <f>HYPERLINK("https://raw.githubusercontent.com/marcosmapl/dataset_imigrantes/main/materias_filtered/a_critica/venezuelanos/2021/02_mar/txt/1.20331_322.txt", "TXT")</f>
        <v/>
      </c>
    </row>
    <row r="680">
      <c r="A680" s="1" t="n">
        <v>678</v>
      </c>
      <c r="B680" t="n">
        <v>2021</v>
      </c>
      <c r="C680" s="2" t="n">
        <v>44285.56872960648</v>
      </c>
      <c r="D680" t="inlineStr">
        <is>
          <t>G1</t>
        </is>
      </c>
      <c r="E680" t="inlineStr">
        <is>
          <t>VENEZUELANOS</t>
        </is>
      </c>
      <c r="F680" t="inlineStr">
        <is>
          <t>RORAIMA</t>
        </is>
      </c>
      <c r="G680" t="inlineStr">
        <is>
          <t>G1 RR — BOA VISTA</t>
        </is>
      </c>
      <c r="H680" t="inlineStr">
        <is>
          <t>HOMEM É MORTO A TIROS NO MEIO DA RUA EM BOA VISTA</t>
        </is>
      </c>
      <c r="I680" t="inlineStr">
        <is>
          <t>GLICIS LEONARDO DE LOS SANTOS SANCHEZ TINHA 32 ANOS E ERA VENEZUELANO.</t>
        </is>
      </c>
      <c r="J680" t="inlineStr"/>
      <c r="K680" t="n">
        <v>0</v>
      </c>
      <c r="L680" t="n">
        <v>1</v>
      </c>
      <c r="M680" t="n">
        <v>0</v>
      </c>
      <c r="N680" t="n">
        <v>0</v>
      </c>
      <c r="O680" t="n">
        <v>0</v>
      </c>
      <c r="P680">
        <f>HYPERLINK("https://g1.globo.com/rr/roraima/noticia/2021/03/30/homem-e-morto-a-tiros-no-meio-da-rua-em-boa-vista.ghtml", "URL")</f>
        <v/>
      </c>
      <c r="Q680">
        <f>HYPERLINK("https://raw.githubusercontent.com/marcosmapl/dataset_imigrantes/main/materias_filtered/g1/venezuelanos/2021/02_mar/html/g1_70f60e34-232b-11ed-b24f-6dbe51e79fca_4246.html", "HTML")</f>
        <v/>
      </c>
      <c r="R680">
        <f>HYPERLINK("https://raw.githubusercontent.com/marcosmapl/dataset_imigrantes/main/materias_filtered/g1/venezuelanos/2021/02_mar/txt/g1_70f60e34-232b-11ed-b24f-6dbe51e79fca_4246.txt", "TXT")</f>
        <v/>
      </c>
    </row>
    <row r="681">
      <c r="A681" s="1" t="n">
        <v>679</v>
      </c>
      <c r="B681" t="n">
        <v>2021</v>
      </c>
      <c r="C681" s="2" t="n">
        <v>44284.48208333334</v>
      </c>
      <c r="D681" t="inlineStr">
        <is>
          <t>A CRITICA</t>
        </is>
      </c>
      <c r="E681" t="inlineStr">
        <is>
          <t>VENEZUELANOS</t>
        </is>
      </c>
      <c r="F681" t="inlineStr">
        <is>
          <t>SAUDE</t>
        </is>
      </c>
      <c r="G681" t="inlineStr">
        <is>
          <t>REUTERS</t>
        </is>
      </c>
      <c r="H681" t="inlineStr">
        <is>
          <t>PRESIDENTE DA VENEZUELA PROPÕE PAGAR VACINAS CONTRA O CORONAVÍRUS COM ÓLEO</t>
        </is>
      </c>
      <c r="I681" t="inlineStr">
        <is>
          <t>ELE NÃO DEU DETALHES DE COMO A NEGOCIAÇÃO FUNCIONARIA</t>
        </is>
      </c>
      <c r="J681" t="inlineStr"/>
      <c r="K681" t="n">
        <v>0</v>
      </c>
      <c r="L681" t="n">
        <v>1</v>
      </c>
      <c r="M681" t="n">
        <v>0</v>
      </c>
      <c r="N681" t="n">
        <v>0</v>
      </c>
      <c r="O681" t="n">
        <v>0</v>
      </c>
      <c r="P681">
        <f>HYPERLINK("https://www.acritica.com/saude/presidente-da-venezuela-prop-e-pagar-vacinas-contra-o-coronavirus-com-oleo-1.20557", "URL")</f>
        <v/>
      </c>
      <c r="Q681">
        <f>HYPERLINK("https://raw.githubusercontent.com/marcosmapl/dataset_imigrantes/main/materias_filtered/a_critica/venezuelanos/2021/02_mar/html/1.20557_1080.html", "HTML")</f>
        <v/>
      </c>
      <c r="R681">
        <f>HYPERLINK("https://raw.githubusercontent.com/marcosmapl/dataset_imigrantes/main/materias_filtered/a_critica/venezuelanos/2021/02_mar/txt/1.20557_1080.txt", "TXT")</f>
        <v/>
      </c>
    </row>
    <row r="682">
      <c r="A682" s="1" t="n">
        <v>680</v>
      </c>
      <c r="B682" t="n">
        <v>2021</v>
      </c>
      <c r="C682" s="2" t="n">
        <v>44283.80262939815</v>
      </c>
      <c r="D682" t="inlineStr">
        <is>
          <t>G1</t>
        </is>
      </c>
      <c r="E682" t="inlineStr">
        <is>
          <t>VENEZUELANOS</t>
        </is>
      </c>
      <c r="F682" t="inlineStr">
        <is>
          <t>MUNDO</t>
        </is>
      </c>
      <c r="G682" t="inlineStr">
        <is>
          <t>REUTERS</t>
        </is>
      </c>
      <c r="H682" t="inlineStr">
        <is>
          <t>LÍDER DA OPOSIÇÃO VENEZUELANA, JUAN GUAIDÓ AFIRMA QUE TESTOU POSITIVO PARA COVID-19</t>
        </is>
      </c>
      <c r="I682" t="inlineStr">
        <is>
          <t>EM SUA CONTA NO TWITTER, ELE DISSE QUE ESTÁ ISOLADO E EXPRESSOU PREOCUPAÇÃO COM O NÚMERO DE INFECÇÕES NO PAÍS.</t>
        </is>
      </c>
      <c r="J682" t="inlineStr"/>
      <c r="K682" t="n">
        <v>0</v>
      </c>
      <c r="L682" t="n">
        <v>2</v>
      </c>
      <c r="M682" t="n">
        <v>1</v>
      </c>
      <c r="N682" t="n">
        <v>0</v>
      </c>
      <c r="O682" t="n">
        <v>4</v>
      </c>
      <c r="P682">
        <f>HYPERLINK("https://g1.globo.com/mundo/noticia/2021/03/28/lider-da-oposicao-venezuelana-juan-guaido-afirma-que-testou-positivo-para-covid-19.ghtml", "URL")</f>
        <v/>
      </c>
      <c r="Q682">
        <f>HYPERLINK("https://raw.githubusercontent.com/marcosmapl/dataset_imigrantes/main/materias_filtered/g1/venezuelanos/2021/02_mar/html/g1_c490c57c-2306-11ed-b24f-6dbe51e79fca_2276.html", "HTML")</f>
        <v/>
      </c>
      <c r="R682">
        <f>HYPERLINK("https://raw.githubusercontent.com/marcosmapl/dataset_imigrantes/main/materias_filtered/g1/venezuelanos/2021/02_mar/txt/g1_c490c57c-2306-11ed-b24f-6dbe51e79fca_2276.txt", "TXT")</f>
        <v/>
      </c>
    </row>
    <row r="683">
      <c r="A683" s="1" t="n">
        <v>681</v>
      </c>
      <c r="B683" t="n">
        <v>2021</v>
      </c>
      <c r="C683" s="2" t="n">
        <v>44282.86648148148</v>
      </c>
      <c r="D683" t="inlineStr">
        <is>
          <t>A CRITICA</t>
        </is>
      </c>
      <c r="E683" t="inlineStr">
        <is>
          <t>VENEZUELANOS</t>
        </is>
      </c>
      <c r="F683" t="inlineStr"/>
      <c r="G683" t="inlineStr">
        <is>
          <t>REUTERS</t>
        </is>
      </c>
      <c r="H683" t="inlineStr">
        <is>
          <t>FACEBOOK CONGELA A PÁGINA DO PRESIDENTE DA VENEZUELA POR DIVULGAÇÃO DE NOTÍCIAS FALSAS SOBRE A COVID-19</t>
        </is>
      </c>
      <c r="I683" t="inlineStr">
        <is>
          <t>ELE DEFENDE O USO DE UM REMÉDIO SEM COMPROVAÇÃO CIENTÍFICA PARA TRATAR A DOENÇA</t>
        </is>
      </c>
      <c r="J683" t="inlineStr"/>
      <c r="K683" t="n">
        <v>0</v>
      </c>
      <c r="L683" t="n">
        <v>1</v>
      </c>
      <c r="M683" t="n">
        <v>0</v>
      </c>
      <c r="N683" t="n">
        <v>0</v>
      </c>
      <c r="O683" t="n">
        <v>0</v>
      </c>
      <c r="P683">
        <f>HYPERLINK("https://www.acritica.com/facebook-congela-a-pagina-do-presidente-da-venezuela-por-divulgac-o-de-noticias-falsas-sobre-a-covid-19-1.20607", "URL")</f>
        <v/>
      </c>
      <c r="Q683">
        <f>HYPERLINK("https://raw.githubusercontent.com/marcosmapl/dataset_imigrantes/main/materias_filtered/a_critica/venezuelanos/2021/02_mar/html/1.20607_312.html", "HTML")</f>
        <v/>
      </c>
      <c r="R683">
        <f>HYPERLINK("https://raw.githubusercontent.com/marcosmapl/dataset_imigrantes/main/materias_filtered/a_critica/venezuelanos/2021/02_mar/txt/1.20607_312.txt", "TXT")</f>
        <v/>
      </c>
    </row>
    <row r="684">
      <c r="A684" s="1" t="n">
        <v>682</v>
      </c>
      <c r="B684" t="n">
        <v>2021</v>
      </c>
      <c r="C684" s="2" t="n">
        <v>44282.60961805555</v>
      </c>
      <c r="D684" t="inlineStr">
        <is>
          <t>A CRITICA</t>
        </is>
      </c>
      <c r="E684" t="inlineStr">
        <is>
          <t>VENEZUELANOS</t>
        </is>
      </c>
      <c r="F684" t="inlineStr"/>
      <c r="G684" t="inlineStr">
        <is>
          <t>PORTAL A CRÍTICA</t>
        </is>
      </c>
      <c r="H684" t="inlineStr">
        <is>
          <t>CAPRICHOSO AJUDA VENEZUELANOS ABANDONADOS POR EMBARCAÇÃO EM PARINTINS</t>
        </is>
      </c>
      <c r="I684" t="inlineStr">
        <is>
          <t>GRUPO SEGUIRIA VIAGEM ATÉ SANTARÉM MAS FOI DEIXADO EM PARINTINS SEM REEMBOLSO DOS VALORES E SEM QUALQUER AUXÍLIO</t>
        </is>
      </c>
      <c r="J684" t="inlineStr"/>
      <c r="K684" t="n">
        <v>0</v>
      </c>
      <c r="L684" t="n">
        <v>1</v>
      </c>
      <c r="M684" t="n">
        <v>0</v>
      </c>
      <c r="N684" t="n">
        <v>0</v>
      </c>
      <c r="O684" t="n">
        <v>0</v>
      </c>
      <c r="P684">
        <f>HYPERLINK("https://www.acritica.com/caprichoso-ajuda-venezuelanos-abandonados-por-embarcac-o-em-parintins-1.20641", "URL")</f>
        <v/>
      </c>
      <c r="Q684">
        <f>HYPERLINK("https://raw.githubusercontent.com/marcosmapl/dataset_imigrantes/main/materias_filtered/a_critica/venezuelanos/2021/02_mar/html/1.20641_1017.html", "HTML")</f>
        <v/>
      </c>
      <c r="R684">
        <f>HYPERLINK("https://raw.githubusercontent.com/marcosmapl/dataset_imigrantes/main/materias_filtered/a_critica/venezuelanos/2021/02_mar/txt/1.20641_1017.txt", "TXT")</f>
        <v/>
      </c>
    </row>
    <row r="685">
      <c r="A685" s="1" t="n">
        <v>683</v>
      </c>
      <c r="B685" t="n">
        <v>2021</v>
      </c>
      <c r="C685" s="2" t="n">
        <v>44281.64501292824</v>
      </c>
      <c r="D685" t="inlineStr">
        <is>
          <t>G1</t>
        </is>
      </c>
      <c r="E685" t="inlineStr">
        <is>
          <t>VENEZUELANOS</t>
        </is>
      </c>
      <c r="F685" t="inlineStr">
        <is>
          <t>RORAIMA</t>
        </is>
      </c>
      <c r="G685" t="inlineStr">
        <is>
          <t>G1 RR — BOA VISTA</t>
        </is>
      </c>
      <c r="H685" t="inlineStr">
        <is>
          <t>MENINA VENEZUELANA DESAPARECE E BOMBEIROS FAZEM BUSCAS NO RIO BRANCO, EM BOA VISTA</t>
        </is>
      </c>
      <c r="I685" t="inlineStr">
        <is>
          <t>MISANYELI ANTONELA DOMINGUEZ CARAPAICA, DE 4 ANOS, SUMIU NO DOMINGO (21), QUANDO BRINCAVA ÀS MARGENS DO RIO BRANCO, NO CALUNGÁ, ZONA SUL DE BOA VISTA. A CRIANÇA VIVIA COM A FAMÍLIA NO ABRIGO RONDON 2, INFORMOU A OPERAÇÃO ACOLHIDA.</t>
        </is>
      </c>
      <c r="J685" t="inlineStr"/>
      <c r="K685" t="n">
        <v>0</v>
      </c>
      <c r="L685" t="n">
        <v>1</v>
      </c>
      <c r="M685" t="n">
        <v>0</v>
      </c>
      <c r="N685" t="n">
        <v>0</v>
      </c>
      <c r="O685" t="n">
        <v>0</v>
      </c>
      <c r="P685">
        <f>HYPERLINK("https://g1.globo.com/rr/roraima/noticia/2021/03/26/menina-venezuelana-desaparece-e-bombeiros-fazem-buscas-no-rio-branco-em-boa-vista.ghtml", "URL")</f>
        <v/>
      </c>
      <c r="Q685">
        <f>HYPERLINK("https://raw.githubusercontent.com/marcosmapl/dataset_imigrantes/main/materias_filtered/g1/venezuelanos/2021/02_mar/html/g1_d0be8fa8-2308-11ed-b24f-6dbe51e79fca_2405.html", "HTML")</f>
        <v/>
      </c>
      <c r="R685">
        <f>HYPERLINK("https://raw.githubusercontent.com/marcosmapl/dataset_imigrantes/main/materias_filtered/g1/venezuelanos/2021/02_mar/txt/g1_d0be8fa8-2308-11ed-b24f-6dbe51e79fca_2405.txt", "TXT")</f>
        <v/>
      </c>
    </row>
    <row r="686">
      <c r="A686" s="1" t="n">
        <v>684</v>
      </c>
      <c r="B686" t="n">
        <v>2021</v>
      </c>
      <c r="C686" s="2" t="n">
        <v>44280.37619585648</v>
      </c>
      <c r="D686" t="inlineStr">
        <is>
          <t>G1</t>
        </is>
      </c>
      <c r="E686" t="inlineStr">
        <is>
          <t>VENEZUELANOS</t>
        </is>
      </c>
      <c r="F686" t="inlineStr">
        <is>
          <t>MUNDO</t>
        </is>
      </c>
      <c r="G686" t="inlineStr">
        <is>
          <t>G1</t>
        </is>
      </c>
      <c r="H686" t="inlineStr">
        <is>
          <t>BRASIL SIMPLIFICA DOCUMENTAÇÃO EXIGIDA PARA VENEZUELANOS QUE SOLICITAREM AUTORIZAÇÃO DE RESIDÊNCIA NO PAÍS</t>
        </is>
      </c>
      <c r="I686" t="inlineStr">
        <is>
          <t>MEDIDA VALE PARA IMIGRANTES DE OUTROS PAÍSES VIZINHOS, MAS BENEFICIA ESPECIALMENTE CIDADÃOS DA VENEZUELA. FLEXIBILIZAÇÃO PODE DESAFOGAR FILA DOS PEDIDOS DE REFÚGIO E FACILITAR QUE VENEZUELANOS RESIDAM LEGALMENTE EM TERRITÓRIO BRASILEIRO.</t>
        </is>
      </c>
      <c r="J686" t="inlineStr"/>
      <c r="K686" t="n">
        <v>0</v>
      </c>
      <c r="L686" t="n">
        <v>2</v>
      </c>
      <c r="M686" t="n">
        <v>0</v>
      </c>
      <c r="N686" t="n">
        <v>0</v>
      </c>
      <c r="O686" t="n">
        <v>6</v>
      </c>
      <c r="P686">
        <f>HYPERLINK("https://g1.globo.com/mundo/noticia/2021/03/25/brasil-simplifica-documentacao-exigida-para-venezuelanos-que-solicitarem-autorizacao-de-residencia-no-pais.ghtml", "URL")</f>
        <v/>
      </c>
      <c r="Q686">
        <f>HYPERLINK("https://raw.githubusercontent.com/marcosmapl/dataset_imigrantes/main/materias_filtered/g1/venezuelanos/2021/02_mar/html/g1_ceb66380-2316-11ed-b24f-6dbe51e79fca_3171.html", "HTML")</f>
        <v/>
      </c>
      <c r="R686">
        <f>HYPERLINK("https://raw.githubusercontent.com/marcosmapl/dataset_imigrantes/main/materias_filtered/g1/venezuelanos/2021/02_mar/txt/g1_ceb66380-2316-11ed-b24f-6dbe51e79fca_3171.txt", "TXT")</f>
        <v/>
      </c>
    </row>
    <row r="687">
      <c r="A687" s="1" t="n">
        <v>685</v>
      </c>
      <c r="B687" t="n">
        <v>2021</v>
      </c>
      <c r="C687" s="2" t="n">
        <v>44279.97791230324</v>
      </c>
      <c r="D687" t="inlineStr">
        <is>
          <t>G1</t>
        </is>
      </c>
      <c r="E687" t="inlineStr">
        <is>
          <t>VENEZUELANOS</t>
        </is>
      </c>
      <c r="F687" t="inlineStr">
        <is>
          <t>RORAIMA</t>
        </is>
      </c>
      <c r="G687" t="inlineStr">
        <is>
          <t>G1 RR — BOA VISTA</t>
        </is>
      </c>
      <c r="H687" t="inlineStr">
        <is>
          <t>JUSTIÇA FEDERAL ORDENA SUSPENSÃO DE DEPORTAÇÕES DE VENEZUELANOS EM RR FEITAS SEM NOTIFICAÇÃO À DPU</t>
        </is>
      </c>
      <c r="I687" t="inlineStr">
        <is>
          <t>ORDEM FOI ASSINADA PELO JUIZ FELIPE BOUZADA FLORES VIANA NESTA QUARTA-FEIRA (24) E CABE RECURSO.</t>
        </is>
      </c>
      <c r="J687" t="inlineStr"/>
      <c r="K687" t="n">
        <v>0</v>
      </c>
      <c r="L687" t="n">
        <v>1</v>
      </c>
      <c r="M687" t="n">
        <v>0</v>
      </c>
      <c r="N687" t="n">
        <v>0</v>
      </c>
      <c r="O687" t="n">
        <v>3</v>
      </c>
      <c r="P687">
        <f>HYPERLINK("https://g1.globo.com/rr/roraima/noticia/2021/03/24/justica-federal-ordena-suspensao-de-deportacoes-de-venezuelanos-em-rr-feitas-sem-notificacao-a-dpu.ghtml", "URL")</f>
        <v/>
      </c>
      <c r="Q687">
        <f>HYPERLINK("https://raw.githubusercontent.com/marcosmapl/dataset_imigrantes/main/materias_filtered/g1/venezuelanos/2021/02_mar/html/g1_b94af2d8-230f-11ed-b24f-6dbe51e79fca_2815.html", "HTML")</f>
        <v/>
      </c>
      <c r="R687">
        <f>HYPERLINK("https://raw.githubusercontent.com/marcosmapl/dataset_imigrantes/main/materias_filtered/g1/venezuelanos/2021/02_mar/txt/g1_b94af2d8-230f-11ed-b24f-6dbe51e79fca_2815.txt", "TXT")</f>
        <v/>
      </c>
    </row>
    <row r="688">
      <c r="A688" s="1" t="n">
        <v>686</v>
      </c>
      <c r="B688" t="n">
        <v>2021</v>
      </c>
      <c r="C688" s="2" t="n">
        <v>44279.8064424537</v>
      </c>
      <c r="D688" t="inlineStr">
        <is>
          <t>G1</t>
        </is>
      </c>
      <c r="E688" t="inlineStr">
        <is>
          <t>VENEZUELANOS</t>
        </is>
      </c>
      <c r="F688" t="inlineStr">
        <is>
          <t>MATO GROSSO DO SUL</t>
        </is>
      </c>
      <c r="G688" t="inlineStr">
        <is>
          <t>FLÁVIO DIAS, G1MS — CAMPO GRANDE</t>
        </is>
      </c>
      <c r="H688" t="inlineStr">
        <is>
          <t>CASAL DE VENEZUELANOS MONTA TRAILER DE LANCHE E BARBEARIA NO MS APÓS SE CONHECER EM ABRIGO DE REFUGIADOS EM RR</t>
        </is>
      </c>
      <c r="I688" t="inlineStr">
        <is>
          <t>MIGUEL E RUBY TEM CINCO FILHOS E VIERAM PARA CAMPO GRANDE EM BUSCA DE UMA OPORTUNIDADE DE RECOMEÇO DEPOIS DE DEIXAR A VENEZUELA, QUE PASSA POR FORTE CRISE ECONÔMICA.</t>
        </is>
      </c>
      <c r="J688" t="inlineStr"/>
      <c r="K688" t="n">
        <v>0</v>
      </c>
      <c r="L688" t="n">
        <v>2</v>
      </c>
      <c r="M688" t="n">
        <v>0</v>
      </c>
      <c r="N688" t="n">
        <v>0</v>
      </c>
      <c r="O688" t="n">
        <v>1</v>
      </c>
      <c r="P688">
        <f>HYPERLINK("https://g1.globo.com/ms/mato-grosso-do-sul/noticia/2021/03/24/casal-de-venezuelanos-monta-trailer-de-lanche-e-barbearia-no-ms-apos-se-conhecer-em-abrigo-de-refugiados-em-ro.ghtml", "URL")</f>
        <v/>
      </c>
      <c r="Q688">
        <f>HYPERLINK("https://raw.githubusercontent.com/marcosmapl/dataset_imigrantes/main/materias_filtered/g1/venezuelanos/2021/02_mar/html/g1_52760824-2321-11ed-b24f-6dbe51e79fca_3693.html", "HTML")</f>
        <v/>
      </c>
      <c r="R688">
        <f>HYPERLINK("https://raw.githubusercontent.com/marcosmapl/dataset_imigrantes/main/materias_filtered/g1/venezuelanos/2021/02_mar/txt/g1_52760824-2321-11ed-b24f-6dbe51e79fca_3693.txt", "TXT")</f>
        <v/>
      </c>
    </row>
    <row r="689">
      <c r="A689" s="1" t="n">
        <v>687</v>
      </c>
      <c r="B689" t="n">
        <v>2021</v>
      </c>
      <c r="C689" s="2" t="n">
        <v>44277.75085211806</v>
      </c>
      <c r="D689" t="inlineStr">
        <is>
          <t>G1</t>
        </is>
      </c>
      <c r="E689" t="inlineStr">
        <is>
          <t>VENEZUELANOS</t>
        </is>
      </c>
      <c r="F689" t="inlineStr">
        <is>
          <t>MUNDO</t>
        </is>
      </c>
      <c r="G689" t="inlineStr">
        <is>
          <t>FRANCE PRESSE</t>
        </is>
      </c>
      <c r="H689" t="inlineStr">
        <is>
          <t>DOIS MILITARES VENEZUELANOS MORREM EM COMBATES COM GRUPOS ILEGAIS COLOMBIANOS</t>
        </is>
      </c>
      <c r="I689" t="inlineStr">
        <is>
          <t>FORÇAS ARMADAS DA VENEZUELA INFORMARAM QUE PRENDERAM 32 PESSOAS QUE PERTENCEM A UMA MILÍCIA DA COLÔMBIA.</t>
        </is>
      </c>
      <c r="J689" t="inlineStr"/>
      <c r="K689" t="n">
        <v>0</v>
      </c>
      <c r="L689" t="n">
        <v>2</v>
      </c>
      <c r="M689" t="n">
        <v>1</v>
      </c>
      <c r="N689" t="n">
        <v>0</v>
      </c>
      <c r="O689" t="n">
        <v>3</v>
      </c>
      <c r="P689">
        <f>HYPERLINK("https://g1.globo.com/mundo/noticia/2021/03/22/dois-militares-venezuelanos-morrem-em-combates-com-grupos-ilegais-colombianos.ghtml", "URL")</f>
        <v/>
      </c>
      <c r="Q689">
        <f>HYPERLINK("https://raw.githubusercontent.com/marcosmapl/dataset_imigrantes/main/materias_filtered/g1/venezuelanos/2021/02_mar/html/g1_72c4177e-2321-11ed-b24f-6dbe51e79fca_3700.html", "HTML")</f>
        <v/>
      </c>
      <c r="R689">
        <f>HYPERLINK("https://raw.githubusercontent.com/marcosmapl/dataset_imigrantes/main/materias_filtered/g1/venezuelanos/2021/02_mar/txt/g1_72c4177e-2321-11ed-b24f-6dbe51e79fca_3700.txt", "TXT")</f>
        <v/>
      </c>
    </row>
    <row r="690">
      <c r="A690" s="1" t="n">
        <v>688</v>
      </c>
      <c r="B690" t="n">
        <v>2021</v>
      </c>
      <c r="C690" s="2" t="n">
        <v>44277.61111111111</v>
      </c>
      <c r="D690" t="inlineStr">
        <is>
          <t>A CRITICA</t>
        </is>
      </c>
      <c r="E690" t="inlineStr">
        <is>
          <t>VENEZUELANOS</t>
        </is>
      </c>
      <c r="F690" t="inlineStr"/>
      <c r="G690" t="inlineStr">
        <is>
          <t>PORTAL A CRÍTICA E AGÊNCIAS</t>
        </is>
      </c>
      <c r="H690" t="inlineStr">
        <is>
          <t>MADURO AFIRMA QUE 'VARIANTE BRASILEIRA' AMEAÇA O MUNDO E CRITICA BOLSONARO: 'IRRESPONSÁVEL'</t>
        </is>
      </c>
      <c r="I690" t="inlineStr">
        <is>
          <t>'O BRASIL SE CONVERTEU NA MAIOR AMEAÇA DO MUNDO POR CULPA DE JAIR BOLSONARO', AFIRMOU O PRESIDENTE VENEZUELANO NICOLÁS MADURO</t>
        </is>
      </c>
      <c r="J690" t="inlineStr"/>
      <c r="K690" t="n">
        <v>0</v>
      </c>
      <c r="L690" t="n">
        <v>1</v>
      </c>
      <c r="M690" t="n">
        <v>0</v>
      </c>
      <c r="N690" t="n">
        <v>0</v>
      </c>
      <c r="O690" t="n">
        <v>0</v>
      </c>
      <c r="P690">
        <f>HYPERLINK("https://www.acritica.com/maduro-afirma-que-variante-brasileira-ameaca-o-mundo-e-critica-bolsonaro-irresponsavel-1.20987", "URL")</f>
        <v/>
      </c>
      <c r="Q690">
        <f>HYPERLINK("https://raw.githubusercontent.com/marcosmapl/dataset_imigrantes/main/materias_filtered/a_critica/venezuelanos/2021/02_mar/html/1.20987_538.html", "HTML")</f>
        <v/>
      </c>
      <c r="R690">
        <f>HYPERLINK("https://raw.githubusercontent.com/marcosmapl/dataset_imigrantes/main/materias_filtered/a_critica/venezuelanos/2021/02_mar/txt/1.20987_538.txt", "TXT")</f>
        <v/>
      </c>
    </row>
    <row r="691">
      <c r="A691" s="1" t="n">
        <v>689</v>
      </c>
      <c r="B691" t="n">
        <v>2021</v>
      </c>
      <c r="C691" s="2" t="n">
        <v>44277.60440519676</v>
      </c>
      <c r="D691" t="inlineStr">
        <is>
          <t>G1</t>
        </is>
      </c>
      <c r="E691" t="inlineStr">
        <is>
          <t>HAITIANOS</t>
        </is>
      </c>
      <c r="F691" t="inlineStr">
        <is>
          <t>SANTA CATARINA</t>
        </is>
      </c>
      <c r="G691" t="inlineStr">
        <is>
          <t>CAROLINE BORGES, G1 SC</t>
        </is>
      </c>
      <c r="H691" t="inlineStr">
        <is>
          <t>HAITIANO É MORTO A FACADAS, PAULADAS E PEDRADAS DURANTE BRIGA DE BAR EM SC</t>
        </is>
      </c>
      <c r="I691" t="inlineStr">
        <is>
          <t>SUSPEITO DE 32 ANOS FOI PRESO EM FLAGRANTE. POLÍCIA CIVIL INVESTIGA A MOTIVAÇÃO DO HOMICÍDIO QUE OCORREU EM RIO DO SUL.</t>
        </is>
      </c>
      <c r="J691" t="inlineStr"/>
      <c r="K691" t="n">
        <v>0</v>
      </c>
      <c r="L691" t="n">
        <v>3</v>
      </c>
      <c r="M691" t="n">
        <v>0</v>
      </c>
      <c r="N691" t="n">
        <v>0</v>
      </c>
      <c r="O691" t="n">
        <v>5</v>
      </c>
      <c r="P691">
        <f>HYPERLINK("https://g1.globo.com/sc/santa-catarina/noticia/2021/03/22/haitiano-e-morto-a-facadas-pauladas-e-pedradas-durante-briga-de-bar-em-sc.ghtml", "URL")</f>
        <v/>
      </c>
      <c r="Q691">
        <f>HYPERLINK("https://raw.githubusercontent.com/marcosmapl/dataset_imigrantes/main/materias_filtered/g1/haitianos/2021/02_mar/html/g1_c8b19eec-22f7-11ed-b24f-6dbe51e79fca_2095.html", "HTML")</f>
        <v/>
      </c>
      <c r="R691">
        <f>HYPERLINK("https://raw.githubusercontent.com/marcosmapl/dataset_imigrantes/main/materias_filtered/g1/haitianos/2021/02_mar/txt/g1_c8b19eec-22f7-11ed-b24f-6dbe51e79fca_2095.txt", "TXT")</f>
        <v/>
      </c>
    </row>
    <row r="692">
      <c r="A692" s="1" t="n">
        <v>690</v>
      </c>
      <c r="B692" t="n">
        <v>2021</v>
      </c>
      <c r="C692" s="2" t="n">
        <v>44277.51998842593</v>
      </c>
      <c r="D692" t="inlineStr">
        <is>
          <t>A CRITICA</t>
        </is>
      </c>
      <c r="E692" t="inlineStr">
        <is>
          <t>VENEZUELANOS</t>
        </is>
      </c>
      <c r="F692" t="inlineStr">
        <is>
          <t>OPINIAO</t>
        </is>
      </c>
      <c r="G692" t="inlineStr">
        <is>
          <t>DULCE RODRIGUEZ</t>
        </is>
      </c>
      <c r="H692" t="inlineStr">
        <is>
          <t>VENEZUELANO SE FORMA COM EXCELÊNCIA EM ANÁLISE E DESENVOLVIMENTO DE SISTEMAS</t>
        </is>
      </c>
      <c r="I692" t="inlineStr">
        <is>
          <t>DEDICAÇÃO, FORÇA DE VONTADE E PERSISTÊNCIA DE ANDRÉS NA BUSCA DA REALIZAÇÃO PROFISSIONAL SÃO EXEMPLO DE QUE É POSSÍVEL ALCANÇAR OS SONHOS MESMO SENDO IMIGRANTE</t>
        </is>
      </c>
      <c r="J692" t="inlineStr">
        <is>
          <t>VIDA-DE-IMIGRANTE</t>
        </is>
      </c>
      <c r="K692" t="n">
        <v>1</v>
      </c>
      <c r="L692" t="n">
        <v>1</v>
      </c>
      <c r="M692" t="n">
        <v>0</v>
      </c>
      <c r="N692" t="n">
        <v>0</v>
      </c>
      <c r="O692" t="n">
        <v>1</v>
      </c>
      <c r="P692">
        <f>HYPERLINK("https://www.acritica.com/opiniao/venezuelano-se-forma-com-excelencia-em-analise-e-desenvolvimento-de-sistemas-1.215669", "URL")</f>
        <v/>
      </c>
      <c r="Q692">
        <f>HYPERLINK("https://raw.githubusercontent.com/marcosmapl/dataset_imigrantes/main/materias_filtered/a_critica/venezuelanos/2021/02_mar/html/1.215669_504.html", "HTML")</f>
        <v/>
      </c>
      <c r="R692">
        <f>HYPERLINK("https://raw.githubusercontent.com/marcosmapl/dataset_imigrantes/main/materias_filtered/a_critica/venezuelanos/2021/02_mar/txt/1.215669_504.txt", "TXT")</f>
        <v/>
      </c>
    </row>
    <row r="693">
      <c r="A693" s="1" t="n">
        <v>691</v>
      </c>
      <c r="B693" t="n">
        <v>2021</v>
      </c>
      <c r="C693" s="2" t="n">
        <v>44276.06002420139</v>
      </c>
      <c r="D693" t="inlineStr">
        <is>
          <t>G1</t>
        </is>
      </c>
      <c r="E693" t="inlineStr">
        <is>
          <t>VENEZUELANOS</t>
        </is>
      </c>
      <c r="F693" t="inlineStr">
        <is>
          <t>JORNAL NACIONAL</t>
        </is>
      </c>
      <c r="G693" t="inlineStr">
        <is>
          <t>JORNAL NACIONAL</t>
        </is>
      </c>
      <c r="H693" t="inlineStr">
        <is>
          <t>MARINHA PRENDE 15 VENEZUELANOS E APREENDE BARCO QUE PESCAVA ILEGALMENTE NO AMAPÁ</t>
        </is>
      </c>
      <c r="I693" t="inlineStr">
        <is>
          <t>A DECISÃO FOI UMA OPÇÃO DOS JAPONESES E FOI ACATADA PELO COI E PELO COMITÊ PARALÍMPICO. MAIS DE 600 MIL INGRESSOS JÁ VENDIDOS TERÃO QUE SER REEMBOLSADOS.</t>
        </is>
      </c>
      <c r="J693" t="inlineStr"/>
      <c r="K693" t="n">
        <v>0</v>
      </c>
      <c r="L693" t="n">
        <v>1</v>
      </c>
      <c r="M693" t="n">
        <v>1</v>
      </c>
      <c r="N693" t="n">
        <v>0</v>
      </c>
      <c r="O693" t="n">
        <v>0</v>
      </c>
      <c r="P693">
        <f>HYPERLINK("https://g1.globo.com/jornal-nacional/noticia/2021/03/20/marinha-prende-15-venezuelanos-e-apreende-barco-que-pescava-ilegalmente-no-amapa.ghtml", "URL")</f>
        <v/>
      </c>
      <c r="Q693">
        <f>HYPERLINK("https://raw.githubusercontent.com/marcosmapl/dataset_imigrantes/main/materias_filtered/g1/venezuelanos/2021/02_mar/html/g1_83dc0ff4-230c-11ed-b24f-6dbe51e79fca_2629.html", "HTML")</f>
        <v/>
      </c>
      <c r="R693">
        <f>HYPERLINK("https://raw.githubusercontent.com/marcosmapl/dataset_imigrantes/main/materias_filtered/g1/venezuelanos/2021/02_mar/txt/g1_83dc0ff4-230c-11ed-b24f-6dbe51e79fca_2629.txt", "TXT")</f>
        <v/>
      </c>
    </row>
    <row r="694">
      <c r="A694" s="1" t="n">
        <v>692</v>
      </c>
      <c r="B694" t="n">
        <v>2021</v>
      </c>
      <c r="C694" s="2" t="n">
        <v>44275.61852730324</v>
      </c>
      <c r="D694" t="inlineStr">
        <is>
          <t>G1</t>
        </is>
      </c>
      <c r="E694" t="inlineStr">
        <is>
          <t>VENEZUELANOS</t>
        </is>
      </c>
      <c r="F694" t="inlineStr">
        <is>
          <t>RORAIMA</t>
        </is>
      </c>
      <c r="G694" t="inlineStr">
        <is>
          <t>FABRÍCIO ARAÚJO, G1 RR — BOA VISTA</t>
        </is>
      </c>
      <c r="H694" t="inlineStr">
        <is>
          <t>CÁRITAS E OUTRAS 130 INSTITUIÇÕES REPUDIAM INVASÃO POLICIAL EM CASA QUE ABRIGA VENEZUELANOS EM RR</t>
        </is>
      </c>
      <c r="I694" t="inlineStr">
        <is>
          <t>A DEFENSORIA PÚBLICA DA UNIÃO E O MINISTÉRIO PÚBLICO FEDERAL AFIRMAM QUE OS AGENTES NÃO TINHAM MANDADO E INVADIRAM ABRIGO. NO LOCAL, ESTAVAM 31 MULHERES E 40 CRIANÇAS E ADOLESCENTES.</t>
        </is>
      </c>
      <c r="J694" t="inlineStr"/>
      <c r="K694" t="n">
        <v>0</v>
      </c>
      <c r="L694" t="n">
        <v>1</v>
      </c>
      <c r="M694" t="n">
        <v>1</v>
      </c>
      <c r="N694" t="n">
        <v>0</v>
      </c>
      <c r="O694" t="n">
        <v>4</v>
      </c>
      <c r="P694">
        <f>HYPERLINK("https://g1.globo.com/rr/roraima/noticia/2021/03/20/caritas-e-outras-80-instituicoes-repudiam-invasao-policial-em-casa-que-abriga-venezuelanos-em-rr.ghtml", "URL")</f>
        <v/>
      </c>
      <c r="Q694">
        <f>HYPERLINK("https://raw.githubusercontent.com/marcosmapl/dataset_imigrantes/main/materias_filtered/g1/venezuelanos/2021/02_mar/html/g1_7bd0bc86-2318-11ed-b24f-6dbe51e79fca_3263.html", "HTML")</f>
        <v/>
      </c>
      <c r="R694">
        <f>HYPERLINK("https://raw.githubusercontent.com/marcosmapl/dataset_imigrantes/main/materias_filtered/g1/venezuelanos/2021/02_mar/txt/g1_7bd0bc86-2318-11ed-b24f-6dbe51e79fca_3263.txt", "TXT")</f>
        <v/>
      </c>
    </row>
    <row r="695">
      <c r="A695" s="1" t="n">
        <v>693</v>
      </c>
      <c r="B695" t="n">
        <v>2021</v>
      </c>
      <c r="C695" s="2" t="n">
        <v>44275.56723850694</v>
      </c>
      <c r="D695" t="inlineStr">
        <is>
          <t>G1</t>
        </is>
      </c>
      <c r="E695" t="inlineStr">
        <is>
          <t>HAITIANOS</t>
        </is>
      </c>
      <c r="F695" t="inlineStr">
        <is>
          <t>SOROCABA E JUNDIAÍ</t>
        </is>
      </c>
      <c r="G695" t="inlineStr">
        <is>
          <t>GABRIELA ALMEIDA*, G1 SOROCABA E JUNDIAÍ</t>
        </is>
      </c>
      <c r="H695" t="inlineStr">
        <is>
          <t>MENINO DE 6 ANOS TROCA PRESENTE DE ANIVERSÁRIO POR ALIMENTOS PARA MORADORES DE RUA: 'SONHO DELE É AJUDAR', DIZ MÃE</t>
        </is>
      </c>
      <c r="I695" t="inlineStr">
        <is>
          <t>JONATHAN LUMA LORGEANT É MORADOR DE VÁRZEA PAULISTA (SP) E COM A AJUDA DA FAMÍLIA, QUE É HAITIANA, DISTRIBUIU APROXIMADAMENTE 200 KITS DE CACHORRO-QUENTE PARA MORADORES DE RUA.</t>
        </is>
      </c>
      <c r="J695" t="inlineStr"/>
      <c r="K695" t="n">
        <v>0</v>
      </c>
      <c r="L695" t="n">
        <v>2</v>
      </c>
      <c r="M695" t="n">
        <v>0</v>
      </c>
      <c r="N695" t="n">
        <v>0</v>
      </c>
      <c r="O695" t="n">
        <v>1</v>
      </c>
      <c r="P695">
        <f>HYPERLINK("https://g1.globo.com/sp/sorocaba-jundiai/noticia/2021/03/20/menino-de-6-anos-troca-presente-de-aniversario-por-alimentos-para-moradores-de-rua-sonho-dele-e-ajudar-diz-mae.ghtml", "URL")</f>
        <v/>
      </c>
      <c r="Q695">
        <f>HYPERLINK("https://raw.githubusercontent.com/marcosmapl/dataset_imigrantes/main/materias_filtered/g1/haitianos/2021/02_mar/html/g1_79aea908-230a-11ed-b24f-6dbe51e79fca_2507.html", "HTML")</f>
        <v/>
      </c>
      <c r="R695">
        <f>HYPERLINK("https://raw.githubusercontent.com/marcosmapl/dataset_imigrantes/main/materias_filtered/g1/haitianos/2021/02_mar/txt/g1_79aea908-230a-11ed-b24f-6dbe51e79fca_2507.txt", "TXT")</f>
        <v/>
      </c>
    </row>
    <row r="696">
      <c r="A696" s="1" t="n">
        <v>694</v>
      </c>
      <c r="B696" t="n">
        <v>2021</v>
      </c>
      <c r="C696" s="2" t="n">
        <v>44275.55610836806</v>
      </c>
      <c r="D696" t="inlineStr">
        <is>
          <t>G1</t>
        </is>
      </c>
      <c r="E696" t="inlineStr">
        <is>
          <t>VENEZUELANOS</t>
        </is>
      </c>
      <c r="F696" t="inlineStr">
        <is>
          <t>AMAPÁ</t>
        </is>
      </c>
      <c r="G696" t="inlineStr">
        <is>
          <t>NÚBIA PACHECO, G1 AP — MACAPÁ</t>
        </is>
      </c>
      <c r="H696" t="inlineStr">
        <is>
          <t>MARINHA APREENDE BARCO COM 15 VENEZUELANOS E 3 TONELADAS DE PESCADO ILEGAL NA COSTA DO AMAPÁ</t>
        </is>
      </c>
      <c r="I696" t="inlineStr">
        <is>
          <t>GRUPO COMETIA PESCA ILEGAL EM ÁGUAS BRASILEIRAS. EMBARCAÇÃO APORTOU EM SANTANA NA MANHÃ DESTE SÁBADO (20).</t>
        </is>
      </c>
      <c r="J696" t="inlineStr"/>
      <c r="K696" t="n">
        <v>0</v>
      </c>
      <c r="L696" t="n">
        <v>3</v>
      </c>
      <c r="M696" t="n">
        <v>2</v>
      </c>
      <c r="N696" t="n">
        <v>0</v>
      </c>
      <c r="O696" t="n">
        <v>5</v>
      </c>
      <c r="P696">
        <f>HYPERLINK("https://g1.globo.com/ap/amapa/noticia/2021/03/20/marinha-apreende-barco-com-15-venezuelanos-e-3-toneladas-de-pescado-ilegal-na-costa-do-amapa.ghtml", "URL")</f>
        <v/>
      </c>
      <c r="Q696">
        <f>HYPERLINK("https://raw.githubusercontent.com/marcosmapl/dataset_imigrantes/main/materias_filtered/g1/venezuelanos/2021/02_mar/html/g1_17806378-2320-11ed-b24f-6dbe51e79fca_3662.html", "HTML")</f>
        <v/>
      </c>
      <c r="R696">
        <f>HYPERLINK("https://raw.githubusercontent.com/marcosmapl/dataset_imigrantes/main/materias_filtered/g1/venezuelanos/2021/02_mar/txt/g1_17806378-2320-11ed-b24f-6dbe51e79fca_3662.txt", "TXT")</f>
        <v/>
      </c>
    </row>
    <row r="697">
      <c r="A697" s="1" t="n">
        <v>695</v>
      </c>
      <c r="B697" t="n">
        <v>2021</v>
      </c>
      <c r="C697" s="2" t="n">
        <v>44273.93339158565</v>
      </c>
      <c r="D697" t="inlineStr">
        <is>
          <t>G1</t>
        </is>
      </c>
      <c r="E697" t="inlineStr">
        <is>
          <t>VENEZUELANOS</t>
        </is>
      </c>
      <c r="F697" t="inlineStr">
        <is>
          <t>RORAIMA</t>
        </is>
      </c>
      <c r="G697" t="inlineStr">
        <is>
          <t>VANESSA FERNANDES E VALÉRIA OLIVEIRA, G1 RR — BOA VISTA</t>
        </is>
      </c>
      <c r="H697" t="inlineStr">
        <is>
          <t>PF INVADE ABRIGO COM MAIS DE 50 MULHERES E CRIANÇAS VENEZUELANAS EM RR E AÇÃO COBRA INDENIZAÇÃO POR DANOS MORAIS</t>
        </is>
      </c>
      <c r="I697" t="inlineStr">
        <is>
          <t>AÇÃO DA DEFENSORIA PÚBLICA DA UNIÃO E O MINISTÉRIO PÚBLICO FEDERAL AFIRMA QUE AGENTES NÃO TINHAM MANDADO E INVADIRAM ABRIGO "COM ARMAS E CAPUZES". PEDIDO À JUSTIÇA PEDE QUE A UNIÃO SEJA CONDENADA A PAGAR R$ 25 MILHÕES DE INDENIZAÇÃO E QUE A PF SEJA IMPEDIDA DE IMIGRANTES EM SITUAÇÃO DE VULNERABILIDADE.</t>
        </is>
      </c>
      <c r="J697" t="inlineStr"/>
      <c r="K697" t="n">
        <v>0</v>
      </c>
      <c r="L697" t="n">
        <v>1</v>
      </c>
      <c r="M697" t="n">
        <v>0</v>
      </c>
      <c r="N697" t="n">
        <v>0</v>
      </c>
      <c r="O697" t="n">
        <v>1</v>
      </c>
      <c r="P697">
        <f>HYPERLINK("https://g1.globo.com/rr/roraima/noticia/2021/03/18/pf-tenta-deportar-mais-de-50-mulheres-e-criancas-venezuelanas-de-abrigo-em-rr-e-acao-cobra-indenizacao-por-danos-morais.ghtml", "URL")</f>
        <v/>
      </c>
      <c r="Q697">
        <f>HYPERLINK("https://raw.githubusercontent.com/marcosmapl/dataset_imigrantes/main/materias_filtered/g1/venezuelanos/2021/02_mar/html/g1_20ecca36-2317-11ed-b24f-6dbe51e79fca_3187.html", "HTML")</f>
        <v/>
      </c>
      <c r="R697">
        <f>HYPERLINK("https://raw.githubusercontent.com/marcosmapl/dataset_imigrantes/main/materias_filtered/g1/venezuelanos/2021/02_mar/txt/g1_20ecca36-2317-11ed-b24f-6dbe51e79fca_3187.txt", "TXT")</f>
        <v/>
      </c>
    </row>
    <row r="698">
      <c r="A698" s="1" t="n">
        <v>696</v>
      </c>
      <c r="B698" t="n">
        <v>2021</v>
      </c>
      <c r="C698" s="2" t="n">
        <v>44273.92750119213</v>
      </c>
      <c r="D698" t="inlineStr">
        <is>
          <t>G1</t>
        </is>
      </c>
      <c r="E698" t="inlineStr">
        <is>
          <t>VENEZUELANOS</t>
        </is>
      </c>
      <c r="F698" t="inlineStr">
        <is>
          <t>SANTARÉM E REGIÃO</t>
        </is>
      </c>
      <c r="G698" t="inlineStr">
        <is>
          <t>G1 SANTARÉM — PA</t>
        </is>
      </c>
      <c r="H698" t="inlineStr">
        <is>
          <t>DIREITOS DA POPULAÇÃO INDÍGENA IMIGRANTE VENEZUELANA SÃO DISCUTIDOS EM CAPACITAÇÃO VIRTUAL</t>
        </is>
      </c>
      <c r="I698" t="inlineStr">
        <is>
          <t>SEMTRAS E CAAF DE SANTARÉM PARTICIPAÇÃO DO ENCONTRO. AMPLIAÇÃO DOS CONHECIMENTOS E FORTALECIMENTO DE CAPACIDADES TÉCNICAS LOCAIS PARA ELABORAÇÃO DE POLÍTICAS PÚBLICAS TAMBÉM ENTRARAM EM PAUTA.</t>
        </is>
      </c>
      <c r="J698" t="inlineStr"/>
      <c r="K698" t="n">
        <v>0</v>
      </c>
      <c r="L698" t="n">
        <v>1</v>
      </c>
      <c r="M698" t="n">
        <v>0</v>
      </c>
      <c r="N698" t="n">
        <v>0</v>
      </c>
      <c r="O698" t="n">
        <v>0</v>
      </c>
      <c r="P698">
        <f>HYPERLINK("https://g1.globo.com/pa/santarem-regiao/noticia/2021/03/18/direitos-da-populacao-indigena-imigrante-venezuelana-sao-discutidos-em-capacitacao-virtual.ghtml", "URL")</f>
        <v/>
      </c>
      <c r="Q698">
        <f>HYPERLINK("https://raw.githubusercontent.com/marcosmapl/dataset_imigrantes/main/materias_filtered/g1/venezuelanos/2021/02_mar/html/g1_2b3f895e-2314-11ed-b24f-6dbe51e79fca_3049.html", "HTML")</f>
        <v/>
      </c>
      <c r="R698">
        <f>HYPERLINK("https://raw.githubusercontent.com/marcosmapl/dataset_imigrantes/main/materias_filtered/g1/venezuelanos/2021/02_mar/txt/g1_2b3f895e-2314-11ed-b24f-6dbe51e79fca_3049.txt", "TXT")</f>
        <v/>
      </c>
    </row>
    <row r="699">
      <c r="A699" s="1" t="n">
        <v>697</v>
      </c>
      <c r="B699" t="n">
        <v>2021</v>
      </c>
      <c r="C699" s="2" t="n">
        <v>44273.0182472801</v>
      </c>
      <c r="D699" t="inlineStr">
        <is>
          <t>G1</t>
        </is>
      </c>
      <c r="E699" t="inlineStr">
        <is>
          <t>VENEZUELANOS</t>
        </is>
      </c>
      <c r="F699" t="inlineStr">
        <is>
          <t>TOCANTINS</t>
        </is>
      </c>
      <c r="G699" t="inlineStr">
        <is>
          <t>G1 TOCANTINS</t>
        </is>
      </c>
      <c r="H699" t="inlineStr">
        <is>
          <t>INDÍGENAS VENEZUELANOS DENUNCIAM ATAQUES XENOFÓBICOS EM PALMAS E DEFENSORIA COBRA ASSISTÊNCIA DA PREFEITURA</t>
        </is>
      </c>
      <c r="I699" t="inlineStr">
        <is>
          <t>NÚCLEO DE DIREITOS HUMANOS DA INSTITUIÇÃO DIZ QUE GRUPO INFORMOU TER RECEBIDO OFENSAS RACISTAS EM SINAIS DE TRÂNSITO ONDE PEDEM DINHEIRO PARA SOBREVIVER.</t>
        </is>
      </c>
      <c r="J699" t="inlineStr"/>
      <c r="K699" t="n">
        <v>0</v>
      </c>
      <c r="L699" t="n">
        <v>0</v>
      </c>
      <c r="M699" t="n">
        <v>0</v>
      </c>
      <c r="N699" t="n">
        <v>0</v>
      </c>
      <c r="O699" t="n">
        <v>1</v>
      </c>
      <c r="P699">
        <f>HYPERLINK("https://g1.globo.com/to/tocantins/noticia/2021/03/17/indigenas-venezuelanos-denunciam-ataques-xenofobicos-em-palmas-e-defensoria-cobra-assistencia-da-prefeitura.ghtml", "URL")</f>
        <v/>
      </c>
      <c r="Q699">
        <f>HYPERLINK("https://raw.githubusercontent.com/marcosmapl/dataset_imigrantes/main/materias_filtered/g1/venezuelanos/2021/02_mar/html/g1_7e59bb6a-2313-11ed-b24f-6dbe51e79fca_3012.html", "HTML")</f>
        <v/>
      </c>
      <c r="R699">
        <f>HYPERLINK("https://raw.githubusercontent.com/marcosmapl/dataset_imigrantes/main/materias_filtered/g1/venezuelanos/2021/02_mar/txt/g1_7e59bb6a-2313-11ed-b24f-6dbe51e79fca_3012.txt", "TXT")</f>
        <v/>
      </c>
    </row>
    <row r="700">
      <c r="A700" s="1" t="n">
        <v>698</v>
      </c>
      <c r="B700" t="n">
        <v>2021</v>
      </c>
      <c r="C700" s="2" t="n">
        <v>44272.49722222222</v>
      </c>
      <c r="D700" t="inlineStr">
        <is>
          <t>A CRITICA</t>
        </is>
      </c>
      <c r="E700" t="inlineStr">
        <is>
          <t>VENEZUELANOS</t>
        </is>
      </c>
      <c r="F700" t="inlineStr">
        <is>
          <t>ESPORTES</t>
        </is>
      </c>
      <c r="G700" t="inlineStr">
        <is>
          <t>DANIEL PRESTES</t>
        </is>
      </c>
      <c r="H700" t="inlineStr">
        <is>
          <t>ANTES DE ENCARAR O AMAZONAS, ALAN GEORGE ANALISA TRABALHO: ‘COMEÇANDO A CHEGAR EM 50%’</t>
        </is>
      </c>
      <c r="I700" t="inlineStr">
        <is>
          <t>TÉCNICO DO LEÃO DA VILA MUNICIPAL ESPERA JOGO DIFÍCIL NESTA QUARTA-FEIRA, PELA TERCEIRA RODADA DO BAREZÃO 2021</t>
        </is>
      </c>
      <c r="J700" t="inlineStr"/>
      <c r="K700" t="n">
        <v>0</v>
      </c>
      <c r="L700" t="n">
        <v>1</v>
      </c>
      <c r="M700" t="n">
        <v>0</v>
      </c>
      <c r="N700" t="n">
        <v>0</v>
      </c>
      <c r="O700" t="n">
        <v>0</v>
      </c>
      <c r="P700">
        <f>HYPERLINK("https://www.acritica.com/esportes/antes-de-encarar-o-amazonas-alan-george-analisa-trabalho-comecando-a-chegar-em-50-1.21390", "URL")</f>
        <v/>
      </c>
      <c r="Q700">
        <f>HYPERLINK("https://raw.githubusercontent.com/marcosmapl/dataset_imigrantes/main/materias_filtered/a_critica/venezuelanos/2021/02_mar/html/1.21390_1193.html", "HTML")</f>
        <v/>
      </c>
      <c r="R700">
        <f>HYPERLINK("https://raw.githubusercontent.com/marcosmapl/dataset_imigrantes/main/materias_filtered/a_critica/venezuelanos/2021/02_mar/txt/1.21390_1193.txt", "TXT")</f>
        <v/>
      </c>
    </row>
    <row r="701">
      <c r="A701" s="1" t="n">
        <v>699</v>
      </c>
      <c r="B701" t="n">
        <v>2021</v>
      </c>
      <c r="C701" s="2" t="n">
        <v>44268.95591435185</v>
      </c>
      <c r="D701" t="inlineStr">
        <is>
          <t>A CRITICA</t>
        </is>
      </c>
      <c r="E701" t="inlineStr">
        <is>
          <t>VENEZUELANOS</t>
        </is>
      </c>
      <c r="F701" t="inlineStr">
        <is>
          <t>MANAUS</t>
        </is>
      </c>
      <c r="G701" t="inlineStr">
        <is>
          <t>JOANA QUEIROZ</t>
        </is>
      </c>
      <c r="H701" t="inlineStr">
        <is>
          <t>DROGAS AVALIADAS EM R$ 36 MILHÕES SÃO APREENDIDAS PRÓXIMO À COARI</t>
        </is>
      </c>
      <c r="I701" t="inlineStr">
        <is>
          <t>DE ACORDO COM AS INVESTIGAÇÕES O ENTORPECENTE PERTENCE AO EMPRESÁRIO E TRAFICANTE DE DROGA, JOSÉ MARIA FIGUEIRÓ, O “REI DO PÓ” QUE É PRESO FUGITIVO DA JUSTIÇA</t>
        </is>
      </c>
      <c r="J701" t="inlineStr"/>
      <c r="K701" t="n">
        <v>0</v>
      </c>
      <c r="L701" t="n">
        <v>1</v>
      </c>
      <c r="M701" t="n">
        <v>0</v>
      </c>
      <c r="N701" t="n">
        <v>0</v>
      </c>
      <c r="O701" t="n">
        <v>0</v>
      </c>
      <c r="P701">
        <f>HYPERLINK("https://www.acritica.com/manaus/drogas-avaliadas-em-r-36-milh-es-s-o-apreendidas-proximo-a-coari-1.21959", "URL")</f>
        <v/>
      </c>
      <c r="Q701">
        <f>HYPERLINK("https://raw.githubusercontent.com/marcosmapl/dataset_imigrantes/main/materias_filtered/a_critica/venezuelanos/2021/02_mar/html/1.21959_1016.html", "HTML")</f>
        <v/>
      </c>
      <c r="R701">
        <f>HYPERLINK("https://raw.githubusercontent.com/marcosmapl/dataset_imigrantes/main/materias_filtered/a_critica/venezuelanos/2021/02_mar/txt/1.21959_1016.txt", "TXT")</f>
        <v/>
      </c>
    </row>
    <row r="702">
      <c r="A702" s="1" t="n">
        <v>700</v>
      </c>
      <c r="B702" t="n">
        <v>2021</v>
      </c>
      <c r="C702" s="2" t="n">
        <v>44267.7371875</v>
      </c>
      <c r="D702" t="inlineStr">
        <is>
          <t>A CRITICA</t>
        </is>
      </c>
      <c r="E702" t="inlineStr">
        <is>
          <t>VENEZUELANOS</t>
        </is>
      </c>
      <c r="F702" t="inlineStr"/>
      <c r="G702" t="inlineStr">
        <is>
          <t>PORTAL A CRÍTICA</t>
        </is>
      </c>
      <c r="H702" t="inlineStr">
        <is>
          <t>ALOJAMENTO DE TRÂNSITO DE MANAUS ALCANÇA MARCA DE 10 MIL REFUGIADOS INTERIORIZADOS</t>
        </is>
      </c>
      <c r="I702" t="inlineStr">
        <is>
          <t>ESPAÇO AUXILIA PESSOAS REFUGIADAS E MIGRANTES QUE AGUARDAM POR VOOS DE INTERIORIZAÇÃO PARA OUTROS ESTADOS DO PAÍS</t>
        </is>
      </c>
      <c r="J702" t="inlineStr"/>
      <c r="K702" t="n">
        <v>0</v>
      </c>
      <c r="L702" t="n">
        <v>1</v>
      </c>
      <c r="M702" t="n">
        <v>0</v>
      </c>
      <c r="N702" t="n">
        <v>0</v>
      </c>
      <c r="O702" t="n">
        <v>0</v>
      </c>
      <c r="P702">
        <f>HYPERLINK("https://www.acritica.com/alojamento-de-transito-de-manaus-alcanca-marca-de-10-mil-refugiados-interiorizados-1.22141", "URL")</f>
        <v/>
      </c>
      <c r="Q702">
        <f>HYPERLINK("https://raw.githubusercontent.com/marcosmapl/dataset_imigrantes/main/materias_filtered/a_critica/venezuelanos/2021/02_mar/html/1.22141_22.html", "HTML")</f>
        <v/>
      </c>
      <c r="R702">
        <f>HYPERLINK("https://raw.githubusercontent.com/marcosmapl/dataset_imigrantes/main/materias_filtered/a_critica/venezuelanos/2021/02_mar/txt/1.22141_22.txt", "TXT")</f>
        <v/>
      </c>
    </row>
    <row r="703">
      <c r="A703" s="1" t="n">
        <v>701</v>
      </c>
      <c r="B703" t="n">
        <v>2021</v>
      </c>
      <c r="C703" s="2" t="n">
        <v>44264.8935259838</v>
      </c>
      <c r="D703" t="inlineStr">
        <is>
          <t>G1</t>
        </is>
      </c>
      <c r="E703" t="inlineStr">
        <is>
          <t>HAITIANOS</t>
        </is>
      </c>
      <c r="F703" t="inlineStr">
        <is>
          <t>ACRE</t>
        </is>
      </c>
      <c r="G703" t="inlineStr">
        <is>
          <t>ALCINETE GADELHA E JANINE BRASIL, G1 AC — RIO BRANCO</t>
        </is>
      </c>
      <c r="H703" t="inlineStr">
        <is>
          <t>IMPEDIDOS DE DEIXAR BRASIL, IMIGRANTES VIVEM ANGÚSTIA NA FRONTEIRA DO AC COM PERU: 'DEUS NUNCA DEIXA UM FILHO SOZINHO'</t>
        </is>
      </c>
      <c r="I703" t="inlineStr">
        <is>
          <t>IMIGRANTES, NA MAIORIA HAITIANOS, ESTÃO EM ASSIS BRASIL, NO INTERIOR DO ACRE, NA TENTATIVA DE DEIXAR O PAÍS, MAS, FORAM IMPEDIDOS DE ENTRAR NA CIDADE DE IÑAPARI, NO PERU. ELES FICARAM MAIS DE 20 DIAS NA PONTE DA INTEGRAÇÃO, DE ONDE SAÍRAM NA TARDE DESSA SEGUNDA-FEIRA (8).</t>
        </is>
      </c>
      <c r="J703" t="inlineStr"/>
      <c r="K703" t="n">
        <v>0</v>
      </c>
      <c r="L703" t="n">
        <v>1</v>
      </c>
      <c r="M703" t="n">
        <v>0</v>
      </c>
      <c r="N703" t="n">
        <v>0</v>
      </c>
      <c r="O703" t="n">
        <v>9</v>
      </c>
      <c r="P703">
        <f>HYPERLINK("https://g1.globo.com/ac/acre/noticia/2021/03/09/impedidos-de-deixar-brasil-imigrantes-vivem-angustia-na-fronteira-do-ac-com-peru-deus-nunca-deixa-um-filho-sozinho.ghtml", "URL")</f>
        <v/>
      </c>
      <c r="Q703">
        <f>HYPERLINK("https://raw.githubusercontent.com/marcosmapl/dataset_imigrantes/main/materias_filtered/g1/haitianos/2021/02_mar/html/g1_a021c3f2-22f8-11ed-b24f-6dbe51e79fca_2147.html", "HTML")</f>
        <v/>
      </c>
      <c r="R703">
        <f>HYPERLINK("https://raw.githubusercontent.com/marcosmapl/dataset_imigrantes/main/materias_filtered/g1/haitianos/2021/02_mar/txt/g1_a021c3f2-22f8-11ed-b24f-6dbe51e79fca_2147.txt", "TXT")</f>
        <v/>
      </c>
    </row>
    <row r="704">
      <c r="A704" s="1" t="n">
        <v>702</v>
      </c>
      <c r="B704" t="n">
        <v>2021</v>
      </c>
      <c r="C704" s="2" t="n">
        <v>44264.75816883102</v>
      </c>
      <c r="D704" t="inlineStr">
        <is>
          <t>G1</t>
        </is>
      </c>
      <c r="E704" t="inlineStr">
        <is>
          <t>VENEZUELANOS</t>
        </is>
      </c>
      <c r="F704" t="inlineStr">
        <is>
          <t>TOCANTINS</t>
        </is>
      </c>
      <c r="G704" t="inlineStr"/>
      <c r="H704" t="inlineStr">
        <is>
          <t>SEM DOCUMENTAÇÃO, INDÍGENAS VENEZUELANOS NÃO CONSEGUEM TRABALHO E SÃO DESPEJADOS DE CASA EM ARAGUAÍNA</t>
        </is>
      </c>
      <c r="I704" t="inlineStr">
        <is>
          <t>PELO MENOS 38 PESSOAS ESTARIAM MORANDO NO LOCAL; 15 DELAS SÃO CRIANÇAS. DEFENSORIA PÚBLICA TENTA ORGANIZAR DOCUMENTAÇÃO PARA QUE FAMÍLIAS TENHAM ACESSO AOS SERVIÇOS PÚBLICOS.</t>
        </is>
      </c>
      <c r="J704" t="inlineStr"/>
      <c r="K704" t="n">
        <v>0</v>
      </c>
      <c r="L704" t="n">
        <v>2</v>
      </c>
      <c r="M704" t="n">
        <v>1</v>
      </c>
      <c r="N704" t="n">
        <v>0</v>
      </c>
      <c r="O704" t="n">
        <v>2</v>
      </c>
      <c r="P704">
        <f>HYPERLINK("https://g1.globo.com/to/tocantins/noticia/2021/03/09/sem-documentacao-indigenas-venezuelanos-nao-conseguem-trabalho-e-sao-despejados-de-casa-em-araguaina.ghtml", "URL")</f>
        <v/>
      </c>
      <c r="Q704">
        <f>HYPERLINK("https://raw.githubusercontent.com/marcosmapl/dataset_imigrantes/main/materias_filtered/g1/venezuelanos/2021/02_mar/html/g1_30b2ccf8-230e-11ed-b24f-6dbe51e79fca_2727.html", "HTML")</f>
        <v/>
      </c>
      <c r="R704">
        <f>HYPERLINK("https://raw.githubusercontent.com/marcosmapl/dataset_imigrantes/main/materias_filtered/g1/venezuelanos/2021/02_mar/txt/g1_30b2ccf8-230e-11ed-b24f-6dbe51e79fca_2727.txt", "TXT")</f>
        <v/>
      </c>
    </row>
    <row r="705">
      <c r="A705" s="1" t="n">
        <v>703</v>
      </c>
      <c r="B705" t="n">
        <v>2021</v>
      </c>
      <c r="C705" s="2" t="n">
        <v>44264.03176704861</v>
      </c>
      <c r="D705" t="inlineStr">
        <is>
          <t>G1</t>
        </is>
      </c>
      <c r="E705" t="inlineStr">
        <is>
          <t>VENEZUELANOS</t>
        </is>
      </c>
      <c r="F705" t="inlineStr">
        <is>
          <t>MUNDO</t>
        </is>
      </c>
      <c r="G705" t="inlineStr">
        <is>
          <t>REUTERS</t>
        </is>
      </c>
      <c r="H705" t="inlineStr">
        <is>
          <t>BIDEN CONCEDE PROTEÇÃO TEMPORÁRIA A VENEZUELANOS QUE ESTÃO NOS EUA</t>
        </is>
      </c>
      <c r="I705" t="inlineStr">
        <is>
          <t>AQUELES QUE COMPROVAREM QUE ESTÃO MORANDO NO PAÍS DE FORMA CONTÍNUA VÃO RECEBER UMA EXTENSÃO DE 18 MESES DE PERMANÊNCIA E TAMBÉM PODERÃO ADQUIRIR AUTORIZAÇÕES PARA TRABALHAR. DECISÃO PODE AJUDAR CERCA DE 320 MIL PESSOAS E É CUMPRIMENTO DE UMA PROMESSA DE CAMPANHA.</t>
        </is>
      </c>
      <c r="J705" t="inlineStr"/>
      <c r="K705" t="n">
        <v>0</v>
      </c>
      <c r="L705" t="n">
        <v>4</v>
      </c>
      <c r="M705" t="n">
        <v>0</v>
      </c>
      <c r="N705" t="n">
        <v>0</v>
      </c>
      <c r="O705" t="n">
        <v>5</v>
      </c>
      <c r="P705">
        <f>HYPERLINK("https://g1.globo.com/mundo/noticia/2021/03/08/biden-concede-protecao-temporaria-a-venezuelanos-que-estao-nos-eua.ghtml", "URL")</f>
        <v/>
      </c>
      <c r="Q705">
        <f>HYPERLINK("https://raw.githubusercontent.com/marcosmapl/dataset_imigrantes/main/materias_filtered/g1/venezuelanos/2021/02_mar/html/g1_dee20b84-2310-11ed-b24f-6dbe51e79fca_2881.html", "HTML")</f>
        <v/>
      </c>
      <c r="R705">
        <f>HYPERLINK("https://raw.githubusercontent.com/marcosmapl/dataset_imigrantes/main/materias_filtered/g1/venezuelanos/2021/02_mar/txt/g1_dee20b84-2310-11ed-b24f-6dbe51e79fca_2881.txt", "TXT")</f>
        <v/>
      </c>
    </row>
    <row r="706">
      <c r="A706" s="1" t="n">
        <v>704</v>
      </c>
      <c r="B706" t="n">
        <v>2021</v>
      </c>
      <c r="C706" s="2" t="n">
        <v>44263.90188237269</v>
      </c>
      <c r="D706" t="inlineStr">
        <is>
          <t>G1</t>
        </is>
      </c>
      <c r="E706" t="inlineStr">
        <is>
          <t>HAITIANOS</t>
        </is>
      </c>
      <c r="F706" t="inlineStr">
        <is>
          <t>ACRE</t>
        </is>
      </c>
      <c r="G706" t="inlineStr">
        <is>
          <t>ALCINETE GADELHA, G1 AC — RIO BRANCO</t>
        </is>
      </c>
      <c r="H706" t="inlineStr">
        <is>
          <t>DE FORMA PACÍFICA, IMIGRANTES ACAMPADOS EM PONTE QUE LIGA ACRE AO PERU DEIXAM LOCAL APÓS DETERMINAÇÃO DA JUSTIÇA FEDERAL</t>
        </is>
      </c>
      <c r="I706" t="inlineStr">
        <is>
          <t>ESTRANGEIROS QUE ESTÃO NA CIDADE TENTAM SAIR DO BRASIL PARA O PERU USANDO O ACRE COMO ROTA. PONTE JÁ CHEGOU A SER OCUPADA POR PELO MENOS 300 IMIGRANTES, NA MAIORIA HAITIANOS, NO DIA 14 DE FEVEREIRO.</t>
        </is>
      </c>
      <c r="J706" t="inlineStr"/>
      <c r="K706" t="n">
        <v>0</v>
      </c>
      <c r="L706" t="n">
        <v>2</v>
      </c>
      <c r="M706" t="n">
        <v>0</v>
      </c>
      <c r="N706" t="n">
        <v>0</v>
      </c>
      <c r="O706" t="n">
        <v>11</v>
      </c>
      <c r="P706">
        <f>HYPERLINK("https://g1.globo.com/ac/acre/noticia/2021/03/08/de-forma-pacifica-imigrantes-acampados-em-ponte-que-liga-acre-ao-peru-deixam-local-apos-determinacao-da-justica-federal.ghtml", "URL")</f>
        <v/>
      </c>
      <c r="Q706">
        <f>HYPERLINK("https://raw.githubusercontent.com/marcosmapl/dataset_imigrantes/main/materias_filtered/g1/haitianos/2021/02_mar/html/g1_fbf7fb44-22f6-11ed-b24f-6dbe51e79fca_2052.html", "HTML")</f>
        <v/>
      </c>
      <c r="R706">
        <f>HYPERLINK("https://raw.githubusercontent.com/marcosmapl/dataset_imigrantes/main/materias_filtered/g1/haitianos/2021/02_mar/txt/g1_fbf7fb44-22f6-11ed-b24f-6dbe51e79fca_2052.txt", "TXT")</f>
        <v/>
      </c>
    </row>
    <row r="707">
      <c r="A707" s="1" t="n">
        <v>705</v>
      </c>
      <c r="B707" t="n">
        <v>2021</v>
      </c>
      <c r="C707" s="2" t="n">
        <v>44262.81987184028</v>
      </c>
      <c r="D707" t="inlineStr">
        <is>
          <t>G1</t>
        </is>
      </c>
      <c r="E707" t="inlineStr">
        <is>
          <t>VENEZUELANOS</t>
        </is>
      </c>
      <c r="F707" t="inlineStr">
        <is>
          <t>ECONOMIA</t>
        </is>
      </c>
      <c r="G707" t="inlineStr">
        <is>
          <t>RFI</t>
        </is>
      </c>
      <c r="H707" t="inlineStr">
        <is>
          <t>NOVA CÉDULA DE 1 MILHÃO DE BOLÍVARES VENEZUELANOS VALE MENOS QUE US$ 1</t>
        </is>
      </c>
      <c r="I707" t="inlineStr">
        <is>
          <t>UM QUILO DE TOMATE, OITO PÃEZINHOS, UM REFRIGERANTE DE 250 ML OU UMA BARRA DE SABÃO DE BAIXA QUALIDADE PODEM CUSTAR CERCA DE 1 MILHÃO DE BOLÍVARES.</t>
        </is>
      </c>
      <c r="J707" t="inlineStr"/>
      <c r="K707" t="n">
        <v>0</v>
      </c>
      <c r="L707" t="n">
        <v>1</v>
      </c>
      <c r="M707" t="n">
        <v>0</v>
      </c>
      <c r="N707" t="n">
        <v>0</v>
      </c>
      <c r="O707" t="n">
        <v>2</v>
      </c>
      <c r="P707">
        <f>HYPERLINK("https://g1.globo.com/economia/noticia/2021/03/07/nova-cedula-de-1-milhao-de-bolivares-venezuelanos-vale-menos-que-us-1.ghtml", "URL")</f>
        <v/>
      </c>
      <c r="Q707">
        <f>HYPERLINK("https://raw.githubusercontent.com/marcosmapl/dataset_imigrantes/main/materias_filtered/g1/venezuelanos/2021/02_mar/html/g1_4a115800-2312-11ed-b24f-6dbe51e79fca_2959.html", "HTML")</f>
        <v/>
      </c>
      <c r="R707">
        <f>HYPERLINK("https://raw.githubusercontent.com/marcosmapl/dataset_imigrantes/main/materias_filtered/g1/venezuelanos/2021/02_mar/txt/g1_4a115800-2312-11ed-b24f-6dbe51e79fca_2959.txt", "TXT")</f>
        <v/>
      </c>
    </row>
    <row r="708">
      <c r="A708" s="1" t="n">
        <v>706</v>
      </c>
      <c r="B708" t="n">
        <v>2021</v>
      </c>
      <c r="C708" s="2" t="n">
        <v>44261.70315171297</v>
      </c>
      <c r="D708" t="inlineStr">
        <is>
          <t>G1</t>
        </is>
      </c>
      <c r="E708" t="inlineStr">
        <is>
          <t>AMBOS</t>
        </is>
      </c>
      <c r="F708" t="inlineStr">
        <is>
          <t>ACRE</t>
        </is>
      </c>
      <c r="G708" t="inlineStr">
        <is>
          <t>IRYÁ RODRIGUES, G1 AC — RIO BRANCO</t>
        </is>
      </c>
      <c r="H708" t="inlineStr">
        <is>
          <t>MPF AJUÍZA AÇÃO PARA GARANTIR FORNECIMENTO DE ALIMENTAÇÃO A IMIGRANTES NO AC E PREFEITO DESABAFA: ‘FALTA DE CONHECIMENTO’</t>
        </is>
      </c>
      <c r="I708" t="inlineStr">
        <is>
          <t>AÇÃO PEDE QUE UNIÃO, ESTADO DO ACRE E MUNICÍPIO DE ASSIS DE BRASIL ASSEGUREM, SOLIDARIAMENTE, REFEIÇÕES DIÁRIAS. PREFEITO DIZ QUE ASSISTÊNCIA MUNICIPAL JÁ CHEGOU A DISTRIBUIR 1,5 MIL REFEIÇÕES POR DIA AOS IMIGRANTES E QUE NÃO HÁ INFORMAÇÃO DE QUE ESTRANGEIROS TENHAM PASSADO FOME NA CIDADE.</t>
        </is>
      </c>
      <c r="J708" t="inlineStr"/>
      <c r="K708" t="n">
        <v>0</v>
      </c>
      <c r="L708" t="n">
        <v>1</v>
      </c>
      <c r="M708" t="n">
        <v>0</v>
      </c>
      <c r="N708" t="n">
        <v>0</v>
      </c>
      <c r="O708" t="n">
        <v>13</v>
      </c>
      <c r="P708">
        <f>HYPERLINK("https://g1.globo.com/ac/acre/noticia/2021/03/06/mpf-ajuiza-acao-para-garantir-fornecimento-de-alimentacao-a-imigrantes-no-ac-e-prefeito-desabafa-falta-de-conhecimento.ghtml", "URL")</f>
        <v/>
      </c>
      <c r="Q708">
        <f>HYPERLINK("https://raw.githubusercontent.com/marcosmapl/dataset_imigrantes/main/materias_filtered/g1/ambos/2021/02_mar/html/g1_296f50c4-2322-11ed-b24f-6dbe51e79fca_3738.html", "HTML")</f>
        <v/>
      </c>
      <c r="R708">
        <f>HYPERLINK("https://raw.githubusercontent.com/marcosmapl/dataset_imigrantes/main/materias_filtered/g1/ambos/2021/02_mar/txt/g1_296f50c4-2322-11ed-b24f-6dbe51e79fca_3738.txt", "TXT")</f>
        <v/>
      </c>
    </row>
    <row r="709">
      <c r="A709" s="1" t="n">
        <v>707</v>
      </c>
      <c r="B709" t="n">
        <v>2021</v>
      </c>
      <c r="C709" s="2" t="n">
        <v>44261.53591966435</v>
      </c>
      <c r="D709" t="inlineStr">
        <is>
          <t>G1</t>
        </is>
      </c>
      <c r="E709" t="inlineStr">
        <is>
          <t>HAITIANOS</t>
        </is>
      </c>
      <c r="F709" t="inlineStr">
        <is>
          <t>SÃO PAULO</t>
        </is>
      </c>
      <c r="G709" t="inlineStr">
        <is>
          <t>JOSÉ CARLOS DE MORAES FILHO, G1 SP E TV GLOBO — SÃO PAULO</t>
        </is>
      </c>
      <c r="H709" t="inlineStr">
        <is>
          <t>MULHER DÁ À LUZ EM ESTAÇÃO DE TREM DA CPTM EM SÃO PAULO</t>
        </is>
      </c>
      <c r="I709" t="inlineStr">
        <is>
          <t>PASSAGEIRA HAITIANA ENTROU EM TRABALHO DE PARTO NA ESTAÇÃO TAMANDUATEÍ DA LINHA 10-TURQUESA NA NOITE DE SEXTA-FEIRA (5). ELA VOLTAVA DO HOSPITAL APÓS EXAMES DE ROTINA QUANDO A BOLSA ESTOUROU NA PLATAFORMA DE TREM. MULHER FOI AUXILIADA NO PARTO POR AGENTES DA CPTM, DO METRÔ E POLICIAIS MILITARES.</t>
        </is>
      </c>
      <c r="J709" t="inlineStr"/>
      <c r="K709" t="n">
        <v>0</v>
      </c>
      <c r="L709" t="n">
        <v>3</v>
      </c>
      <c r="M709" t="n">
        <v>0</v>
      </c>
      <c r="N709" t="n">
        <v>0</v>
      </c>
      <c r="O709" t="n">
        <v>0</v>
      </c>
      <c r="P709">
        <f>HYPERLINK("https://g1.globo.com/sp/sao-paulo/noticia/2021/03/06/mulher-da-a-luz-em-estacao-de-trem-da-cptm.ghtml", "URL")</f>
        <v/>
      </c>
      <c r="Q709">
        <f>HYPERLINK("https://raw.githubusercontent.com/marcosmapl/dataset_imigrantes/main/materias_filtered/g1/haitianos/2021/02_mar/html/g1_55bf5ec8-232a-11ed-b24f-6dbe51e79fca_4172.html", "HTML")</f>
        <v/>
      </c>
      <c r="R709">
        <f>HYPERLINK("https://raw.githubusercontent.com/marcosmapl/dataset_imigrantes/main/materias_filtered/g1/haitianos/2021/02_mar/txt/g1_55bf5ec8-232a-11ed-b24f-6dbe51e79fca_4172.txt", "TXT")</f>
        <v/>
      </c>
    </row>
    <row r="710">
      <c r="A710" s="1" t="n">
        <v>708</v>
      </c>
      <c r="B710" t="n">
        <v>2021</v>
      </c>
      <c r="C710" s="2" t="n">
        <v>44260.77624115741</v>
      </c>
      <c r="D710" t="inlineStr">
        <is>
          <t>G1</t>
        </is>
      </c>
      <c r="E710" t="inlineStr">
        <is>
          <t>AMBOS</t>
        </is>
      </c>
      <c r="F710" t="inlineStr">
        <is>
          <t>ACRE</t>
        </is>
      </c>
      <c r="G710" t="inlineStr">
        <is>
          <t>IRYÁ RODRIGUES, G1 AC — RIO BRANCO</t>
        </is>
      </c>
      <c r="H710" t="inlineStr">
        <is>
          <t>IMIGRANTES COM TESTE POSITIVO PARA COVID-19 DEIXAM ABRIGO EM ASSIS BRASIL E PREFEITURA NÃO SABE DO PARADEIRO DELES</t>
        </is>
      </c>
      <c r="I710" t="inlineStr">
        <is>
          <t>SETE IMIGRANTES COM COVID-19 ESTAVAM EM ISOLAMENTO NO GINÁSIO DA CIDADE, MAS DEIXARAM LOCAL E NÃO FORAM MAIS VISTOS NEM NOS DOIS ABRIGOS DA CIDADE E NEM NA PONTE, QUE CONTINUA COM PELO MENOS 60 ESTRANGEIROS ACAMPADOS.</t>
        </is>
      </c>
      <c r="J710" t="inlineStr"/>
      <c r="K710" t="n">
        <v>0</v>
      </c>
      <c r="L710" t="n">
        <v>1</v>
      </c>
      <c r="M710" t="n">
        <v>0</v>
      </c>
      <c r="N710" t="n">
        <v>0</v>
      </c>
      <c r="O710" t="n">
        <v>12</v>
      </c>
      <c r="P710">
        <f>HYPERLINK("https://g1.globo.com/ac/acre/noticia/2021/03/05/imigrantes-com-teste-positivo-para-covid-19-deixam-abrigo-em-assis-brasil-e-prefeitura-nao-sabe-do-paradeiro-deles.ghtml", "URL")</f>
        <v/>
      </c>
      <c r="Q710">
        <f>HYPERLINK("https://raw.githubusercontent.com/marcosmapl/dataset_imigrantes/main/materias_filtered/g1/ambos/2021/02_mar/html/g1_08840768-2324-11ed-b24f-6dbe51e79fca_3844.html", "HTML")</f>
        <v/>
      </c>
      <c r="R710">
        <f>HYPERLINK("https://raw.githubusercontent.com/marcosmapl/dataset_imigrantes/main/materias_filtered/g1/ambos/2021/02_mar/txt/g1_08840768-2324-11ed-b24f-6dbe51e79fca_3844.txt", "TXT")</f>
        <v/>
      </c>
    </row>
    <row r="711">
      <c r="A711" s="1" t="n">
        <v>709</v>
      </c>
      <c r="B711" t="n">
        <v>2021</v>
      </c>
      <c r="C711" s="2" t="n">
        <v>44258.67119503472</v>
      </c>
      <c r="D711" t="inlineStr">
        <is>
          <t>G1</t>
        </is>
      </c>
      <c r="E711" t="inlineStr">
        <is>
          <t>AMBOS</t>
        </is>
      </c>
      <c r="F711" t="inlineStr">
        <is>
          <t>ACRE</t>
        </is>
      </c>
      <c r="G711" t="inlineStr">
        <is>
          <t>IRYÁ RODRIGUES, G1 AC — RIO BRANCO</t>
        </is>
      </c>
      <c r="H711" t="inlineStr">
        <is>
          <t>SEM TER COMO ISOLAR IMIGRANTES COM COVID-19, PREFEITURA DE ASSIS BRASIL SUSPENDE TESTAGENS</t>
        </is>
      </c>
      <c r="I711" t="inlineStr">
        <is>
          <t>SETE IMIGRANTES QUE TESTARAM POSITIVO PARA DOENÇA ESTÃO EM ISOLAMENTO NO GINÁSIO DA CIDADE E LOCAL, SEGUNDO PREFEITURA, JÁ NÃO COMPORTA MAIS PESSOAS. OUTROS SEIS QUE ESTÃO COM TESTE POSITIVO ESTÃO EM HOTÉIS DA CIDADE POR TEREM SE RECUSADO A FICAR NO GINÁSIO.</t>
        </is>
      </c>
      <c r="J711" t="inlineStr"/>
      <c r="K711" t="n">
        <v>0</v>
      </c>
      <c r="L711" t="n">
        <v>2</v>
      </c>
      <c r="M711" t="n">
        <v>1</v>
      </c>
      <c r="N711" t="n">
        <v>0</v>
      </c>
      <c r="O711" t="n">
        <v>13</v>
      </c>
      <c r="P711">
        <f>HYPERLINK("https://g1.globo.com/ac/acre/noticia/2021/03/03/sem-ter-como-isolar-imigrantes-com-covid-19-prefeitura-de-assis-brasil-suspende-testagens.ghtml", "URL")</f>
        <v/>
      </c>
      <c r="Q711">
        <f>HYPERLINK("https://raw.githubusercontent.com/marcosmapl/dataset_imigrantes/main/materias_filtered/g1/ambos/2021/02_mar/html/g1_29c18886-2308-11ed-b24f-6dbe51e79fca_2369.html", "HTML")</f>
        <v/>
      </c>
      <c r="R711">
        <f>HYPERLINK("https://raw.githubusercontent.com/marcosmapl/dataset_imigrantes/main/materias_filtered/g1/ambos/2021/02_mar/txt/g1_29c18886-2308-11ed-b24f-6dbe51e79fca_2369.txt", "TXT")</f>
        <v/>
      </c>
    </row>
    <row r="712">
      <c r="A712" s="1" t="n">
        <v>710</v>
      </c>
      <c r="B712" t="n">
        <v>2021</v>
      </c>
      <c r="C712" s="2" t="n">
        <v>44257.75986111111</v>
      </c>
      <c r="D712" t="inlineStr">
        <is>
          <t>A CRITICA</t>
        </is>
      </c>
      <c r="E712" t="inlineStr">
        <is>
          <t>VENEZUELANOS</t>
        </is>
      </c>
      <c r="F712" t="inlineStr">
        <is>
          <t>OPINIAO</t>
        </is>
      </c>
      <c r="G712" t="inlineStr">
        <is>
          <t>DULCE RODRIGUEZ</t>
        </is>
      </c>
      <c r="H712" t="inlineStr">
        <is>
          <t>PRIMEIRO ANIVERSÁRIO DO BLOG: COMO É BOM PODER AJUDAR OS OUTROS</t>
        </is>
      </c>
      <c r="I712" t="inlineStr">
        <is>
          <t>QUERO DIVIDIR ESSA DATA ESPECIAL COM TODOS VOCÊS, E DIZER-LHES O QUANTO ESTOU GRATA. COMPLETAR UM ANO NO DECORRER DA PANDEMIA É UMA VITÓRIA, DAS GRANDES!</t>
        </is>
      </c>
      <c r="J712" t="inlineStr">
        <is>
          <t>VIDA-DE-IMIGRANTE</t>
        </is>
      </c>
      <c r="K712" t="n">
        <v>1</v>
      </c>
      <c r="L712" t="n">
        <v>1</v>
      </c>
      <c r="M712" t="n">
        <v>0</v>
      </c>
      <c r="N712" t="n">
        <v>0</v>
      </c>
      <c r="O712" t="n">
        <v>1</v>
      </c>
      <c r="P712">
        <f>HYPERLINK("https://www.acritica.com/opiniao/primeiro-aniversario-do-blog-como-e-bom-poder-ajudar-os-outros-1.215686", "URL")</f>
        <v/>
      </c>
      <c r="Q712">
        <f>HYPERLINK("https://raw.githubusercontent.com/marcosmapl/dataset_imigrantes/main/materias_filtered/a_critica/venezuelanos/2021/02_mar/html/1.215686_1361.html", "HTML")</f>
        <v/>
      </c>
      <c r="R712">
        <f>HYPERLINK("https://raw.githubusercontent.com/marcosmapl/dataset_imigrantes/main/materias_filtered/a_critica/venezuelanos/2021/02_mar/txt/1.215686_1361.txt", "TXT")</f>
        <v/>
      </c>
    </row>
    <row r="713">
      <c r="A713" s="1" t="n">
        <v>711</v>
      </c>
      <c r="B713" t="n">
        <v>2021</v>
      </c>
      <c r="C713" s="2" t="n">
        <v>44257.58937832176</v>
      </c>
      <c r="D713" t="inlineStr">
        <is>
          <t>G1</t>
        </is>
      </c>
      <c r="E713" t="inlineStr">
        <is>
          <t>AMBOS</t>
        </is>
      </c>
      <c r="F713" t="inlineStr">
        <is>
          <t>ACRE</t>
        </is>
      </c>
      <c r="G713" t="inlineStr">
        <is>
          <t>IRYÁ RODRIGUES, G1 AC — RIO BRANCO</t>
        </is>
      </c>
      <c r="H713" t="inlineStr">
        <is>
          <t>MAIS DE 150 IMIGRANTES RETIDOS NA FRONTEIRA DO ACRE COM PERU SÃO TESTADOS PARA COVID-19 E CINCO TÊM RESULTADO POSITIVO PARA DOENÇA</t>
        </is>
      </c>
      <c r="I713" t="inlineStr">
        <is>
          <t>TESTAGEM POR AMOSTRAGEM FOI INICIADA NA QUARTA (24) E, ATÉ ESSA SEGUNDA-FEIRA (1), 155 IMIGRANTES QUE ESTÃO NOS ABRIGOS DA CIDADE DE ASSIS BRASIL FIZERAM O TESTE. OS CINCO COM RESULTADO POSITIVO FORAM COLOCADOS EM ISOLAMENTO EM OUTRO ABRIGO NO GINÁSIO DA CIDADE. PELO MENOS 70 IMIGRANTES QUE TENTAM PASSAR PARA O PERU SEGUEM ACAMPADOS NA PONTE DA INTEGRAÇÃO.</t>
        </is>
      </c>
      <c r="J713" t="inlineStr"/>
      <c r="K713" t="n">
        <v>0</v>
      </c>
      <c r="L713" t="n">
        <v>2</v>
      </c>
      <c r="M713" t="n">
        <v>1</v>
      </c>
      <c r="N713" t="n">
        <v>0</v>
      </c>
      <c r="O713" t="n">
        <v>12</v>
      </c>
      <c r="P713">
        <f>HYPERLINK("https://g1.globo.com/ac/acre/noticia/2021/03/02/mais-de-150-imigrantes-retidos-na-fronteira-do-acre-com-peru-sao-testados-para-covid-19-e-cinco-tem-resultado-positivo-para-doenca.ghtml", "URL")</f>
        <v/>
      </c>
      <c r="Q713">
        <f>HYPERLINK("https://raw.githubusercontent.com/marcosmapl/dataset_imigrantes/main/materias_filtered/g1/ambos/2021/02_mar/html/g1_1e9e2664-230b-11ed-b24f-6dbe51e79fca_2545.html", "HTML")</f>
        <v/>
      </c>
      <c r="R713">
        <f>HYPERLINK("https://raw.githubusercontent.com/marcosmapl/dataset_imigrantes/main/materias_filtered/g1/ambos/2021/02_mar/txt/g1_1e9e2664-230b-11ed-b24f-6dbe51e79fca_2545.txt", "TXT")</f>
        <v/>
      </c>
    </row>
    <row r="714">
      <c r="A714" s="1" t="n">
        <v>712</v>
      </c>
      <c r="B714" t="n">
        <v>2021</v>
      </c>
      <c r="C714" s="2" t="n">
        <v>44256.70080834491</v>
      </c>
      <c r="D714" t="inlineStr">
        <is>
          <t>G1</t>
        </is>
      </c>
      <c r="E714" t="inlineStr">
        <is>
          <t>HAITIANOS</t>
        </is>
      </c>
      <c r="F714" t="inlineStr">
        <is>
          <t>ACRE</t>
        </is>
      </c>
      <c r="G714" t="inlineStr">
        <is>
          <t>JANINE BRASIL E IRYÁ RODRIGUES, G1 AC — RIO BRANCO</t>
        </is>
      </c>
      <c r="H714" t="inlineStr">
        <is>
          <t>RETIDOS NO AC SEM CONSEGUIR PASSAR PARA O PERU HÁ 15 DIAS, IMIGRANTES FAZEM PROTESTO EM FRENTE À PREFEITURA: 'ATÉ QUANDO?'</t>
        </is>
      </c>
      <c r="I714" t="inlineStr">
        <is>
          <t>CIDADE DE ASSIS BRASIL, NO INTERIOR DO ACRE, TEM MAIS DE 500 IMIGRANTES, SENDO A MAIORIA HAITIANOS, QUE TENTAM PASSAR PARA O PERU E SEGUIR VIAGEM. APÓS SE CONCENTRAR EM FRENTE À PREFEITURA DA CIDADE, GRUPO FOI ATÉ A PONTE DA INTEGRAÇÃO, ONDE TEM CERCA DE 70 IMIGRANTES ACAMPADOS DESDE O ÚLTIMO DIA 14.</t>
        </is>
      </c>
      <c r="J714" t="inlineStr"/>
      <c r="K714" t="n">
        <v>0</v>
      </c>
      <c r="L714" t="n">
        <v>2</v>
      </c>
      <c r="M714" t="n">
        <v>1</v>
      </c>
      <c r="N714" t="n">
        <v>0</v>
      </c>
      <c r="O714" t="n">
        <v>11</v>
      </c>
      <c r="P714">
        <f>HYPERLINK("https://g1.globo.com/ac/acre/noticia/2021/03/01/retidos-no-ac-sem-conseguir-passar-para-o-peru-ha-15-dias-imigrantes-fazem-protesto-em-frente-a-prefeitura-ate-quando.ghtml", "URL")</f>
        <v/>
      </c>
      <c r="Q714">
        <f>HYPERLINK("https://raw.githubusercontent.com/marcosmapl/dataset_imigrantes/main/materias_filtered/g1/haitianos/2021/02_mar/html/g1_f79c62b0-230f-11ed-b24f-6dbe51e79fca_2830.html", "HTML")</f>
        <v/>
      </c>
      <c r="R714">
        <f>HYPERLINK("https://raw.githubusercontent.com/marcosmapl/dataset_imigrantes/main/materias_filtered/g1/haitianos/2021/02_mar/txt/g1_f79c62b0-230f-11ed-b24f-6dbe51e79fca_2830.txt", "TXT")</f>
        <v/>
      </c>
    </row>
    <row r="715">
      <c r="A715" s="1" t="n">
        <v>713</v>
      </c>
      <c r="B715" t="n">
        <v>2021</v>
      </c>
      <c r="C715" s="2" t="n">
        <v>44254.89590277777</v>
      </c>
      <c r="D715" t="inlineStr">
        <is>
          <t>A CRITICA</t>
        </is>
      </c>
      <c r="E715" t="inlineStr">
        <is>
          <t>VENEZUELANOS</t>
        </is>
      </c>
      <c r="F715" t="inlineStr">
        <is>
          <t>ESPORTES</t>
        </is>
      </c>
      <c r="G715" t="inlineStr">
        <is>
          <t>DANIEL PRESTES</t>
        </is>
      </c>
      <c r="H715" t="inlineStr">
        <is>
          <t>MANAUS MARCA NO FIM, BATE O FAST E GARANTE VAGA NA COPA DO BRASIL</t>
        </is>
      </c>
      <c r="I715" t="inlineStr">
        <is>
          <t>GAVIÃO AGORA VAI ENCARAR O PENAROL, QUE BATEU O SÃO RAIMUNDO, NA FINAL DA SELETIVA BAREZÃO 2020</t>
        </is>
      </c>
      <c r="J715" t="inlineStr"/>
      <c r="K715" t="n">
        <v>0</v>
      </c>
      <c r="L715" t="n">
        <v>1</v>
      </c>
      <c r="M715" t="n">
        <v>0</v>
      </c>
      <c r="N715" t="n">
        <v>0</v>
      </c>
      <c r="O715" t="n">
        <v>0</v>
      </c>
      <c r="P715">
        <f>HYPERLINK("https://www.acritica.com/esportes/manaus-marca-no-fim-bate-o-fast-e-garante-vaga-na-copa-do-brasil-1.21899", "URL")</f>
        <v/>
      </c>
      <c r="Q715">
        <f>HYPERLINK("https://raw.githubusercontent.com/marcosmapl/dataset_imigrantes/main/materias_filtered/a_critica/venezuelanos/2021/01_fev/html/1.21899_501.html", "HTML")</f>
        <v/>
      </c>
      <c r="R715">
        <f>HYPERLINK("https://raw.githubusercontent.com/marcosmapl/dataset_imigrantes/main/materias_filtered/a_critica/venezuelanos/2021/01_fev/txt/1.21899_501.txt", "TXT")</f>
        <v/>
      </c>
    </row>
    <row r="716">
      <c r="A716" s="1" t="n">
        <v>714</v>
      </c>
      <c r="B716" t="n">
        <v>2021</v>
      </c>
      <c r="C716" s="2" t="n">
        <v>44254.74902030093</v>
      </c>
      <c r="D716" t="inlineStr">
        <is>
          <t>G1</t>
        </is>
      </c>
      <c r="E716" t="inlineStr">
        <is>
          <t>HAITIANOS</t>
        </is>
      </c>
      <c r="F716" t="inlineStr">
        <is>
          <t>RORAIMA</t>
        </is>
      </c>
      <c r="G716" t="inlineStr">
        <is>
          <t>G1 RR — BOA VISTA</t>
        </is>
      </c>
      <c r="H716" t="inlineStr">
        <is>
          <t>PF PRENDE TAXISTAS POR AJUDAREM IMIGRANTES A ENTRAR POR FRONTEIRA EM RR</t>
        </is>
      </c>
      <c r="I716" t="inlineStr">
        <is>
          <t>TAXISTAS TRAZIAM 27 IMIGRANTES SENDO 26 HAITIANOS E UM CUBANO. QUARTETO FOI PRESO PELO CRIME DE PROMOÇÃO DE MIGRAÇÃO ILEGAL, COM PENA DE ATÉ CINCO ANOS DE PRISÃO E MULTA. JÁ OS IMIGRANTES RECEBERAM NOTIFICAÇÃO DE DEPORTAÇÃO IMEDIATA E TÊM PRAZO DE SETE DIAS PARA SAIR DO BRASIL.</t>
        </is>
      </c>
      <c r="J716" t="inlineStr"/>
      <c r="K716" t="n">
        <v>0</v>
      </c>
      <c r="L716" t="n">
        <v>1</v>
      </c>
      <c r="M716" t="n">
        <v>0</v>
      </c>
      <c r="N716" t="n">
        <v>0</v>
      </c>
      <c r="O716" t="n">
        <v>1</v>
      </c>
      <c r="P716">
        <f>HYPERLINK("https://g1.globo.com/rr/roraima/noticia/2021/02/27/pf-prende-taxistas-por-ajudarem-imigrantes-da-guiana-a-entrar-ilegalmente-por-fronteira-em-rr.ghtml", "URL")</f>
        <v/>
      </c>
      <c r="Q716">
        <f>HYPERLINK("https://raw.githubusercontent.com/marcosmapl/dataset_imigrantes/main/materias_filtered/g1/haitianos/2021/01_fev/html/g1_6b6aafe8-22f3-11ed-b24f-6dbe51e79fca_1840.html", "HTML")</f>
        <v/>
      </c>
      <c r="R716">
        <f>HYPERLINK("https://raw.githubusercontent.com/marcosmapl/dataset_imigrantes/main/materias_filtered/g1/haitianos/2021/01_fev/txt/g1_6b6aafe8-22f3-11ed-b24f-6dbe51e79fca_1840.txt", "TXT")</f>
        <v/>
      </c>
    </row>
    <row r="717">
      <c r="A717" s="1" t="n">
        <v>715</v>
      </c>
      <c r="B717" t="n">
        <v>2021</v>
      </c>
      <c r="C717" s="2" t="n">
        <v>44254.57506944444</v>
      </c>
      <c r="D717" t="inlineStr">
        <is>
          <t>A CRITICA</t>
        </is>
      </c>
      <c r="E717" t="inlineStr">
        <is>
          <t>VENEZUELANOS</t>
        </is>
      </c>
      <c r="F717" t="inlineStr">
        <is>
          <t>ESPORTES</t>
        </is>
      </c>
      <c r="G717" t="inlineStr">
        <is>
          <t>DANIEL PRESTES</t>
        </is>
      </c>
      <c r="H717" t="inlineStr">
        <is>
          <t>MANAUS E FAST FAZEM DUELO VALENDO VAGA NA FINAL DO BAREZÃO 2020</t>
        </is>
      </c>
      <c r="I717" t="inlineStr">
        <is>
          <t>CONFRONTO SERÁ NESTE SÁBADO (27), ÀS 15H30, NA ARENA DA AMAZÔNIA. EM CASO DE EMPATE NO TEMPO NORMAL, A PARTIDA SERÁ DECIDIDA NOS PÊNALTIS</t>
        </is>
      </c>
      <c r="J717" t="inlineStr"/>
      <c r="K717" t="n">
        <v>0</v>
      </c>
      <c r="L717" t="n">
        <v>1</v>
      </c>
      <c r="M717" t="n">
        <v>0</v>
      </c>
      <c r="N717" t="n">
        <v>0</v>
      </c>
      <c r="O717" t="n">
        <v>0</v>
      </c>
      <c r="P717">
        <f>HYPERLINK("https://www.acritica.com/esportes/manaus-e-fast-fazem-duelo-valendo-vaga-na-final-do-barez-o-2020-1.21856", "URL")</f>
        <v/>
      </c>
      <c r="Q717">
        <f>HYPERLINK("https://raw.githubusercontent.com/marcosmapl/dataset_imigrantes/main/materias_filtered/a_critica/venezuelanos/2021/01_fev/html/1.21856_256.html", "HTML")</f>
        <v/>
      </c>
      <c r="R717">
        <f>HYPERLINK("https://raw.githubusercontent.com/marcosmapl/dataset_imigrantes/main/materias_filtered/a_critica/venezuelanos/2021/01_fev/txt/1.21856_256.txt", "TXT")</f>
        <v/>
      </c>
    </row>
    <row r="718">
      <c r="A718" s="1" t="n">
        <v>716</v>
      </c>
      <c r="B718" t="n">
        <v>2021</v>
      </c>
      <c r="C718" s="2" t="n">
        <v>44254.06133425926</v>
      </c>
      <c r="D718" t="inlineStr">
        <is>
          <t>G1</t>
        </is>
      </c>
      <c r="E718" t="inlineStr">
        <is>
          <t>AMBOS</t>
        </is>
      </c>
      <c r="F718" t="inlineStr">
        <is>
          <t>ACRE</t>
        </is>
      </c>
      <c r="G718" t="inlineStr">
        <is>
          <t>ALCINETE GADELHA, G1 AC — RIO BRANCO</t>
        </is>
      </c>
      <c r="H718" t="inlineStr">
        <is>
          <t>UNIÃO PEDE REINTEGRAÇÃO DE POSSE DE PONTE QUE FICA NA FRONTEIRA DO ACRE COM O PERU OCUPADA POR IMIGRANTES HÁ MAIS DE 10 DIAS</t>
        </is>
      </c>
      <c r="I718" t="inlineStr">
        <is>
          <t>JUSTIÇA FEDERAL PEDIU PARECER DA DPU E MPF PARA QUE SE MANIFESTEM SOBRE AÇÃO AJUIZADA PELA UNIÃO. ÓRGÃOS AINDA NÃO FORAM NOTIFICADOS.</t>
        </is>
      </c>
      <c r="J718" t="inlineStr"/>
      <c r="K718" t="n">
        <v>0</v>
      </c>
      <c r="L718" t="n">
        <v>1</v>
      </c>
      <c r="M718" t="n">
        <v>0</v>
      </c>
      <c r="N718" t="n">
        <v>0</v>
      </c>
      <c r="O718" t="n">
        <v>10</v>
      </c>
      <c r="P718">
        <f>HYPERLINK("https://g1.globo.com/ac/acre/noticia/2021/02/26/uniao-pede-reintegracao-de-posse-de-ponte-que-fica-na-fronteira-do-acre-com-o-peru-ocupada-por-imigrantes-ha-mais-de-10-dias.ghtml", "URL")</f>
        <v/>
      </c>
      <c r="Q718">
        <f>HYPERLINK("https://raw.githubusercontent.com/marcosmapl/dataset_imigrantes/main/materias_filtered/g1/ambos/2021/01_fev/html/g1_891c5956-231b-11ed-b24f-6dbe51e79fca_3390.html", "HTML")</f>
        <v/>
      </c>
      <c r="R718">
        <f>HYPERLINK("https://raw.githubusercontent.com/marcosmapl/dataset_imigrantes/main/materias_filtered/g1/ambos/2021/01_fev/txt/g1_891c5956-231b-11ed-b24f-6dbe51e79fca_3390.txt", "TXT")</f>
        <v/>
      </c>
    </row>
    <row r="719">
      <c r="A719" s="1" t="n">
        <v>717</v>
      </c>
      <c r="B719" t="n">
        <v>2021</v>
      </c>
      <c r="C719" s="2" t="n">
        <v>44253.67841841435</v>
      </c>
      <c r="D719" t="inlineStr">
        <is>
          <t>G1</t>
        </is>
      </c>
      <c r="E719" t="inlineStr">
        <is>
          <t>AMBOS</t>
        </is>
      </c>
      <c r="F719" t="inlineStr">
        <is>
          <t>ACRE</t>
        </is>
      </c>
      <c r="G719" t="inlineStr">
        <is>
          <t>IRYÁ RODRIGUES, G1 AC — RIO BRANCO</t>
        </is>
      </c>
      <c r="H719" t="inlineStr">
        <is>
          <t>COM MAIS DE 300 IMIGRANTES RETIDOS NA FRONTEIRA DO ACRE COM PERU, PREFEITURA INICIA TESTAGEM PARA COVID-19</t>
        </is>
      </c>
      <c r="I719" t="inlineStr">
        <is>
          <t>TESTAGEM POR AMOSTRAGEM FOI INICIADA NA QUARTA (24) E ATÉ ESSA QUINTA 41 IMIGRANTES QUE ESTÃO NOS ABRIGOS DA CIDADE DE ASSIS BRASIL FIZERAM O TESTE E NENHUM DEU POSITIVO. MUNICÍPIO RESERVOU O GINÁSIO COBERTO PARA RECEBER CASOS POSITIVOS DA DOENÇA, MAS ATÉ O MOMENTO NÃO HÁ NENHUM IMIGRANTE NO LOCAL. PELO MENOS 60 IMIGRANTES SEGUEM ACAMPADOS NA PONTE DA INTEGRAÇÃO.</t>
        </is>
      </c>
      <c r="J719" t="inlineStr"/>
      <c r="K719" t="n">
        <v>0</v>
      </c>
      <c r="L719" t="n">
        <v>1</v>
      </c>
      <c r="M719" t="n">
        <v>0</v>
      </c>
      <c r="N719" t="n">
        <v>0</v>
      </c>
      <c r="O719" t="n">
        <v>9</v>
      </c>
      <c r="P719">
        <f>HYPERLINK("https://g1.globo.com/ac/acre/noticia/2021/02/26/com-mais-de-300-imigrantes-retidos-na-fronteira-do-acre-com-peru-prefeitura-inicia-testagem-para-covid-19.ghtml", "URL")</f>
        <v/>
      </c>
      <c r="Q719">
        <f>HYPERLINK("https://raw.githubusercontent.com/marcosmapl/dataset_imigrantes/main/materias_filtered/g1/ambos/2021/01_fev/html/g1_a8aa9a68-2306-11ed-b24f-6dbe51e79fca_2271.html", "HTML")</f>
        <v/>
      </c>
      <c r="R719">
        <f>HYPERLINK("https://raw.githubusercontent.com/marcosmapl/dataset_imigrantes/main/materias_filtered/g1/ambos/2021/01_fev/txt/g1_a8aa9a68-2306-11ed-b24f-6dbe51e79fca_2271.txt", "TXT")</f>
        <v/>
      </c>
    </row>
    <row r="720">
      <c r="A720" s="1" t="n">
        <v>718</v>
      </c>
      <c r="B720" t="n">
        <v>2021</v>
      </c>
      <c r="C720" s="2" t="n">
        <v>44253.03835083333</v>
      </c>
      <c r="D720" t="inlineStr">
        <is>
          <t>G1</t>
        </is>
      </c>
      <c r="E720" t="inlineStr">
        <is>
          <t>HAITIANOS</t>
        </is>
      </c>
      <c r="F720" t="inlineStr">
        <is>
          <t>MUNDO</t>
        </is>
      </c>
      <c r="G720" t="inlineStr">
        <is>
          <t>FRANCE PRESSE</t>
        </is>
      </c>
      <c r="H720" t="inlineStr">
        <is>
          <t>FUGA DE PRESOS NO HAITI DEIXA MORTOS, INCLUINDO DIRETOR DA PRISÃO</t>
        </is>
      </c>
      <c r="I720" t="inlineStr">
        <is>
          <t>INSPETOR PAUL HECTOR JOSEPH, QUE ERA ENCARREGADO DA PENITENCIÁRIA DE CROIX-DES-BOUQUETS, FOI ASSASSINADO DENTRO DO LOCAL.</t>
        </is>
      </c>
      <c r="J720" t="inlineStr"/>
      <c r="K720" t="n">
        <v>0</v>
      </c>
      <c r="L720" t="n">
        <v>4</v>
      </c>
      <c r="M720" t="n">
        <v>0</v>
      </c>
      <c r="N720" t="n">
        <v>0</v>
      </c>
      <c r="O720" t="n">
        <v>2</v>
      </c>
      <c r="P720">
        <f>HYPERLINK("https://g1.globo.com/mundo/noticia/2021/02/25/fuga-de-presos-no-haiti-deixa-mortos-mortos-incluindo-diretor-da-prisao.ghtml", "URL")</f>
        <v/>
      </c>
      <c r="Q720">
        <f>HYPERLINK("https://raw.githubusercontent.com/marcosmapl/dataset_imigrantes/main/materias_filtered/g1/haitianos/2021/01_fev/html/g1_9abb2340-22ee-11ed-b24f-6dbe51e79fca_1705.html", "HTML")</f>
        <v/>
      </c>
      <c r="R720">
        <f>HYPERLINK("https://raw.githubusercontent.com/marcosmapl/dataset_imigrantes/main/materias_filtered/g1/haitianos/2021/01_fev/txt/g1_9abb2340-22ee-11ed-b24f-6dbe51e79fca_1705.txt", "TXT")</f>
        <v/>
      </c>
    </row>
    <row r="721">
      <c r="A721" s="1" t="n">
        <v>719</v>
      </c>
      <c r="B721" t="n">
        <v>2021</v>
      </c>
      <c r="C721" s="2" t="n">
        <v>44253.00632365741</v>
      </c>
      <c r="D721" t="inlineStr">
        <is>
          <t>G1</t>
        </is>
      </c>
      <c r="E721" t="inlineStr">
        <is>
          <t>VENEZUELANOS</t>
        </is>
      </c>
      <c r="F721" t="inlineStr">
        <is>
          <t>CEARÁ</t>
        </is>
      </c>
      <c r="G721" t="inlineStr">
        <is>
          <t>SAMUEL PINUSA E WANDENBERG BELÉM, G1 CE</t>
        </is>
      </c>
      <c r="H721" t="inlineStr">
        <is>
          <t>FAMÍLIAS VENEZUELANAS SE ABRIGAM EM IGUATU, NO INTERIOR DO CEARÁ, E SÃO MONITORADAS PARA COVID-19</t>
        </is>
      </c>
      <c r="I721" t="inlineStr">
        <is>
          <t>AO TODO, SÃO 33 IMIGRANTES QUE CHEGARAM AO MUNICÍPIO NOS ÚLTIMOS DIAS. ELES FORAM TESTADOS PARA COVID-19 POR PRECAUÇÃO.</t>
        </is>
      </c>
      <c r="J721" t="inlineStr"/>
      <c r="K721" t="n">
        <v>0</v>
      </c>
      <c r="L721" t="n">
        <v>2</v>
      </c>
      <c r="M721" t="n">
        <v>0</v>
      </c>
      <c r="N721" t="n">
        <v>0</v>
      </c>
      <c r="O721" t="n">
        <v>1</v>
      </c>
      <c r="P721">
        <f>HYPERLINK("https://g1.globo.com/ce/ceara/noticia/2021/02/25/familias-venezuelanas-se-abrigam-em-iguatu-no-interior-do-ceara.ghtml", "URL")</f>
        <v/>
      </c>
      <c r="Q721">
        <f>HYPERLINK("https://raw.githubusercontent.com/marcosmapl/dataset_imigrantes/main/materias_filtered/g1/venezuelanos/2021/01_fev/html/g1_0eb5705a-232d-11ed-b24f-6dbe51e79fca_4340.html", "HTML")</f>
        <v/>
      </c>
      <c r="R721">
        <f>HYPERLINK("https://raw.githubusercontent.com/marcosmapl/dataset_imigrantes/main/materias_filtered/g1/venezuelanos/2021/01_fev/txt/g1_0eb5705a-232d-11ed-b24f-6dbe51e79fca_4340.txt", "TXT")</f>
        <v/>
      </c>
    </row>
    <row r="722">
      <c r="A722" s="1" t="n">
        <v>720</v>
      </c>
      <c r="B722" t="n">
        <v>2021</v>
      </c>
      <c r="C722" s="2" t="n">
        <v>44252.56006305556</v>
      </c>
      <c r="D722" t="inlineStr">
        <is>
          <t>G1</t>
        </is>
      </c>
      <c r="E722" t="inlineStr">
        <is>
          <t>AMBOS</t>
        </is>
      </c>
      <c r="F722" t="inlineStr">
        <is>
          <t>ACRE</t>
        </is>
      </c>
      <c r="G722" t="inlineStr">
        <is>
          <t>IRYÁ RODRIGUES, G1 AC — RIO BRANCO</t>
        </is>
      </c>
      <c r="H722" t="inlineStr">
        <is>
          <t>APÓS MAIS DE 10 DIAS, CERCA DE 40 IMIGRANTES BARRADOS NA FRONTEIRA DO AC COM PERU SEGUEM ACAMPADOS EM PONTE</t>
        </is>
      </c>
      <c r="I722" t="inlineStr">
        <is>
          <t>OUTROS MAIS DE 300 ESTÃO NOS DOIS ABRIGOS MONTADOS EM ESCOLAS DA CIDADE. PREFEITO DIZ QUE SITUAÇÃO ESTÁ CADA VEZ PIOR, UMA VEZ QUE EQUIPES DE ASSISTÊNCIA ESTÃO CANSADAS E PEDE INTERVENÇÃO DO GOVERNO FEDERAL. PREFEITURA INICIOU TESTAGEM DE IMIGRANTES PARA COVID-19, MAS NÃO TEM AINDA CASOS POSITIVOS.</t>
        </is>
      </c>
      <c r="J722" t="inlineStr"/>
      <c r="K722" t="n">
        <v>0</v>
      </c>
      <c r="L722" t="n">
        <v>1</v>
      </c>
      <c r="M722" t="n">
        <v>0</v>
      </c>
      <c r="N722" t="n">
        <v>0</v>
      </c>
      <c r="O722" t="n">
        <v>10</v>
      </c>
      <c r="P722">
        <f>HYPERLINK("https://g1.globo.com/ac/acre/noticia/2021/02/25/apos-mais-de-10-dias-cerca-de-40-imigrantes-barrados-na-fronteira-do-ac-com-peru-seguem-acampados-em-ponte.ghtml", "URL")</f>
        <v/>
      </c>
      <c r="Q722">
        <f>HYPERLINK("https://raw.githubusercontent.com/marcosmapl/dataset_imigrantes/main/materias_filtered/g1/ambos/2021/01_fev/html/g1_d40fbec2-231f-11ed-b24f-6dbe51e79fca_3646.html", "HTML")</f>
        <v/>
      </c>
      <c r="R722">
        <f>HYPERLINK("https://raw.githubusercontent.com/marcosmapl/dataset_imigrantes/main/materias_filtered/g1/ambos/2021/01_fev/txt/g1_d40fbec2-231f-11ed-b24f-6dbe51e79fca_3646.txt", "TXT")</f>
        <v/>
      </c>
    </row>
    <row r="723">
      <c r="A723" s="1" t="n">
        <v>721</v>
      </c>
      <c r="B723" t="n">
        <v>2021</v>
      </c>
      <c r="C723" s="2" t="n">
        <v>44252.54098233796</v>
      </c>
      <c r="D723" t="inlineStr">
        <is>
          <t>G1</t>
        </is>
      </c>
      <c r="E723" t="inlineStr">
        <is>
          <t>VENEZUELANOS</t>
        </is>
      </c>
      <c r="F723" t="inlineStr">
        <is>
          <t>SANTARÉM E REGIÃO</t>
        </is>
      </c>
      <c r="G723" t="inlineStr">
        <is>
          <t>G1 SANTARÉM — PA</t>
        </is>
      </c>
      <c r="H723" t="inlineStr">
        <is>
          <t>VENEZUELANOS INDÍGENAS DA ETNIA WARAO PARTICIPAM DE 2ª EDIÇÃO DO PROJETO 'EM BUSCA DE UM FUTURO MELHOR'</t>
        </is>
      </c>
      <c r="I723" t="inlineStr">
        <is>
          <t>NESSA SEGUNDA EDIÇÃO FORAM REALIZADAS TRÊS OFICINAS DE EDUCAÇÃO FINANCEIRA, QUE OCORRERAM EM JANEIRO E FEVEREIRO DESTE ANO.</t>
        </is>
      </c>
      <c r="J723" t="inlineStr"/>
      <c r="K723" t="n">
        <v>0</v>
      </c>
      <c r="L723" t="n">
        <v>2</v>
      </c>
      <c r="M723" t="n">
        <v>0</v>
      </c>
      <c r="N723" t="n">
        <v>0</v>
      </c>
      <c r="O723" t="n">
        <v>1</v>
      </c>
      <c r="P723">
        <f>HYPERLINK("https://g1.globo.com/pa/santarem-regiao/noticia/2021/02/25/venezuelanos-indigenas-da-etnia-warao-participam-de-2a-edicao-do-projeto-em-busca-de-um-futuro-melhor.ghtml", "URL")</f>
        <v/>
      </c>
      <c r="Q723">
        <f>HYPERLINK("https://raw.githubusercontent.com/marcosmapl/dataset_imigrantes/main/materias_filtered/g1/venezuelanos/2021/01_fev/html/g1_19d7f6dc-231f-11ed-b24f-6dbe51e79fca_3601.html", "HTML")</f>
        <v/>
      </c>
      <c r="R723">
        <f>HYPERLINK("https://raw.githubusercontent.com/marcosmapl/dataset_imigrantes/main/materias_filtered/g1/venezuelanos/2021/01_fev/txt/g1_19d7f6dc-231f-11ed-b24f-6dbe51e79fca_3601.txt", "TXT")</f>
        <v/>
      </c>
    </row>
    <row r="724">
      <c r="A724" s="1" t="n">
        <v>722</v>
      </c>
      <c r="B724" t="n">
        <v>2021</v>
      </c>
      <c r="C724" s="2" t="n">
        <v>44251.94470777778</v>
      </c>
      <c r="D724" t="inlineStr">
        <is>
          <t>G1</t>
        </is>
      </c>
      <c r="E724" t="inlineStr">
        <is>
          <t>AMBOS</t>
        </is>
      </c>
      <c r="F724" t="inlineStr">
        <is>
          <t>ACRE</t>
        </is>
      </c>
      <c r="G724" t="inlineStr">
        <is>
          <t>JANINE BRASIL, G1 AC — RIO BRANCO</t>
        </is>
      </c>
      <c r="H724" t="inlineStr">
        <is>
          <t>COM PONTE OCUPADA POR IMIGRANTES, CAMINHONEIROS PROTESTAM E TEMEM PERDER CARGA COM ALIMENTOS NA FRONTEIRA DO AC COM O PERU</t>
        </is>
      </c>
      <c r="I724" t="inlineStr">
        <is>
          <t>CAMINHONEIROS FIZERAM PROTESTO EM ASSIS BRASIL, NA FRONTEIRA DO ACRE COM O PERU, PARA CONSEGUIR PASSAR COM CARGAS PARA O LADO PERUANO. GRUPO DE IMIGRANTES OCUPA PONTE DA UNIÃO NA TENTATIVA DE CONSEGUIR SAIR DO BRASIL.</t>
        </is>
      </c>
      <c r="J724" t="inlineStr"/>
      <c r="K724" t="n">
        <v>0</v>
      </c>
      <c r="L724" t="n">
        <v>2</v>
      </c>
      <c r="M724" t="n">
        <v>0</v>
      </c>
      <c r="N724" t="n">
        <v>0</v>
      </c>
      <c r="O724" t="n">
        <v>9</v>
      </c>
      <c r="P724">
        <f>HYPERLINK("https://g1.globo.com/ac/acre/noticia/2021/02/24/com-ponte-ocupada-por-imigrantes-caminhoneiros-protestam-e-temem-perder-carga-com-alimentos-na-fronteira-do-ac-com-o-peru.ghtml", "URL")</f>
        <v/>
      </c>
      <c r="Q724">
        <f>HYPERLINK("https://raw.githubusercontent.com/marcosmapl/dataset_imigrantes/main/materias_filtered/g1/ambos/2021/01_fev/html/g1_b36673ae-2325-11ed-b24f-6dbe51e79fca_3929.html", "HTML")</f>
        <v/>
      </c>
      <c r="R724">
        <f>HYPERLINK("https://raw.githubusercontent.com/marcosmapl/dataset_imigrantes/main/materias_filtered/g1/ambos/2021/01_fev/txt/g1_b36673ae-2325-11ed-b24f-6dbe51e79fca_3929.txt", "TXT")</f>
        <v/>
      </c>
    </row>
    <row r="725">
      <c r="A725" s="1" t="n">
        <v>723</v>
      </c>
      <c r="B725" t="n">
        <v>2021</v>
      </c>
      <c r="C725" s="2" t="n">
        <v>44251.82777777778</v>
      </c>
      <c r="D725" t="inlineStr">
        <is>
          <t>A CRITICA</t>
        </is>
      </c>
      <c r="E725" t="inlineStr">
        <is>
          <t>VENEZUELANOS</t>
        </is>
      </c>
      <c r="F725" t="inlineStr">
        <is>
          <t>OPINIAO</t>
        </is>
      </c>
      <c r="G725" t="inlineStr">
        <is>
          <t>DULCE RODRIGUEZ</t>
        </is>
      </c>
      <c r="H725" t="inlineStr">
        <is>
          <t>VENEZUELANOS EM MANAUS: APÓS UM ANO DE PANDEMIA, MAIS UM RECOMEÇO</t>
        </is>
      </c>
      <c r="I725" t="inlineStr">
        <is>
          <t>A ASSISTÊNCIA EMERGENCIAL NECESSITARIA INCLUIR UM EMPREGO PARA QUE CONSIGAM SE ALIMENTAR E RECONSTRUIR A VIDA NO BRASIL</t>
        </is>
      </c>
      <c r="J725" t="inlineStr">
        <is>
          <t>VIDA-DE-IMIGRANTE</t>
        </is>
      </c>
      <c r="K725" t="n">
        <v>1</v>
      </c>
      <c r="L725" t="n">
        <v>1</v>
      </c>
      <c r="M725" t="n">
        <v>0</v>
      </c>
      <c r="N725" t="n">
        <v>0</v>
      </c>
      <c r="O725" t="n">
        <v>1</v>
      </c>
      <c r="P725">
        <f>HYPERLINK("https://www.acritica.com/opiniao/venezuelanos-em-manaus-apos-um-ano-de-pandemia-mais-um-recomeco-1.215694", "URL")</f>
        <v/>
      </c>
      <c r="Q725">
        <f>HYPERLINK("https://raw.githubusercontent.com/marcosmapl/dataset_imigrantes/main/materias_filtered/a_critica/venezuelanos/2021/01_fev/html/1.215694_310.html", "HTML")</f>
        <v/>
      </c>
      <c r="R725">
        <f>HYPERLINK("https://raw.githubusercontent.com/marcosmapl/dataset_imigrantes/main/materias_filtered/a_critica/venezuelanos/2021/01_fev/txt/1.215694_310.txt", "TXT")</f>
        <v/>
      </c>
    </row>
    <row r="726">
      <c r="A726" s="1" t="n">
        <v>724</v>
      </c>
      <c r="B726" t="n">
        <v>2021</v>
      </c>
      <c r="C726" s="2" t="n">
        <v>44251.51947916667</v>
      </c>
      <c r="D726" t="inlineStr">
        <is>
          <t>A CRITICA</t>
        </is>
      </c>
      <c r="E726" t="inlineStr">
        <is>
          <t>VENEZUELANOS</t>
        </is>
      </c>
      <c r="F726" t="inlineStr"/>
      <c r="G726" t="inlineStr">
        <is>
          <t>PORTAL A CRÍTICA</t>
        </is>
      </c>
      <c r="H726" t="inlineStr">
        <is>
          <t>GRUPO DESAPARECE NO TRAJETO ENTRE TABATINGA E MANAUS</t>
        </is>
      </c>
      <c r="I726" t="inlineStr">
        <is>
          <t>ENTRE OS DESAPARECIDOS ESTÃO TRÊS COLOMBIANOS, DOIS BRASILEIROS E UMA VENEZUELANA</t>
        </is>
      </c>
      <c r="J726" t="inlineStr"/>
      <c r="K726" t="n">
        <v>0</v>
      </c>
      <c r="L726" t="n">
        <v>1</v>
      </c>
      <c r="M726" t="n">
        <v>0</v>
      </c>
      <c r="N726" t="n">
        <v>0</v>
      </c>
      <c r="O726" t="n">
        <v>0</v>
      </c>
      <c r="P726">
        <f>HYPERLINK("https://www.acritica.com/grupo-desaparece-no-trajeto-entre-tabatinga-e-manaus-1.22046", "URL")</f>
        <v/>
      </c>
      <c r="Q726">
        <f>HYPERLINK("https://raw.githubusercontent.com/marcosmapl/dataset_imigrantes/main/materias_filtered/a_critica/venezuelanos/2021/01_fev/html/1.22046_529.html", "HTML")</f>
        <v/>
      </c>
      <c r="R726">
        <f>HYPERLINK("https://raw.githubusercontent.com/marcosmapl/dataset_imigrantes/main/materias_filtered/a_critica/venezuelanos/2021/01_fev/txt/1.22046_529.txt", "TXT")</f>
        <v/>
      </c>
    </row>
    <row r="727">
      <c r="A727" s="1" t="n">
        <v>725</v>
      </c>
      <c r="B727" t="n">
        <v>2021</v>
      </c>
      <c r="C727" s="2" t="n">
        <v>44250.92154157408</v>
      </c>
      <c r="D727" t="inlineStr">
        <is>
          <t>G1</t>
        </is>
      </c>
      <c r="E727" t="inlineStr">
        <is>
          <t>AMBOS</t>
        </is>
      </c>
      <c r="F727" t="inlineStr">
        <is>
          <t>ACRE</t>
        </is>
      </c>
      <c r="G727" t="inlineStr">
        <is>
          <t>TÁCITA MUNIZ, G1 AC — RIO BRANCO</t>
        </is>
      </c>
      <c r="H727" t="inlineStr">
        <is>
          <t>IMIGRANTES RETIDOS NA FRONTEIRA DO AC SE REÚNEM COM LÍDERES RELIGIOSOS E PEDEM AJUDA PARA SAIR DO BRASIL</t>
        </is>
      </c>
      <c r="I727" t="inlineStr">
        <is>
          <t>BISPO DOM DAVID VICARIATO, DE PUERTO MALDONADO, ENVIOU CARTA AO GOVERNO PERUANO PEDINDO QUE DEIXASSE O GRUPO PASSAR E EVITASSE UM ‘CONFLITO SOCIAL GRAVE’.</t>
        </is>
      </c>
      <c r="J727" t="inlineStr"/>
      <c r="K727" t="n">
        <v>0</v>
      </c>
      <c r="L727" t="n">
        <v>2</v>
      </c>
      <c r="M727" t="n">
        <v>0</v>
      </c>
      <c r="N727" t="n">
        <v>0</v>
      </c>
      <c r="O727" t="n">
        <v>8</v>
      </c>
      <c r="P727">
        <f>HYPERLINK("https://g1.globo.com/ac/acre/noticia/2021/02/23/imigrantes-retidos-na-fronteira-do-ac-se-reunem-com-lideres-religiosos-e-pedem-ajuda-para-sair-do-brasil.ghtml", "URL")</f>
        <v/>
      </c>
      <c r="Q727">
        <f>HYPERLINK("https://raw.githubusercontent.com/marcosmapl/dataset_imigrantes/main/materias_filtered/g1/ambos/2021/01_fev/html/g1_396531ca-2321-11ed-b24f-6dbe51e79fca_3686.html", "HTML")</f>
        <v/>
      </c>
      <c r="R727">
        <f>HYPERLINK("https://raw.githubusercontent.com/marcosmapl/dataset_imigrantes/main/materias_filtered/g1/ambos/2021/01_fev/txt/g1_396531ca-2321-11ed-b24f-6dbe51e79fca_3686.txt", "TXT")</f>
        <v/>
      </c>
    </row>
    <row r="728">
      <c r="A728" s="1" t="n">
        <v>726</v>
      </c>
      <c r="B728" t="n">
        <v>2021</v>
      </c>
      <c r="C728" s="2" t="n">
        <v>44250.77548657407</v>
      </c>
      <c r="D728" t="inlineStr">
        <is>
          <t>G1</t>
        </is>
      </c>
      <c r="E728" t="inlineStr">
        <is>
          <t>VENEZUELANOS</t>
        </is>
      </c>
      <c r="F728" t="inlineStr">
        <is>
          <t>GOIÁS</t>
        </is>
      </c>
      <c r="G728" t="inlineStr">
        <is>
          <t>VANESSA CHAVES, G1 GO</t>
        </is>
      </c>
      <c r="H728" t="inlineStr">
        <is>
          <t>DOIS COLOMBIANOS E UM VENEZUELANO SÃO PRESOS SUSPEITOS DE FURTAR MAIS DE R$ 1 MILHÃO EM SHOPPINGS DO PIAUÍ E MARANHÃO</t>
        </is>
      </c>
      <c r="I728" t="inlineStr">
        <is>
          <t>ABORDADO EM GOIÁS, TRIO ESTAVA EM CARRO ALUGADO COM DOCUMENTO FALSO, COM DESTINO A SÃO PAULO. SEGUNDO A PRF, ELES FURTARAM UMA JOALHERIA E UMA LOJA DE CELULAR EM CADA UM DOS CENTROS DE COMPRAS.</t>
        </is>
      </c>
      <c r="J728" t="inlineStr"/>
      <c r="K728" t="n">
        <v>0</v>
      </c>
      <c r="L728" t="n">
        <v>2</v>
      </c>
      <c r="M728" t="n">
        <v>1</v>
      </c>
      <c r="N728" t="n">
        <v>0</v>
      </c>
      <c r="O728" t="n">
        <v>5</v>
      </c>
      <c r="P728">
        <f>HYPERLINK("https://g1.globo.com/go/goias/noticia/2021/02/23/dois-colombianos-e-um-venezuelano-sao-presos-suspeitos-de-furtar-mais-de-r-1-milhao-em-shoppings-do-piaui-e-maranhao.ghtml", "URL")</f>
        <v/>
      </c>
      <c r="Q728">
        <f>HYPERLINK("https://raw.githubusercontent.com/marcosmapl/dataset_imigrantes/main/materias_filtered/g1/venezuelanos/2021/01_fev/html/g1_2259d0aa-2329-11ed-b24f-6dbe51e79fca_4100.html", "HTML")</f>
        <v/>
      </c>
      <c r="R728">
        <f>HYPERLINK("https://raw.githubusercontent.com/marcosmapl/dataset_imigrantes/main/materias_filtered/g1/venezuelanos/2021/01_fev/txt/g1_2259d0aa-2329-11ed-b24f-6dbe51e79fca_4100.txt", "TXT")</f>
        <v/>
      </c>
    </row>
    <row r="729">
      <c r="A729" s="1" t="n">
        <v>727</v>
      </c>
      <c r="B729" t="n">
        <v>2021</v>
      </c>
      <c r="C729" s="2" t="n">
        <v>44250.70397002315</v>
      </c>
      <c r="D729" t="inlineStr">
        <is>
          <t>G1</t>
        </is>
      </c>
      <c r="E729" t="inlineStr">
        <is>
          <t>AMBOS</t>
        </is>
      </c>
      <c r="F729" t="inlineStr">
        <is>
          <t>ACRE</t>
        </is>
      </c>
      <c r="G729" t="inlineStr">
        <is>
          <t>IRYÁ RODRIGUES, G1 AC — RIO BRANCO</t>
        </is>
      </c>
      <c r="H729" t="inlineStr">
        <is>
          <t>SEM CONSEGUIR PASSAR PARA O PERU, IMIGRANTES RETIDOS NO ACRE TENTAM ROTA ALTERNATIVA PARA CHEGAR NA BOLÍVIA</t>
        </is>
      </c>
      <c r="I729" t="inlineStr">
        <is>
          <t>GRUPO DE MAIS DE 40 PESSOAS ALUGOU ÔNIBUS PARA PODER CHEGAR EM LA PAZ, SAINDO PELA FRONTEIRA DO ACRE COM A BOLÍVIA, MAS A POLÍCIA DO PAÍS VIZINHO BARROU A ENTRADA E MANDOU OS IMIGRANTES DE VOLTA. PREFEITURA BRASILEIA, QUE FAZ FRONTEIRA COM BOLÍVIA, DIZ QUE PERCEBEU AUMENTO NO FLUXO DE IMIGRANTES NOS ÚLTIMOS DOIS DIAS E QUE CONTABILIZA NÚMERO DE PESSOAS.</t>
        </is>
      </c>
      <c r="J729" t="inlineStr"/>
      <c r="K729" t="n">
        <v>0</v>
      </c>
      <c r="L729" t="n">
        <v>1</v>
      </c>
      <c r="M729" t="n">
        <v>0</v>
      </c>
      <c r="N729" t="n">
        <v>0</v>
      </c>
      <c r="O729" t="n">
        <v>11</v>
      </c>
      <c r="P729">
        <f>HYPERLINK("https://g1.globo.com/ac/acre/noticia/2021/02/23/sem-conseguir-passar-para-o-peru-imigrantes-retidos-no-acre-tentam-rota-alternativa-para-chegar-na-bolivia.ghtml", "URL")</f>
        <v/>
      </c>
      <c r="Q729">
        <f>HYPERLINK("https://raw.githubusercontent.com/marcosmapl/dataset_imigrantes/main/materias_filtered/g1/ambos/2021/01_fev/html/g1_c60d6adc-231e-11ed-b24f-6dbe51e79fca_3584.html", "HTML")</f>
        <v/>
      </c>
      <c r="R729">
        <f>HYPERLINK("https://raw.githubusercontent.com/marcosmapl/dataset_imigrantes/main/materias_filtered/g1/ambos/2021/01_fev/txt/g1_c60d6adc-231e-11ed-b24f-6dbe51e79fca_3584.txt", "TXT")</f>
        <v/>
      </c>
    </row>
    <row r="730">
      <c r="A730" s="1" t="n">
        <v>728</v>
      </c>
      <c r="B730" t="n">
        <v>2021</v>
      </c>
      <c r="C730" s="2" t="n">
        <v>44250.55818409722</v>
      </c>
      <c r="D730" t="inlineStr">
        <is>
          <t>G1</t>
        </is>
      </c>
      <c r="E730" t="inlineStr">
        <is>
          <t>AMBOS</t>
        </is>
      </c>
      <c r="F730" t="inlineStr">
        <is>
          <t>ACRE</t>
        </is>
      </c>
      <c r="G730" t="inlineStr">
        <is>
          <t>IRYÁ RODRIGUES, G1 AC — RIO BRANCO</t>
        </is>
      </c>
      <c r="H730" t="inlineStr">
        <is>
          <t>GRUPO DE 20 IMIGRANTES CHEGA AO AC TENTANDO PASSAR PARA O PERU E MAIS DE 300 SEGUEM RETIDOS NA FRONTEIRA</t>
        </is>
      </c>
      <c r="I730" t="inlineStr">
        <is>
          <t>GRUPO ESTAVA EM CINCO TÁXIS QUE CHEGARAM À CIDADE NESSA SEGUNDA-FEIRA (22), SEGUNDO PREFEITO. COORDENADOR DO GEFRON, QUE FAZ O POLICIAMENTO NA REGIÃO DE FRONTEIRA, DIZ QUE CHEGADA TEM SIDO PRATICAMENTE DIÁRIA E QUE IMIGRANTES TENTAM ROTAS ALTERNATIVAS PELA BOLÍVIA, MAS TAMBÉM ESTÃO SENDO IMPEDIDOS DE ENTRAR NO PAÍS VIZINHO.</t>
        </is>
      </c>
      <c r="J730" t="inlineStr"/>
      <c r="K730" t="n">
        <v>0</v>
      </c>
      <c r="L730" t="n">
        <v>2</v>
      </c>
      <c r="M730" t="n">
        <v>0</v>
      </c>
      <c r="N730" t="n">
        <v>0</v>
      </c>
      <c r="O730" t="n">
        <v>11</v>
      </c>
      <c r="P730">
        <f>HYPERLINK("https://g1.globo.com/ac/acre/noticia/2021/02/23/grupo-de-20-imigrantes-chega-ao-ac-tentando-passar-para-o-peru-e-mais-de-300-seguem-retidos-na-fronteira.ghtml", "URL")</f>
        <v/>
      </c>
      <c r="Q730">
        <f>HYPERLINK("https://raw.githubusercontent.com/marcosmapl/dataset_imigrantes/main/materias_filtered/g1/ambos/2021/01_fev/html/g1_1bf7adb4-2319-11ed-b24f-6dbe51e79fca_3299.html", "HTML")</f>
        <v/>
      </c>
      <c r="R730">
        <f>HYPERLINK("https://raw.githubusercontent.com/marcosmapl/dataset_imigrantes/main/materias_filtered/g1/ambos/2021/01_fev/txt/g1_1bf7adb4-2319-11ed-b24f-6dbe51e79fca_3299.txt", "TXT")</f>
        <v/>
      </c>
    </row>
    <row r="731">
      <c r="A731" s="1" t="n">
        <v>729</v>
      </c>
      <c r="B731" t="n">
        <v>2021</v>
      </c>
      <c r="C731" s="2" t="n">
        <v>44248.8455787037</v>
      </c>
      <c r="D731" t="inlineStr">
        <is>
          <t>A CRITICA</t>
        </is>
      </c>
      <c r="E731" t="inlineStr">
        <is>
          <t>HAITIANOS</t>
        </is>
      </c>
      <c r="F731" t="inlineStr"/>
      <c r="G731" t="inlineStr">
        <is>
          <t>AGÊNCIA BRASIL</t>
        </is>
      </c>
      <c r="H731" t="inlineStr">
        <is>
          <t>ACRE CONTINUA A SOFRER COM CHEIAS, DENGUE E COVID-19</t>
        </is>
      </c>
      <c r="I731" t="inlineStr">
        <is>
          <t>ESTADO ESTÁ EM SITUAÇÃO DE EMERGÊNCIA DESDE A ÚLTIMA TERÇA-FEIRA</t>
        </is>
      </c>
      <c r="J731" t="inlineStr"/>
      <c r="K731" t="n">
        <v>0</v>
      </c>
      <c r="L731" t="n">
        <v>1</v>
      </c>
      <c r="M731" t="n">
        <v>0</v>
      </c>
      <c r="N731" t="n">
        <v>0</v>
      </c>
      <c r="O731" t="n">
        <v>0</v>
      </c>
      <c r="P731">
        <f>HYPERLINK("https://www.acritica.com/acre-continua-a-sofrer-com-cheias-dengue-e-covid-19-1.22038", "URL")</f>
        <v/>
      </c>
      <c r="Q731">
        <f>HYPERLINK("https://raw.githubusercontent.com/marcosmapl/dataset_imigrantes/main/materias_filtered/a_critica/haitianos/2021/01_fev/html/1.22038_1292.html", "HTML")</f>
        <v/>
      </c>
      <c r="R731">
        <f>HYPERLINK("https://raw.githubusercontent.com/marcosmapl/dataset_imigrantes/main/materias_filtered/a_critica/haitianos/2021/01_fev/txt/1.22038_1292.txt", "TXT")</f>
        <v/>
      </c>
    </row>
    <row r="732">
      <c r="A732" s="1" t="n">
        <v>730</v>
      </c>
      <c r="B732" t="n">
        <v>2021</v>
      </c>
      <c r="C732" s="2" t="n">
        <v>44248.81753096064</v>
      </c>
      <c r="D732" t="inlineStr">
        <is>
          <t>G1</t>
        </is>
      </c>
      <c r="E732" t="inlineStr">
        <is>
          <t>AMBOS</t>
        </is>
      </c>
      <c r="F732" t="inlineStr">
        <is>
          <t>ACRE</t>
        </is>
      </c>
      <c r="G732" t="inlineStr">
        <is>
          <t>ALCINETE GADELHA, G1 AC — RIO BRANCO</t>
        </is>
      </c>
      <c r="H732" t="inlineStr">
        <is>
          <t>MAIS DE 200 IMIGRANTES RETIDOS NA FRONTEIRA DO ACRE E PERU DEVEM FAZER TESTES PARA COVID-19</t>
        </is>
      </c>
      <c r="I732" t="inlineStr">
        <is>
          <t>SECRETARIA ESTADUAL DE SAÚDE DISPONIBILIZOU 600 TESTES QUE DEVEM SER REPASSADOS AO MUNICÍPIO QUANDO APRESENTAR PLANO DE VACINAÇÃO.</t>
        </is>
      </c>
      <c r="J732" t="inlineStr"/>
      <c r="K732" t="n">
        <v>0</v>
      </c>
      <c r="L732" t="n">
        <v>1</v>
      </c>
      <c r="M732" t="n">
        <v>0</v>
      </c>
      <c r="N732" t="n">
        <v>0</v>
      </c>
      <c r="O732" t="n">
        <v>10</v>
      </c>
      <c r="P732">
        <f>HYPERLINK("https://g1.globo.com/ac/acre/noticia/2021/02/21/mais-de-200-imigrantes-retidos-na-fronteira-do-acre-e-peru-devem-fazer-testes-para-covid-19.ghtml", "URL")</f>
        <v/>
      </c>
      <c r="Q732">
        <f>HYPERLINK("https://raw.githubusercontent.com/marcosmapl/dataset_imigrantes/main/materias_filtered/g1/ambos/2021/01_fev/html/g1_f5e90ede-2317-11ed-b24f-6dbe51e79fca_3236.html", "HTML")</f>
        <v/>
      </c>
      <c r="R732">
        <f>HYPERLINK("https://raw.githubusercontent.com/marcosmapl/dataset_imigrantes/main/materias_filtered/g1/ambos/2021/01_fev/txt/g1_f5e90ede-2317-11ed-b24f-6dbe51e79fca_3236.txt", "TXT")</f>
        <v/>
      </c>
    </row>
    <row r="733">
      <c r="A733" s="1" t="n">
        <v>731</v>
      </c>
      <c r="B733" t="n">
        <v>2021</v>
      </c>
      <c r="C733" s="2" t="n">
        <v>44248.753153125</v>
      </c>
      <c r="D733" t="inlineStr">
        <is>
          <t>G1</t>
        </is>
      </c>
      <c r="E733" t="inlineStr">
        <is>
          <t>HAITIANOS</t>
        </is>
      </c>
      <c r="F733" t="inlineStr">
        <is>
          <t>RONDÔNIA</t>
        </is>
      </c>
      <c r="G733" t="inlineStr">
        <is>
          <t>G1 RO — PORTO VELHO</t>
        </is>
      </c>
      <c r="H733" t="inlineStr">
        <is>
          <t>HAITIANO É MORTO COM TIRO EM FEIRA DE PORTO VELHO; SUSPEITOS FORAM PRESOS MINUTOS DEPOIS</t>
        </is>
      </c>
      <c r="I733" t="inlineStr">
        <is>
          <t>FLANELINHA DE 20 ANOS ASSUMIU A AUTORIA DO CRIME, SEGUNDO A POLÍCIA. MOTIVAÇÃO DO CRIME SERIA UM SUPOSTO TAPA DESFERIDO PELA VÍTIMA CONTRA O SUSPEITO UMA SEMANA ANTES DO HOMICÍDIO.</t>
        </is>
      </c>
      <c r="J733" t="inlineStr"/>
      <c r="K733" t="n">
        <v>0</v>
      </c>
      <c r="L733" t="n">
        <v>0</v>
      </c>
      <c r="M733" t="n">
        <v>0</v>
      </c>
      <c r="N733" t="n">
        <v>0</v>
      </c>
      <c r="O733" t="n">
        <v>0</v>
      </c>
      <c r="P733">
        <f>HYPERLINK("https://g1.globo.com/ro/rondonia/noticia/2021/02/21/haitiano-e-morto-com-tiro-em-feira-de-porto-velho-suspeitos-foram-presos-minutos-depois.ghtml", "URL")</f>
        <v/>
      </c>
      <c r="Q733">
        <f>HYPERLINK("https://raw.githubusercontent.com/marcosmapl/dataset_imigrantes/main/materias_filtered/g1/haitianos/2021/01_fev/html/g1_44b6edd8-22fa-11ed-b24f-6dbe51e79fca_2209.html", "HTML")</f>
        <v/>
      </c>
      <c r="R733">
        <f>HYPERLINK("https://raw.githubusercontent.com/marcosmapl/dataset_imigrantes/main/materias_filtered/g1/haitianos/2021/01_fev/txt/g1_44b6edd8-22fa-11ed-b24f-6dbe51e79fca_2209.txt", "TXT")</f>
        <v/>
      </c>
    </row>
    <row r="734">
      <c r="A734" s="1" t="n">
        <v>732</v>
      </c>
      <c r="B734" t="n">
        <v>2021</v>
      </c>
      <c r="C734" s="2" t="n">
        <v>44246.52824074074</v>
      </c>
      <c r="D734" t="inlineStr">
        <is>
          <t>A CRITICA</t>
        </is>
      </c>
      <c r="E734" t="inlineStr">
        <is>
          <t>VENEZUELANOS</t>
        </is>
      </c>
      <c r="F734" t="inlineStr">
        <is>
          <t>SAUDE</t>
        </is>
      </c>
      <c r="G734" t="inlineStr">
        <is>
          <t>PORTAL A CRÍTICA</t>
        </is>
      </c>
      <c r="H734" t="inlineStr">
        <is>
          <t>PREFEITURA REALIZA AÇÃO DE MONITORAMENTO DE COVID-19 PARA IMIGRANTES</t>
        </is>
      </c>
      <c r="I734" t="inlineStr">
        <is>
          <t>AÇÃO ACONTECEU NAS IMEDIAÇÕES DO TERMINAL RODOVIÁRIO DE MANAUS</t>
        </is>
      </c>
      <c r="J734" t="inlineStr"/>
      <c r="K734" t="n">
        <v>0</v>
      </c>
      <c r="L734" t="n">
        <v>1</v>
      </c>
      <c r="M734" t="n">
        <v>0</v>
      </c>
      <c r="N734" t="n">
        <v>0</v>
      </c>
      <c r="O734" t="n">
        <v>0</v>
      </c>
      <c r="P734">
        <f>HYPERLINK("https://www.acritica.com/saude/prefeitura-realiza-ac-o-de-monitoramento-de-covid-19-para-imigrantes-1.22962", "URL")</f>
        <v/>
      </c>
      <c r="Q734">
        <f>HYPERLINK("https://raw.githubusercontent.com/marcosmapl/dataset_imigrantes/main/materias_filtered/a_critica/venezuelanos/2021/01_fev/html/1.22962_1163.html", "HTML")</f>
        <v/>
      </c>
      <c r="R734">
        <f>HYPERLINK("https://raw.githubusercontent.com/marcosmapl/dataset_imigrantes/main/materias_filtered/a_critica/venezuelanos/2021/01_fev/txt/1.22962_1163.txt", "TXT")</f>
        <v/>
      </c>
    </row>
    <row r="735">
      <c r="A735" s="1" t="n">
        <v>733</v>
      </c>
      <c r="B735" t="n">
        <v>2021</v>
      </c>
      <c r="C735" s="2" t="n">
        <v>44245.58816782408</v>
      </c>
      <c r="D735" t="inlineStr">
        <is>
          <t>G1</t>
        </is>
      </c>
      <c r="E735" t="inlineStr">
        <is>
          <t>AMBOS</t>
        </is>
      </c>
      <c r="F735" t="inlineStr">
        <is>
          <t>ACRE</t>
        </is>
      </c>
      <c r="G735" t="inlineStr">
        <is>
          <t>TÁCITA MUNIZ, G1 ACRE — RIO BRANCO</t>
        </is>
      </c>
      <c r="H735" t="inlineStr">
        <is>
          <t>MAIS 50 IMIGRANTES CHEGAM A ASSIS BRASIL; PARA PREFEITO, CIDADE 'NÃO TEM CAPACIDADE DE ATENDER TANTA GENTE'</t>
        </is>
      </c>
      <c r="I735" t="inlineStr">
        <is>
          <t>ASSIS BRASIL TEM A MAIOR TAXA DE CONTAMINAÇÃO DE COVID-19 E PREFEITO TEME PELA SAÚDE PÚBLICA. CIDADE ESTÁ ENFRENTANDO PROBLEMAS COM FLUXO DE IMIGRANTES RETIDOS DEVIDO ÀS FRONTEIRAS COM O PERU ESTAREM FECHADAS.</t>
        </is>
      </c>
      <c r="J735" t="inlineStr"/>
      <c r="K735" t="n">
        <v>0</v>
      </c>
      <c r="L735" t="n">
        <v>2</v>
      </c>
      <c r="M735" t="n">
        <v>0</v>
      </c>
      <c r="N735" t="n">
        <v>0</v>
      </c>
      <c r="O735" t="n">
        <v>7</v>
      </c>
      <c r="P735">
        <f>HYPERLINK("https://g1.globo.com/ac/acre/noticia/2021/02/18/mais-50-venezuelanos-chegam-no-interior-do-acre-e-agrava-crise-migratoria-diz-prefeito.ghtml", "URL")</f>
        <v/>
      </c>
      <c r="Q735">
        <f>HYPERLINK("https://raw.githubusercontent.com/marcosmapl/dataset_imigrantes/main/materias_filtered/g1/ambos/2021/01_fev/html/g1_79a93a7c-230f-11ed-b24f-6dbe51e79fca_2797.html", "HTML")</f>
        <v/>
      </c>
      <c r="R735">
        <f>HYPERLINK("https://raw.githubusercontent.com/marcosmapl/dataset_imigrantes/main/materias_filtered/g1/ambos/2021/01_fev/txt/g1_79a93a7c-230f-11ed-b24f-6dbe51e79fca_2797.txt", "TXT")</f>
        <v/>
      </c>
    </row>
    <row r="736">
      <c r="A736" s="1" t="n">
        <v>734</v>
      </c>
      <c r="B736" t="n">
        <v>2021</v>
      </c>
      <c r="C736" s="2" t="n">
        <v>44245.46354828704</v>
      </c>
      <c r="D736" t="inlineStr">
        <is>
          <t>G1</t>
        </is>
      </c>
      <c r="E736" t="inlineStr">
        <is>
          <t>HAITIANOS</t>
        </is>
      </c>
      <c r="F736" t="inlineStr">
        <is>
          <t>ACRE</t>
        </is>
      </c>
      <c r="G736" t="inlineStr">
        <is>
          <t>TÁCITA MUNIZ, G1 ACRE — RIO BRANCO</t>
        </is>
      </c>
      <c r="H736" t="inlineStr">
        <is>
          <t>MINISTÉRIO DA JUSTIÇA AUTORIZA USO DA FORÇA NACIONAL PARA BLOQUEAR ENTRADA DE ESTRANGEIROS NO ACRE</t>
        </is>
      </c>
      <c r="I736" t="inlineStr">
        <is>
          <t>MEDIDA É VÁLIDA ATÉ 18 DE ABRIL. ESTADO, QUE LIDA COM CRISE COM IMIGRANTES, SURTO DE DENGUE E FALTA DE LEITOS PARA PACIENTES DE COVID-19, DECRETOU SITUAÇÃO DE EMERGÊNCIA EM PARTE DOS MUNICÍPIOS.</t>
        </is>
      </c>
      <c r="J736" t="inlineStr"/>
      <c r="K736" t="n">
        <v>0</v>
      </c>
      <c r="L736" t="n">
        <v>1</v>
      </c>
      <c r="M736" t="n">
        <v>0</v>
      </c>
      <c r="N736" t="n">
        <v>0</v>
      </c>
      <c r="O736" t="n">
        <v>8</v>
      </c>
      <c r="P736">
        <f>HYPERLINK("https://g1.globo.com/ac/acre/noticia/2021/02/18/ministerio-da-justica-autoriza-forca-nacional-imigrantes-acre.ghtml", "URL")</f>
        <v/>
      </c>
      <c r="Q736">
        <f>HYPERLINK("https://raw.githubusercontent.com/marcosmapl/dataset_imigrantes/main/materias_filtered/g1/haitianos/2021/01_fev/html/g1_5b61ba76-22ec-11ed-b24f-6dbe51e79fca_1655.html", "HTML")</f>
        <v/>
      </c>
      <c r="R736">
        <f>HYPERLINK("https://raw.githubusercontent.com/marcosmapl/dataset_imigrantes/main/materias_filtered/g1/haitianos/2021/01_fev/txt/g1_5b61ba76-22ec-11ed-b24f-6dbe51e79fca_1655.txt", "TXT")</f>
        <v/>
      </c>
    </row>
    <row r="737">
      <c r="A737" s="1" t="n">
        <v>735</v>
      </c>
      <c r="B737" t="n">
        <v>2021</v>
      </c>
      <c r="C737" s="2" t="n">
        <v>44245.04684087963</v>
      </c>
      <c r="D737" t="inlineStr">
        <is>
          <t>G1</t>
        </is>
      </c>
      <c r="E737" t="inlineStr">
        <is>
          <t>HAITIANOS</t>
        </is>
      </c>
      <c r="F737" t="inlineStr">
        <is>
          <t>JORNAL NACIONAL</t>
        </is>
      </c>
      <c r="G737" t="inlineStr"/>
      <c r="H737" t="inlineStr">
        <is>
          <t>CIDADE NO ACRE ENFRENTA CRISE MIGRATÓRIA E DECRETA ESTADO DE CALAMIDADE PÚBLICA</t>
        </is>
      </c>
      <c r="I737" t="inlineStr">
        <is>
          <t>ELES FAZEM O CAMINHO INVERSO DE UMA VIAGEM QUE COMEÇOU HÁ 11 ANOS, QUANDO MILHARES DE IMIGRANTES, PRINCIPALMENTE HAITIANOS E AFRICANOS, CHEGARAM À CIDADE DE ASSIS BRASIL, NO ACRE, NA FRONTEIRA COM O PERU.</t>
        </is>
      </c>
      <c r="J737" t="inlineStr"/>
      <c r="K737" t="n">
        <v>0</v>
      </c>
      <c r="L737" t="n">
        <v>1</v>
      </c>
      <c r="M737" t="n">
        <v>1</v>
      </c>
      <c r="N737" t="n">
        <v>0</v>
      </c>
      <c r="O737" t="n">
        <v>0</v>
      </c>
      <c r="P737">
        <f>HYPERLINK("https://g1.globo.com/jornal-nacional/noticia/2021/02/17/cidade-no-acre-enfrenta-crise-migratoria-e-decreta-estado-de-calamidade-publica.ghtml", "URL")</f>
        <v/>
      </c>
      <c r="Q737">
        <f>HYPERLINK("https://raw.githubusercontent.com/marcosmapl/dataset_imigrantes/main/materias_filtered/g1/haitianos/2021/01_fev/html/g1_5e74e3ca-22f4-11ed-b24f-6dbe51e79fca_1884.html", "HTML")</f>
        <v/>
      </c>
      <c r="R737">
        <f>HYPERLINK("https://raw.githubusercontent.com/marcosmapl/dataset_imigrantes/main/materias_filtered/g1/haitianos/2021/01_fev/txt/g1_5e74e3ca-22f4-11ed-b24f-6dbe51e79fca_1884.txt", "TXT")</f>
        <v/>
      </c>
    </row>
    <row r="738">
      <c r="A738" s="1" t="n">
        <v>736</v>
      </c>
      <c r="B738" t="n">
        <v>2021</v>
      </c>
      <c r="C738" s="2" t="n">
        <v>44244.87694444445</v>
      </c>
      <c r="D738" t="inlineStr">
        <is>
          <t>A CRITICA</t>
        </is>
      </c>
      <c r="E738" t="inlineStr">
        <is>
          <t>VENEZUELANOS</t>
        </is>
      </c>
      <c r="F738" t="inlineStr">
        <is>
          <t>SAUDE</t>
        </is>
      </c>
      <c r="G738" t="inlineStr">
        <is>
          <t>PORTAL A CRÍTICA</t>
        </is>
      </c>
      <c r="H738" t="inlineStr">
        <is>
          <t>MPF QUER VACINAÇÃO PRIORITÁRIA CONTRA A COVID-19 DE TODOS OS INDÍGENAS DO AM</t>
        </is>
      </c>
      <c r="I738" t="inlineStr">
        <is>
          <t>INDÍGENAS QUE VIVEM EM CONTEXTO URBANO OU EM ÁREAS NÃO REGULARIZADAS FAZEM PARTE DO PLANO EMERGENCIAL PARA ENFRENTAMENTO À COVID-19, ESTABELECIDO PELA LEI N º 14.021/20; PRAZO PARA RESPOSTA É DE CINCO DIAS</t>
        </is>
      </c>
      <c r="J738" t="inlineStr"/>
      <c r="K738" t="n">
        <v>0</v>
      </c>
      <c r="L738" t="n">
        <v>1</v>
      </c>
      <c r="M738" t="n">
        <v>0</v>
      </c>
      <c r="N738" t="n">
        <v>0</v>
      </c>
      <c r="O738" t="n">
        <v>0</v>
      </c>
      <c r="P738">
        <f>HYPERLINK("https://www.acritica.com/saude/mpf-quer-vacinac-o-prioritaria-contra-a-covid-19-de-todos-os-indigenas-do-am-1.23138", "URL")</f>
        <v/>
      </c>
      <c r="Q738">
        <f>HYPERLINK("https://raw.githubusercontent.com/marcosmapl/dataset_imigrantes/main/materias_filtered/a_critica/venezuelanos/2021/01_fev/html/1.23138_605.html", "HTML")</f>
        <v/>
      </c>
      <c r="R738">
        <f>HYPERLINK("https://raw.githubusercontent.com/marcosmapl/dataset_imigrantes/main/materias_filtered/a_critica/venezuelanos/2021/01_fev/txt/1.23138_605.txt", "TXT")</f>
        <v/>
      </c>
    </row>
    <row r="739">
      <c r="A739" s="1" t="n">
        <v>737</v>
      </c>
      <c r="B739" t="n">
        <v>2021</v>
      </c>
      <c r="C739" s="2" t="n">
        <v>44244.75807603009</v>
      </c>
      <c r="D739" t="inlineStr">
        <is>
          <t>G1</t>
        </is>
      </c>
      <c r="E739" t="inlineStr">
        <is>
          <t>VENEZUELANOS</t>
        </is>
      </c>
      <c r="F739" t="inlineStr">
        <is>
          <t>MATO GROSSO</t>
        </is>
      </c>
      <c r="G739" t="inlineStr">
        <is>
          <t>G1 MT</t>
        </is>
      </c>
      <c r="H739" t="inlineStr">
        <is>
          <t>VENEZUELANO ACUSADO DE MATAR E ESQUARTEJAR VÍTIMA EM RORAIMA É PRESO EM MT</t>
        </is>
      </c>
      <c r="I739" t="inlineStr">
        <is>
          <t>SEGUNDO A POLÍCIA RORAIMENSE, O SUSPEITO É LIGADO A UMA ORGANIZAÇÃO CRIMINOSA DA VENEZUELA, CONHECIDA POR MATAR CRIMINOSOS CONCORRENTES.</t>
        </is>
      </c>
      <c r="J739" t="inlineStr"/>
      <c r="K739" t="n">
        <v>0</v>
      </c>
      <c r="L739" t="n">
        <v>1</v>
      </c>
      <c r="M739" t="n">
        <v>0</v>
      </c>
      <c r="N739" t="n">
        <v>0</v>
      </c>
      <c r="O739" t="n">
        <v>0</v>
      </c>
      <c r="P739">
        <f>HYPERLINK("https://g1.globo.com/mt/mato-grosso/noticia/2021/02/17/venezuelano-acusado-de-matar-e-esquartejar-vitima-em-roraima-e-preso-em-mt.ghtml", "URL")</f>
        <v/>
      </c>
      <c r="Q739">
        <f>HYPERLINK("https://raw.githubusercontent.com/marcosmapl/dataset_imigrantes/main/materias_filtered/g1/venezuelanos/2021/01_fev/html/g1_5ca7e9e0-2329-11ed-b24f-6dbe51e79fca_4112.html", "HTML")</f>
        <v/>
      </c>
      <c r="R739">
        <f>HYPERLINK("https://raw.githubusercontent.com/marcosmapl/dataset_imigrantes/main/materias_filtered/g1/venezuelanos/2021/01_fev/txt/g1_5ca7e9e0-2329-11ed-b24f-6dbe51e79fca_4112.txt", "TXT")</f>
        <v/>
      </c>
    </row>
    <row r="740">
      <c r="A740" s="1" t="n">
        <v>738</v>
      </c>
      <c r="B740" t="n">
        <v>2021</v>
      </c>
      <c r="C740" s="2" t="n">
        <v>44244.69695490741</v>
      </c>
      <c r="D740" t="inlineStr">
        <is>
          <t>G1</t>
        </is>
      </c>
      <c r="E740" t="inlineStr">
        <is>
          <t>HAITIANOS</t>
        </is>
      </c>
      <c r="F740" t="inlineStr">
        <is>
          <t>ACRE</t>
        </is>
      </c>
      <c r="G740" t="inlineStr">
        <is>
          <t>IRYÁ RODRIGUES, G1 AC — RIO BRANCO</t>
        </is>
      </c>
      <c r="H740" t="inlineStr">
        <is>
          <t>APÓS CONFRONTO COM POLÍCIA NO PERU, SETE IMIGRANTES SÃO ATENDIDOS EM HOSPITAL NO AC E 130 CONTINUAM ACAMPADOS EM PONTE</t>
        </is>
      </c>
      <c r="I740" t="inlineStr">
        <is>
          <t>OUTRAS 240 PESSOAS ESTÃO NOS ABRIGOS INSTALADOS EM DUAS ESCOLAS NA CIDADE DE ASSIS BRASIL. GERÊNCIA DA UNIDADE DE SAÚDE DA CIDADE INFORMOU QUE ENTRE FERIDOS TINHA UMA CRIANÇA E QUE TODOS RECEBERAM ATENDIMENTO E, POR SEREM ESCORIAÇÕES LEVES, JÁ FORAM LIBERADOS.</t>
        </is>
      </c>
      <c r="J740" t="inlineStr"/>
      <c r="K740" t="n">
        <v>0</v>
      </c>
      <c r="L740" t="n">
        <v>4</v>
      </c>
      <c r="M740" t="n">
        <v>3</v>
      </c>
      <c r="N740" t="n">
        <v>0</v>
      </c>
      <c r="O740" t="n">
        <v>12</v>
      </c>
      <c r="P740">
        <f>HYPERLINK("https://g1.globo.com/ac/acre/noticia/2021/02/17/apos-confronto-com-policia-no-peru-sete-imigrantes-sao-atendidos-em-hospital-no-ac-e-130-continuam-acampados-em-ponte.ghtml", "URL")</f>
        <v/>
      </c>
      <c r="Q740">
        <f>HYPERLINK("https://raw.githubusercontent.com/marcosmapl/dataset_imigrantes/main/materias_filtered/g1/haitianos/2021/01_fev/html/g1_d6b49678-232b-11ed-b24f-6dbe51e79fca_4274.html", "HTML")</f>
        <v/>
      </c>
      <c r="R740">
        <f>HYPERLINK("https://raw.githubusercontent.com/marcosmapl/dataset_imigrantes/main/materias_filtered/g1/haitianos/2021/01_fev/txt/g1_d6b49678-232b-11ed-b24f-6dbe51e79fca_4274.txt", "TXT")</f>
        <v/>
      </c>
    </row>
    <row r="741">
      <c r="A741" s="1" t="n">
        <v>739</v>
      </c>
      <c r="B741" t="n">
        <v>2021</v>
      </c>
      <c r="C741" s="2" t="n">
        <v>44244.3341440162</v>
      </c>
      <c r="D741" t="inlineStr">
        <is>
          <t>G1</t>
        </is>
      </c>
      <c r="E741" t="inlineStr">
        <is>
          <t>HAITIANOS</t>
        </is>
      </c>
      <c r="F741" t="inlineStr">
        <is>
          <t>ACRE</t>
        </is>
      </c>
      <c r="G741" t="inlineStr">
        <is>
          <t>ALINE NASCIMENTO, G1 AC — RIO BRANCO</t>
        </is>
      </c>
      <c r="H741" t="inlineStr">
        <is>
          <t>IMIGRANTES ACAMPADOS EM PONTE NA FRONTEIRA DO PERU COMEÇAM A VOLTAR PARA ABRIGOS NO ACRE</t>
        </is>
      </c>
      <c r="I741" t="inlineStr">
        <is>
          <t>IMIGRANTES, NA MAIORIA HAITIANOS, ESTAVAM ACAMPADOS NA PONTE DA INTEGRAÇÃO, EM ASSIS BRASIL, MUNICÍPIO QUE FAZ FRONTEIRA COM A CIDADE DE INÃPARI, NO PERU. INICIALMENTE, APENAS MULHERES, CRIANÇAS, GRÁVIDAS E ALGUNS HOMENS RETORNARAM PARA ABRIGO.</t>
        </is>
      </c>
      <c r="J741" t="inlineStr"/>
      <c r="K741" t="n">
        <v>0</v>
      </c>
      <c r="L741" t="n">
        <v>3</v>
      </c>
      <c r="M741" t="n">
        <v>1</v>
      </c>
      <c r="N741" t="n">
        <v>0</v>
      </c>
      <c r="O741" t="n">
        <v>15</v>
      </c>
      <c r="P741">
        <f>HYPERLINK("https://g1.globo.com/ac/acre/noticia/2021/02/17/imigrantes-acampados-em-ponte-na-fronteira-do-peru-comecam-a-voltar-para-abrigos-no-acre.ghtml", "URL")</f>
        <v/>
      </c>
      <c r="Q741">
        <f>HYPERLINK("https://raw.githubusercontent.com/marcosmapl/dataset_imigrantes/main/materias_filtered/g1/haitianos/2021/01_fev/html/g1_4aab73f6-22f2-11ed-b24f-6dbe51e79fca_1790.html", "HTML")</f>
        <v/>
      </c>
      <c r="R741">
        <f>HYPERLINK("https://raw.githubusercontent.com/marcosmapl/dataset_imigrantes/main/materias_filtered/g1/haitianos/2021/01_fev/txt/g1_4aab73f6-22f2-11ed-b24f-6dbe51e79fca_1790.txt", "TXT")</f>
        <v/>
      </c>
    </row>
    <row r="742">
      <c r="A742" s="1" t="n">
        <v>740</v>
      </c>
      <c r="B742" t="n">
        <v>2021</v>
      </c>
      <c r="C742" s="2" t="n">
        <v>44243.89438077546</v>
      </c>
      <c r="D742" t="inlineStr">
        <is>
          <t>G1</t>
        </is>
      </c>
      <c r="E742" t="inlineStr">
        <is>
          <t>VENEZUELANOS</t>
        </is>
      </c>
      <c r="F742" t="inlineStr">
        <is>
          <t>RORAIMA</t>
        </is>
      </c>
      <c r="G742" t="inlineStr">
        <is>
          <t>G1 RR — BOA VISTA</t>
        </is>
      </c>
      <c r="H742" t="inlineStr">
        <is>
          <t>DOIS JOVENS SÃO MORTOS E TRÊS FICAM FERIDOS DURANTE TIROTEIO NA ZONA SUL DE BOA VISTA</t>
        </is>
      </c>
      <c r="I742" t="inlineStr">
        <is>
          <t>O CRIME OCORREU NA TARDE DESTA TERÇA-FEIRA (16) EM UM BAR PRÓXIMO À FEIRA DO PRODUTOR, NO BAIRRO SÃO VICENTE. DE ACORDO COM A PM, OS ATIRADORES CHEGARAM EM UMA MOTO E FIZERAM OS DISPAROS. TODAS AS VÍTIMAS SÃO DE NACIONALIDADE VENEZUELANA.</t>
        </is>
      </c>
      <c r="J742" t="inlineStr"/>
      <c r="K742" t="n">
        <v>0</v>
      </c>
      <c r="L742" t="n">
        <v>0</v>
      </c>
      <c r="M742" t="n">
        <v>0</v>
      </c>
      <c r="N742" t="n">
        <v>0</v>
      </c>
      <c r="O742" t="n">
        <v>0</v>
      </c>
      <c r="P742">
        <f>HYPERLINK("https://g1.globo.com/rr/roraima/noticia/2021/02/16/tres-pessoas-ficam-feridas-e-duas-morrem-durante-tiroteio-na-zona-sul-de-boa-vista.ghtml", "URL")</f>
        <v/>
      </c>
      <c r="Q742">
        <f>HYPERLINK("https://raw.githubusercontent.com/marcosmapl/dataset_imigrantes/main/materias_filtered/g1/venezuelanos/2021/01_fev/html/g1_ddf8a44e-230b-11ed-b24f-6dbe51e79fca_2592.html", "HTML")</f>
        <v/>
      </c>
      <c r="R742">
        <f>HYPERLINK("https://raw.githubusercontent.com/marcosmapl/dataset_imigrantes/main/materias_filtered/g1/venezuelanos/2021/01_fev/txt/g1_ddf8a44e-230b-11ed-b24f-6dbe51e79fca_2592.txt", "TXT")</f>
        <v/>
      </c>
    </row>
    <row r="743">
      <c r="A743" s="1" t="n">
        <v>741</v>
      </c>
      <c r="B743" t="n">
        <v>2021</v>
      </c>
      <c r="C743" s="2" t="n">
        <v>44242.60581813657</v>
      </c>
      <c r="D743" t="inlineStr">
        <is>
          <t>G1</t>
        </is>
      </c>
      <c r="E743" t="inlineStr">
        <is>
          <t>VENEZUELANOS</t>
        </is>
      </c>
      <c r="F743" t="inlineStr">
        <is>
          <t>RORAIMA</t>
        </is>
      </c>
      <c r="G743" t="inlineStr">
        <is>
          <t>G1 RR — BOA VISTA</t>
        </is>
      </c>
      <c r="H743" t="inlineStr">
        <is>
          <t>MOTORISTA É MORTO A TIROS E PASSAGEIRO VENEZUELANO ATINGIDO POR NOVE DISPAROS EM BOA VISTA</t>
        </is>
      </c>
      <c r="I743" t="inlineStr">
        <is>
          <t>FORAM DADOS 14 DISPAROS CONTRA O VEÍCULO POR DOIS SUSPEITOS, QUE AINDA FUGIRAM COM O CARRO.</t>
        </is>
      </c>
      <c r="J743" t="inlineStr"/>
      <c r="K743" t="n">
        <v>0</v>
      </c>
      <c r="L743" t="n">
        <v>1</v>
      </c>
      <c r="M743" t="n">
        <v>0</v>
      </c>
      <c r="N743" t="n">
        <v>0</v>
      </c>
      <c r="O743" t="n">
        <v>0</v>
      </c>
      <c r="P743">
        <f>HYPERLINK("https://g1.globo.com/rr/roraima/noticia/2021/02/15/motorista-e-morto-a-tiros-e-passageiro-venezuelano-atingido-por-nove-disparos-em-boa-vista.ghtml", "URL")</f>
        <v/>
      </c>
      <c r="Q743">
        <f>HYPERLINK("https://raw.githubusercontent.com/marcosmapl/dataset_imigrantes/main/materias_filtered/g1/venezuelanos/2021/01_fev/html/g1_be5154c0-2323-11ed-b24f-6dbe51e79fca_3826.html", "HTML")</f>
        <v/>
      </c>
      <c r="R743">
        <f>HYPERLINK("https://raw.githubusercontent.com/marcosmapl/dataset_imigrantes/main/materias_filtered/g1/venezuelanos/2021/01_fev/txt/g1_be5154c0-2323-11ed-b24f-6dbe51e79fca_3826.txt", "TXT")</f>
        <v/>
      </c>
    </row>
    <row r="744">
      <c r="A744" s="1" t="n">
        <v>742</v>
      </c>
      <c r="B744" t="n">
        <v>2021</v>
      </c>
      <c r="C744" s="2" t="n">
        <v>44241.73094767361</v>
      </c>
      <c r="D744" t="inlineStr">
        <is>
          <t>G1</t>
        </is>
      </c>
      <c r="E744" t="inlineStr">
        <is>
          <t>HAITIANOS</t>
        </is>
      </c>
      <c r="F744" t="inlineStr">
        <is>
          <t>ACRE</t>
        </is>
      </c>
      <c r="G744" t="inlineStr">
        <is>
          <t>ALCINETE GADELHA, G1 AC — RIO BRANCO</t>
        </is>
      </c>
      <c r="H744" t="inlineStr">
        <is>
          <t>IMIGRANTES HAITIANOS SÃO BARRADOS AO TENTAR DEIXAR O ACRE PELA FRONTEIRA DO PERU: 'SITUAÇÃO CAÓTICA', DIZ PREFEITO</t>
        </is>
      </c>
      <c r="I744" t="inlineStr">
        <is>
          <t>IMIGRANTES HAITIANOS ESTÃO ACAMPADOS NA PONTE DA INTEGRAÇÃO, EM ASSIS BRASIL, NA FRONTEIRA COM O PERU.</t>
        </is>
      </c>
      <c r="J744" t="inlineStr"/>
      <c r="K744" t="n">
        <v>0</v>
      </c>
      <c r="L744" t="n">
        <v>2</v>
      </c>
      <c r="M744" t="n">
        <v>0</v>
      </c>
      <c r="N744" t="n">
        <v>0</v>
      </c>
      <c r="O744" t="n">
        <v>6</v>
      </c>
      <c r="P744">
        <f>HYPERLINK("https://g1.globo.com/ac/acre/noticia/2021/02/14/imigrantes-sao-barrados-ao-tentar-deixar-o-acre-pela-fronteira-do-peru.ghtml", "URL")</f>
        <v/>
      </c>
      <c r="Q744">
        <f>HYPERLINK("https://raw.githubusercontent.com/marcosmapl/dataset_imigrantes/main/materias_filtered/g1/haitianos/2021/01_fev/html/g1_cfa532bc-22f3-11ed-b24f-6dbe51e79fca_1858.html", "HTML")</f>
        <v/>
      </c>
      <c r="R744">
        <f>HYPERLINK("https://raw.githubusercontent.com/marcosmapl/dataset_imigrantes/main/materias_filtered/g1/haitianos/2021/01_fev/txt/g1_cfa532bc-22f3-11ed-b24f-6dbe51e79fca_1858.txt", "TXT")</f>
        <v/>
      </c>
    </row>
    <row r="745">
      <c r="A745" s="1" t="n">
        <v>743</v>
      </c>
      <c r="B745" t="n">
        <v>2021</v>
      </c>
      <c r="C745" s="2" t="n">
        <v>44238.85273254629</v>
      </c>
      <c r="D745" t="inlineStr">
        <is>
          <t>G1</t>
        </is>
      </c>
      <c r="E745" t="inlineStr">
        <is>
          <t>VENEZUELANOS</t>
        </is>
      </c>
      <c r="F745" t="inlineStr">
        <is>
          <t>RORAIMA</t>
        </is>
      </c>
      <c r="G745" t="inlineStr">
        <is>
          <t>G1 RR — BOA VISTA</t>
        </is>
      </c>
      <c r="H745" t="inlineStr">
        <is>
          <t>POLÍCIA CIVIL DE RR ACREDITA QUE SEQUÊNCIA DE ASSASSINATOS PODE TER RELAÇÃO COM TRÁFICO DE DROGAS</t>
        </is>
      </c>
      <c r="I745" t="inlineStr">
        <is>
          <t>QUATRO PESSOAS FORAM ASSASSINADAS ENTRE OS DIAS 9 E 10 DE FEVEREIRO, EM BOA VISTA. TRÊS VÍTIMAS SÃO VENEZUELANAS. DISPUTA POR TERRITÓRIO ENTRE FACÇÕES É UMA DAS LINHAS DE INVESTIGAÇÃO, SEGUNDO A CIVIL.</t>
        </is>
      </c>
      <c r="J745" t="inlineStr"/>
      <c r="K745" t="n">
        <v>0</v>
      </c>
      <c r="L745" t="n">
        <v>2</v>
      </c>
      <c r="M745" t="n">
        <v>0</v>
      </c>
      <c r="N745" t="n">
        <v>0</v>
      </c>
      <c r="O745" t="n">
        <v>4</v>
      </c>
      <c r="P745">
        <f>HYPERLINK("https://g1.globo.com/rr/roraima/noticia/2021/02/11/policia-civil-de-rr-acredita-que-sequencia-de-assassinatos-pode-ter-relacao-com-trafico-de-drogas.ghtml", "URL")</f>
        <v/>
      </c>
      <c r="Q745">
        <f>HYPERLINK("https://raw.githubusercontent.com/marcosmapl/dataset_imigrantes/main/materias_filtered/g1/venezuelanos/2021/01_fev/html/g1_65145cb4-2318-11ed-b24f-6dbe51e79fca_3257.html", "HTML")</f>
        <v/>
      </c>
      <c r="R745">
        <f>HYPERLINK("https://raw.githubusercontent.com/marcosmapl/dataset_imigrantes/main/materias_filtered/g1/venezuelanos/2021/01_fev/txt/g1_65145cb4-2318-11ed-b24f-6dbe51e79fca_3257.txt", "TXT")</f>
        <v/>
      </c>
    </row>
    <row r="746">
      <c r="A746" s="1" t="n">
        <v>744</v>
      </c>
      <c r="B746" t="n">
        <v>2021</v>
      </c>
      <c r="C746" s="2" t="n">
        <v>44238.60617650463</v>
      </c>
      <c r="D746" t="inlineStr">
        <is>
          <t>G1</t>
        </is>
      </c>
      <c r="E746" t="inlineStr">
        <is>
          <t>VENEZUELANOS</t>
        </is>
      </c>
      <c r="F746" t="inlineStr">
        <is>
          <t>RORAIMA</t>
        </is>
      </c>
      <c r="G746" t="inlineStr">
        <is>
          <t>G1 RR — BOA VISTA</t>
        </is>
      </c>
      <c r="H746" t="inlineStr">
        <is>
          <t>VENEZUELANO É MORTO COM TIROS EM SALÃO DE BELEZA NA ZONA OESTE DE BOA VISTA</t>
        </is>
      </c>
      <c r="I746" t="inlineStr">
        <is>
          <t>SUSPEITO ENTROU NO ESTABELECIMENTO, PERGUNTOU QUANTO CUSTAVA O CORTE DE CABELO E EM SEGUIDA, SACOU UAM ARMA E FEZ TODOS QUE ESTAVAM NO SALÃO DE REFÉNS.</t>
        </is>
      </c>
      <c r="J746" t="inlineStr"/>
      <c r="K746" t="n">
        <v>0</v>
      </c>
      <c r="L746" t="n">
        <v>0</v>
      </c>
      <c r="M746" t="n">
        <v>0</v>
      </c>
      <c r="N746" t="n">
        <v>0</v>
      </c>
      <c r="O746" t="n">
        <v>0</v>
      </c>
      <c r="P746">
        <f>HYPERLINK("https://g1.globo.com/rr/roraima/noticia/2021/02/11/venezuelano-e-morto-com-tiros-em-salao-de-beleza-na-zona-oeste-de-boa-vista.ghtml", "URL")</f>
        <v/>
      </c>
      <c r="Q746">
        <f>HYPERLINK("https://raw.githubusercontent.com/marcosmapl/dataset_imigrantes/main/materias_filtered/g1/venezuelanos/2021/01_fev/html/g1_d917f5aa-2316-11ed-b24f-6dbe51e79fca_3174.html", "HTML")</f>
        <v/>
      </c>
      <c r="R746">
        <f>HYPERLINK("https://raw.githubusercontent.com/marcosmapl/dataset_imigrantes/main/materias_filtered/g1/venezuelanos/2021/01_fev/txt/g1_d917f5aa-2316-11ed-b24f-6dbe51e79fca_3174.txt", "TXT")</f>
        <v/>
      </c>
    </row>
    <row r="747">
      <c r="A747" s="1" t="n">
        <v>745</v>
      </c>
      <c r="B747" t="n">
        <v>2021</v>
      </c>
      <c r="C747" s="2" t="n">
        <v>44237.58751452546</v>
      </c>
      <c r="D747" t="inlineStr">
        <is>
          <t>G1</t>
        </is>
      </c>
      <c r="E747" t="inlineStr">
        <is>
          <t>VENEZUELANOS</t>
        </is>
      </c>
      <c r="F747" t="inlineStr">
        <is>
          <t>RORAIMA</t>
        </is>
      </c>
      <c r="G747" t="inlineStr">
        <is>
          <t>G1 RR — BOA VISTA</t>
        </is>
      </c>
      <c r="H747" t="inlineStr">
        <is>
          <t>VENEZUELANO É ASSASSINADO COM TIROS NA CABEÇA NO CENTRO DE BOA VISTA</t>
        </is>
      </c>
      <c r="I747" t="inlineStr">
        <is>
          <t>A VÍTIMA VENDIA CELULARES E CAPAS DE PROTEÇÃO NO CAXAMBÚ QUANDO FOI ATINGIDO POR DIVERSOS DISPAROS, INFORMOU A PM.</t>
        </is>
      </c>
      <c r="J747" t="inlineStr"/>
      <c r="K747" t="n">
        <v>0</v>
      </c>
      <c r="L747" t="n">
        <v>1</v>
      </c>
      <c r="M747" t="n">
        <v>0</v>
      </c>
      <c r="N747" t="n">
        <v>0</v>
      </c>
      <c r="O747" t="n">
        <v>0</v>
      </c>
      <c r="P747">
        <f>HYPERLINK("https://g1.globo.com/rr/roraima/noticia/2021/02/10/venezuelano-e-assassinado-com-tiros-na-cabeca-no-centro-de-boa-vista.ghtml", "URL")</f>
        <v/>
      </c>
      <c r="Q747">
        <f>HYPERLINK("https://raw.githubusercontent.com/marcosmapl/dataset_imigrantes/main/materias_filtered/g1/venezuelanos/2021/01_fev/html/g1_0e2114bc-231b-11ed-b24f-6dbe51e79fca_3366.html", "HTML")</f>
        <v/>
      </c>
      <c r="R747">
        <f>HYPERLINK("https://raw.githubusercontent.com/marcosmapl/dataset_imigrantes/main/materias_filtered/g1/venezuelanos/2021/01_fev/txt/g1_0e2114bc-231b-11ed-b24f-6dbe51e79fca_3366.txt", "TXT")</f>
        <v/>
      </c>
    </row>
    <row r="748">
      <c r="A748" s="1" t="n">
        <v>746</v>
      </c>
      <c r="B748" t="n">
        <v>2021</v>
      </c>
      <c r="C748" s="2" t="n">
        <v>44237.53146494213</v>
      </c>
      <c r="D748" t="inlineStr">
        <is>
          <t>G1</t>
        </is>
      </c>
      <c r="E748" t="inlineStr">
        <is>
          <t>VENEZUELANOS</t>
        </is>
      </c>
      <c r="F748" t="inlineStr">
        <is>
          <t>RORAIMA</t>
        </is>
      </c>
      <c r="G748" t="inlineStr">
        <is>
          <t>G1 RR — BOA VISTA</t>
        </is>
      </c>
      <c r="H748" t="inlineStr">
        <is>
          <t>VENEZUELANO É ASSASSINADO COM UM TIRO NA ZONA SUL DE BOA VISTA</t>
        </is>
      </c>
      <c r="I748" t="inlineStr">
        <is>
          <t>TESTEMUNHA DISSE QUE FOI ASSALTADA PELO MESMO SUSPEITO DO DISPARO, INFORMOU A PM. NINGUÉM FOI PRESO.</t>
        </is>
      </c>
      <c r="J748" t="inlineStr"/>
      <c r="K748" t="n">
        <v>0</v>
      </c>
      <c r="L748" t="n">
        <v>1</v>
      </c>
      <c r="M748" t="n">
        <v>0</v>
      </c>
      <c r="N748" t="n">
        <v>0</v>
      </c>
      <c r="O748" t="n">
        <v>0</v>
      </c>
      <c r="P748">
        <f>HYPERLINK("https://g1.globo.com/rr/roraima/noticia/2021/02/10/venezuelano-e-assassinado-com-um-tiro-na-zona-sul-de-boa-vista.ghtml", "URL")</f>
        <v/>
      </c>
      <c r="Q748">
        <f>HYPERLINK("https://raw.githubusercontent.com/marcosmapl/dataset_imigrantes/main/materias_filtered/g1/venezuelanos/2021/01_fev/html/g1_70fb5694-230a-11ed-b24f-6dbe51e79fca_2506.html", "HTML")</f>
        <v/>
      </c>
      <c r="R748">
        <f>HYPERLINK("https://raw.githubusercontent.com/marcosmapl/dataset_imigrantes/main/materias_filtered/g1/venezuelanos/2021/01_fev/txt/g1_70fb5694-230a-11ed-b24f-6dbe51e79fca_2506.txt", "TXT")</f>
        <v/>
      </c>
    </row>
    <row r="749">
      <c r="A749" s="1" t="n">
        <v>747</v>
      </c>
      <c r="B749" t="n">
        <v>2021</v>
      </c>
      <c r="C749" s="2" t="n">
        <v>44235.62920331019</v>
      </c>
      <c r="D749" t="inlineStr">
        <is>
          <t>G1</t>
        </is>
      </c>
      <c r="E749" t="inlineStr">
        <is>
          <t>VENEZUELANOS</t>
        </is>
      </c>
      <c r="F749" t="inlineStr">
        <is>
          <t>AMAZONAS</t>
        </is>
      </c>
      <c r="G749" t="inlineStr">
        <is>
          <t>G1 AM*</t>
        </is>
      </c>
      <c r="H749" t="inlineStr">
        <is>
          <t>ESTRANGEIROS DESAPARECEM NA REGIÃO DE TONANTINS (AM)</t>
        </is>
      </c>
      <c r="I749" t="inlineStr">
        <is>
          <t>COLOMBIANOS E UMA VENEZUELANA SÃO PROCURADOS DESDE 28 DE JANEIRO.</t>
        </is>
      </c>
      <c r="J749" t="inlineStr"/>
      <c r="K749" t="n">
        <v>0</v>
      </c>
      <c r="L749" t="n">
        <v>4</v>
      </c>
      <c r="M749" t="n">
        <v>1</v>
      </c>
      <c r="N749" t="n">
        <v>0</v>
      </c>
      <c r="O749" t="n">
        <v>1</v>
      </c>
      <c r="P749">
        <f>HYPERLINK("https://g1.globo.com/am/amazonas/noticia/2021/02/08/estrangeiros-desaparecem-na-regiao-de-tonantins-am.ghtml", "URL")</f>
        <v/>
      </c>
      <c r="Q749">
        <f>HYPERLINK("https://raw.githubusercontent.com/marcosmapl/dataset_imigrantes/main/materias_filtered/g1/venezuelanos/2021/01_fev/html/g1_eb6f35b6-230b-11ed-b24f-6dbe51e79fca_2596.html", "HTML")</f>
        <v/>
      </c>
      <c r="R749">
        <f>HYPERLINK("https://raw.githubusercontent.com/marcosmapl/dataset_imigrantes/main/materias_filtered/g1/venezuelanos/2021/01_fev/txt/g1_eb6f35b6-230b-11ed-b24f-6dbe51e79fca_2596.txt", "TXT")</f>
        <v/>
      </c>
    </row>
    <row r="750">
      <c r="A750" s="1" t="n">
        <v>748</v>
      </c>
      <c r="B750" t="n">
        <v>2021</v>
      </c>
      <c r="C750" s="2" t="n">
        <v>44234.71172151621</v>
      </c>
      <c r="D750" t="inlineStr">
        <is>
          <t>G1</t>
        </is>
      </c>
      <c r="E750" t="inlineStr">
        <is>
          <t>HAITIANOS</t>
        </is>
      </c>
      <c r="F750" t="inlineStr">
        <is>
          <t>MUNDO</t>
        </is>
      </c>
      <c r="G750" t="inlineStr">
        <is>
          <t>BBC</t>
        </is>
      </c>
      <c r="H750" t="inlineStr">
        <is>
          <t>A CRESCENTE E PERIGOSA INSTABILIDADE NO HAITI, PAÍS QUE TEVE QUASE 20 GOVERNOS EM 35 ANOS</t>
        </is>
      </c>
      <c r="I750" t="inlineStr">
        <is>
          <t>PARA OPOSITORES, CONSTITUIÇÃO DETERMINA QUE PRESIDENTE DEVE SAIR DO CARGO NESTE DOMINGO (8). MAS ATUAL MANDATÁRIO, JOVENEL MOÏSE, TENTA SE MANTER NO PODER COM OUTRA LEITURA DA CARTA MAGNA E CONVOCAÇÃO DE REFERENDO.</t>
        </is>
      </c>
      <c r="J750" t="inlineStr"/>
      <c r="K750" t="n">
        <v>0</v>
      </c>
      <c r="L750" t="n">
        <v>1</v>
      </c>
      <c r="M750" t="n">
        <v>0</v>
      </c>
      <c r="N750" t="n">
        <v>0</v>
      </c>
      <c r="O750" t="n">
        <v>2</v>
      </c>
      <c r="P750">
        <f>HYPERLINK("https://g1.globo.com/mundo/noticia/2021/02/07/a-crescente-e-perigosa-instabilidade-no-haiti-pais-que-teve-quase-20-governos-em-35-anos.ghtml", "URL")</f>
        <v/>
      </c>
      <c r="Q750">
        <f>HYPERLINK("https://raw.githubusercontent.com/marcosmapl/dataset_imigrantes/main/materias_filtered/g1/haitianos/2021/01_fev/html/g1_c9e8bc0e-232a-11ed-b24f-6dbe51e79fca_4203.html", "HTML")</f>
        <v/>
      </c>
      <c r="R750">
        <f>HYPERLINK("https://raw.githubusercontent.com/marcosmapl/dataset_imigrantes/main/materias_filtered/g1/haitianos/2021/01_fev/txt/g1_c9e8bc0e-232a-11ed-b24f-6dbe51e79fca_4203.txt", "TXT")</f>
        <v/>
      </c>
    </row>
    <row r="751">
      <c r="A751" s="1" t="n">
        <v>749</v>
      </c>
      <c r="B751" t="n">
        <v>2021</v>
      </c>
      <c r="C751" s="2" t="n">
        <v>44233.69928712963</v>
      </c>
      <c r="D751" t="inlineStr">
        <is>
          <t>G1</t>
        </is>
      </c>
      <c r="E751" t="inlineStr">
        <is>
          <t>HAITIANOS</t>
        </is>
      </c>
      <c r="F751" t="inlineStr">
        <is>
          <t>SANTA CATARINA</t>
        </is>
      </c>
      <c r="G751" t="inlineStr">
        <is>
          <t>G1 SC E NSC TV</t>
        </is>
      </c>
      <c r="H751" t="inlineStr">
        <is>
          <t>JOVEM PUBLICA LIVRO PARA AJUDAR IMIGRANTES HAITIANOS A REENCONTRAREM FAMILIARES EM SC</t>
        </is>
      </c>
      <c r="I751" t="inlineStr">
        <is>
          <t>DIFICULDADES ENFRENTADAS PELA POPULAÇÃO SENSIBILIZOU JORNALISTA. META É TRAZER 12 CRIANÇAS PARA JOINVILLE COM OS RECURSOS ARRECADADOS.</t>
        </is>
      </c>
      <c r="J751" t="inlineStr"/>
      <c r="K751" t="n">
        <v>0</v>
      </c>
      <c r="L751" t="n">
        <v>4</v>
      </c>
      <c r="M751" t="n">
        <v>1</v>
      </c>
      <c r="N751" t="n">
        <v>0</v>
      </c>
      <c r="O751" t="n">
        <v>5</v>
      </c>
      <c r="P751">
        <f>HYPERLINK("https://g1.globo.com/sc/santa-catarina/noticia/2021/02/06/jovem-publica-livro-para-ajudar-imigrantes-haitianos-a-reencontrarem-familiares-em-sc.ghtml", "URL")</f>
        <v/>
      </c>
      <c r="Q751">
        <f>HYPERLINK("https://raw.githubusercontent.com/marcosmapl/dataset_imigrantes/main/materias_filtered/g1/haitianos/2021/01_fev/html/g1_fbddcc38-22ec-11ed-b24f-6dbe51e79fca_1674.html", "HTML")</f>
        <v/>
      </c>
      <c r="R751">
        <f>HYPERLINK("https://raw.githubusercontent.com/marcosmapl/dataset_imigrantes/main/materias_filtered/g1/haitianos/2021/01_fev/txt/g1_fbddcc38-22ec-11ed-b24f-6dbe51e79fca_1674.txt", "TXT")</f>
        <v/>
      </c>
    </row>
    <row r="752">
      <c r="A752" s="1" t="n">
        <v>750</v>
      </c>
      <c r="B752" t="n">
        <v>2021</v>
      </c>
      <c r="C752" s="2" t="n">
        <v>44232.5177028125</v>
      </c>
      <c r="D752" t="inlineStr">
        <is>
          <t>G1</t>
        </is>
      </c>
      <c r="E752" t="inlineStr">
        <is>
          <t>HAITIANOS</t>
        </is>
      </c>
      <c r="F752" t="inlineStr">
        <is>
          <t>MUNDO</t>
        </is>
      </c>
      <c r="G752" t="inlineStr">
        <is>
          <t>BBC</t>
        </is>
      </c>
      <c r="H752" t="inlineStr">
        <is>
          <t>O HOMEM DEPORTADO PELOS EUA AO HAITI SEM TER NASCIDO OU TER ESTADO NO PAIS UMA VEZ SEQUER</t>
        </is>
      </c>
      <c r="I752" t="inlineStr">
        <is>
          <t>PAUL PIERRILUS FOI DEPORTADO PARA UM LUGAR ONDE NUNCA TINHA ESTADO, ONDE NÃO CONHECE NINGUÉM E DO QUAL NÃO TEM CIDADANIA.</t>
        </is>
      </c>
      <c r="J752" t="inlineStr"/>
      <c r="K752" t="n">
        <v>0</v>
      </c>
      <c r="L752" t="n">
        <v>1</v>
      </c>
      <c r="M752" t="n">
        <v>0</v>
      </c>
      <c r="N752" t="n">
        <v>0</v>
      </c>
      <c r="O752" t="n">
        <v>3</v>
      </c>
      <c r="P752">
        <f>HYPERLINK("https://g1.globo.com/mundo/noticia/2021/02/05/o-homem-deportado-pelos-eua-ao-haiti-sem-ter-nascido-ou-ter-estado-no-pais-uma-vez-sequer.ghtml", "URL")</f>
        <v/>
      </c>
      <c r="Q752">
        <f>HYPERLINK("https://raw.githubusercontent.com/marcosmapl/dataset_imigrantes/main/materias_filtered/g1/haitianos/2021/01_fev/html/g1_0c40f45c-231e-11ed-b24f-6dbe51e79fca_3536.html", "HTML")</f>
        <v/>
      </c>
      <c r="R752">
        <f>HYPERLINK("https://raw.githubusercontent.com/marcosmapl/dataset_imigrantes/main/materias_filtered/g1/haitianos/2021/01_fev/txt/g1_0c40f45c-231e-11ed-b24f-6dbe51e79fca_3536.txt", "TXT")</f>
        <v/>
      </c>
    </row>
    <row r="753">
      <c r="A753" s="1" t="n">
        <v>751</v>
      </c>
      <c r="B753" t="n">
        <v>2021</v>
      </c>
      <c r="C753" s="2" t="n">
        <v>44231.86201287037</v>
      </c>
      <c r="D753" t="inlineStr">
        <is>
          <t>G1</t>
        </is>
      </c>
      <c r="E753" t="inlineStr">
        <is>
          <t>HAITIANOS</t>
        </is>
      </c>
      <c r="F753" t="inlineStr">
        <is>
          <t>TRIÂNGULO E ALTO PARANAÍBA</t>
        </is>
      </c>
      <c r="G753" t="inlineStr">
        <is>
          <t>G1 TRIÂNGULO E ALTO PARANAÍBA</t>
        </is>
      </c>
      <c r="H753" t="inlineStr">
        <is>
          <t>HAITIANA DIZ TER SIDO AGREDIDA POR COMERCIANTE E FILHO EM UBERLÂNDIA</t>
        </is>
      </c>
      <c r="I753" t="inlineStr">
        <is>
          <t>OCORRÊNCIA FOI REGISTRADA NA NOITE DESTA QUARTA-FEIRA (3). NINGUÉM FOI PRESO.</t>
        </is>
      </c>
      <c r="J753" t="inlineStr"/>
      <c r="K753" t="n">
        <v>0</v>
      </c>
      <c r="L753" t="n">
        <v>0</v>
      </c>
      <c r="M753" t="n">
        <v>0</v>
      </c>
      <c r="N753" t="n">
        <v>0</v>
      </c>
      <c r="O753" t="n">
        <v>0</v>
      </c>
      <c r="P753">
        <f>HYPERLINK("https://g1.globo.com/mg/triangulo-mineiro/noticia/2021/02/04/haitiana-diz-ter-sido-agredida-por-comerciante-e-filho-em-uberlandia.ghtml", "URL")</f>
        <v/>
      </c>
      <c r="Q753">
        <f>HYPERLINK("https://raw.githubusercontent.com/marcosmapl/dataset_imigrantes/main/materias_filtered/g1/haitianos/2021/01_fev/html/g1_99dba362-230e-11ed-b24f-6dbe51e79fca_2747.html", "HTML")</f>
        <v/>
      </c>
      <c r="R753">
        <f>HYPERLINK("https://raw.githubusercontent.com/marcosmapl/dataset_imigrantes/main/materias_filtered/g1/haitianos/2021/01_fev/txt/g1_99dba362-230e-11ed-b24f-6dbe51e79fca_2747.txt", "TXT")</f>
        <v/>
      </c>
    </row>
    <row r="754">
      <c r="A754" s="1" t="n">
        <v>752</v>
      </c>
      <c r="B754" t="n">
        <v>2021</v>
      </c>
      <c r="C754" s="2" t="n">
        <v>44230.64090277778</v>
      </c>
      <c r="D754" t="inlineStr">
        <is>
          <t>A CRITICA</t>
        </is>
      </c>
      <c r="E754" t="inlineStr">
        <is>
          <t>VENEZUELANOS</t>
        </is>
      </c>
      <c r="F754" t="inlineStr"/>
      <c r="G754" t="inlineStr">
        <is>
          <t>PORTAL A CRÍTICA</t>
        </is>
      </c>
      <c r="H754" t="inlineStr">
        <is>
          <t>UNICEF REALIZA DOAÇÕES NA ZONA METROPOLITANA DE MANAUS</t>
        </is>
      </c>
      <c r="I754" t="inlineStr">
        <is>
          <t>FAMÍLIAS VULNERÁVEIS DA COMUNIDADE LAGO CATALÃO SÃO BENEFICIADAS COM  KITS DE HIGIENE CONTRA A COVID-19</t>
        </is>
      </c>
      <c r="J754" t="inlineStr"/>
      <c r="K754" t="n">
        <v>0</v>
      </c>
      <c r="L754" t="n">
        <v>1</v>
      </c>
      <c r="M754" t="n">
        <v>0</v>
      </c>
      <c r="N754" t="n">
        <v>0</v>
      </c>
      <c r="O754" t="n">
        <v>0</v>
      </c>
      <c r="P754">
        <f>HYPERLINK("https://www.acritica.com/unicef-realiza-doac-es-na-zona-metropolitana-de-manaus-1.23481", "URL")</f>
        <v/>
      </c>
      <c r="Q754">
        <f>HYPERLINK("https://raw.githubusercontent.com/marcosmapl/dataset_imigrantes/main/materias_filtered/a_critica/venezuelanos/2021/01_fev/html/1.23481_646.html", "HTML")</f>
        <v/>
      </c>
      <c r="R754">
        <f>HYPERLINK("https://raw.githubusercontent.com/marcosmapl/dataset_imigrantes/main/materias_filtered/a_critica/venezuelanos/2021/01_fev/txt/1.23481_646.txt", "TXT")</f>
        <v/>
      </c>
    </row>
    <row r="755">
      <c r="A755" s="1" t="n">
        <v>753</v>
      </c>
      <c r="B755" t="n">
        <v>2021</v>
      </c>
      <c r="C755" s="2" t="n">
        <v>44230.60069444445</v>
      </c>
      <c r="D755" t="inlineStr">
        <is>
          <t>PORTAL AMAZONIA</t>
        </is>
      </c>
      <c r="E755" t="inlineStr">
        <is>
          <t>VENEZUELANOS</t>
        </is>
      </c>
      <c r="F755" t="inlineStr">
        <is>
          <t>AMAZONAS,AMAZÔNIA INTERNACIONAL,RORAIMA</t>
        </is>
      </c>
      <c r="G755" t="inlineStr">
        <is>
          <t>PORTAL AMAZÔNIA, COM INFORMAÇÕES DO G1 AMAZONAS</t>
        </is>
      </c>
      <c r="H755" t="inlineStr">
        <is>
          <t>GOVERNO DA VENEZUELA DIZ QUE VAI MANDAR MAIS TRÊS CAMINHÕES COM OXIGÊNIO PARA AM E RR</t>
        </is>
      </c>
      <c r="I755" t="inlineStr">
        <is>
          <t>ATUALMENTE, O CONSUMO DIÁRIO NO AMAZONAS É DE CERCA DE 80 MIL METROS CÚBICOS. ANTES DA PANDEMIA, A MÉDIA ERA DE 30 MIL</t>
        </is>
      </c>
      <c r="J755" t="inlineStr">
        <is>
          <t>AMAZONAS, AMAZÔNIA, AMAZÔNIA INTERNACIONAL, CORONAVIRUS, COVID19, OXIGENIO, RORAIMA, VENEZUELA</t>
        </is>
      </c>
      <c r="K755" t="n">
        <v>8</v>
      </c>
      <c r="L755" t="n">
        <v>1</v>
      </c>
      <c r="M755" t="n">
        <v>0</v>
      </c>
      <c r="N755" t="n">
        <v>0</v>
      </c>
      <c r="O755" t="n">
        <v>20</v>
      </c>
      <c r="P755">
        <f>HYPERLINK("https://portalamazonia.com/estados/amazonia-internacional/governo-da-venezuela-diz-que-vai-mandar-mais-tres-caminhoes-com-oxigenio-para-am-e-rr", "URL")</f>
        <v/>
      </c>
      <c r="Q755">
        <f>HYPERLINK("https://raw.githubusercontent.com/marcosmapl/dataset_imigrantes/main/materias_filtered/portal_amazonia/venezuelanos/2021/01_fev/html/30696.69106_1575.html", "HTML")</f>
        <v/>
      </c>
      <c r="R755">
        <f>HYPERLINK("https://raw.githubusercontent.com/marcosmapl/dataset_imigrantes/main/materias_filtered/portal_amazonia/venezuelanos/2021/01_fev/txt/30696.69106_1575.txt", "TXT")</f>
        <v/>
      </c>
    </row>
    <row r="756">
      <c r="A756" s="1" t="n">
        <v>754</v>
      </c>
      <c r="B756" t="n">
        <v>2021</v>
      </c>
      <c r="C756" s="2" t="n">
        <v>44224.58610709491</v>
      </c>
      <c r="D756" t="inlineStr">
        <is>
          <t>G1</t>
        </is>
      </c>
      <c r="E756" t="inlineStr">
        <is>
          <t>VENEZUELANOS</t>
        </is>
      </c>
      <c r="F756" t="inlineStr">
        <is>
          <t>PIAUÍ</t>
        </is>
      </c>
      <c r="G756" t="inlineStr">
        <is>
          <t>G1 PI</t>
        </is>
      </c>
      <c r="H756" t="inlineStr">
        <is>
          <t>PACIENTE VENEZUELANO É DIAGNOSTICADO COM MALÁRIA EM FLORIANO, NO PIAUÍ</t>
        </is>
      </c>
      <c r="I756" t="inlineStr">
        <is>
          <t>SEGUNDO A SECRETARIA DE SAÚDE DE FLORIANO, O PACIENTE TEM 27 ANOS E CHEGOU À CIDADE HÁ DUAS SEMANAS. O PACIENTE, A FAMÍLIA DELE E OS MORADORES DE CASAS VIZINHAS ESTÃO SENDO MONITORADOS PELAS EQUIPES DE SAÚDE DA CIDADE.</t>
        </is>
      </c>
      <c r="J756" t="inlineStr"/>
      <c r="K756" t="n">
        <v>0</v>
      </c>
      <c r="L756" t="n">
        <v>2</v>
      </c>
      <c r="M756" t="n">
        <v>0</v>
      </c>
      <c r="N756" t="n">
        <v>0</v>
      </c>
      <c r="O756" t="n">
        <v>3</v>
      </c>
      <c r="P756">
        <f>HYPERLINK("https://g1.globo.com/pi/piaui/noticia/2021/01/28/paciente-venezuelano-e-diagnosticado-com-malaria-em-floriano-no-piaui.ghtml", "URL")</f>
        <v/>
      </c>
      <c r="Q756">
        <f>HYPERLINK("https://raw.githubusercontent.com/marcosmapl/dataset_imigrantes/main/materias_filtered/g1/venezuelanos/2021/00_jan/html/g1_e7b9b64c-2321-11ed-b24f-6dbe51e79fca_3723.html", "HTML")</f>
        <v/>
      </c>
      <c r="R756">
        <f>HYPERLINK("https://raw.githubusercontent.com/marcosmapl/dataset_imigrantes/main/materias_filtered/g1/venezuelanos/2021/00_jan/txt/g1_e7b9b64c-2321-11ed-b24f-6dbe51e79fca_3723.txt", "TXT")</f>
        <v/>
      </c>
    </row>
    <row r="757">
      <c r="A757" s="1" t="n">
        <v>755</v>
      </c>
      <c r="B757" t="n">
        <v>2021</v>
      </c>
      <c r="C757" s="2" t="n">
        <v>44223.44045138889</v>
      </c>
      <c r="D757" t="inlineStr">
        <is>
          <t>A CRITICA</t>
        </is>
      </c>
      <c r="E757" t="inlineStr">
        <is>
          <t>VENEZUELANOS</t>
        </is>
      </c>
      <c r="F757" t="inlineStr">
        <is>
          <t>SAUDE</t>
        </is>
      </c>
      <c r="G757" t="inlineStr">
        <is>
          <t>AGÊNCIA BRASIL</t>
        </is>
      </c>
      <c r="H757" t="inlineStr">
        <is>
          <t>GOVERNO IMPEDE ENTRADA DE ESTRANGEIROS NO PAÍS POR TERRA E ÁGUA</t>
        </is>
      </c>
      <c r="I757" t="inlineStr">
        <is>
          <t>VOOS VINDOS DO REINO UNIDO E ÁFRICA DO SUL TAMBÉM FORAM PROIBIDOS</t>
        </is>
      </c>
      <c r="J757" t="inlineStr"/>
      <c r="K757" t="n">
        <v>0</v>
      </c>
      <c r="L757" t="n">
        <v>1</v>
      </c>
      <c r="M757" t="n">
        <v>0</v>
      </c>
      <c r="N757" t="n">
        <v>0</v>
      </c>
      <c r="O757" t="n">
        <v>0</v>
      </c>
      <c r="P757">
        <f>HYPERLINK("https://www.acritica.com/saude/governo-impede-entrada-de-estrangeiros-no-pais-por-terra-e-agua-1.23880", "URL")</f>
        <v/>
      </c>
      <c r="Q757">
        <f>HYPERLINK("https://raw.githubusercontent.com/marcosmapl/dataset_imigrantes/main/materias_filtered/a_critica/venezuelanos/2021/00_jan/html/1.23880_559.html", "HTML")</f>
        <v/>
      </c>
      <c r="R757">
        <f>HYPERLINK("https://raw.githubusercontent.com/marcosmapl/dataset_imigrantes/main/materias_filtered/a_critica/venezuelanos/2021/00_jan/txt/1.23880_559.txt", "TXT")</f>
        <v/>
      </c>
    </row>
    <row r="758">
      <c r="A758" s="1" t="n">
        <v>756</v>
      </c>
      <c r="B758" t="n">
        <v>2021</v>
      </c>
      <c r="C758" s="2" t="n">
        <v>44222.64425925926</v>
      </c>
      <c r="D758" t="inlineStr">
        <is>
          <t>A CRITICA</t>
        </is>
      </c>
      <c r="E758" t="inlineStr">
        <is>
          <t>VENEZUELANOS</t>
        </is>
      </c>
      <c r="F758" t="inlineStr">
        <is>
          <t>ENTRETENIMENTO</t>
        </is>
      </c>
      <c r="G758" t="inlineStr">
        <is>
          <t>PORTAL A CRÍTICA</t>
        </is>
      </c>
      <c r="H758" t="inlineStr">
        <is>
          <t>PEÇA VIRTUAL 'PRA TE FAZER LEMBRAR' SERÁ APRESENTADA NESTA SEXTA (29)</t>
        </is>
      </c>
      <c r="I758" t="inlineStr">
        <is>
          <t>OBRA SERÁ TRANSMITIDA POR MEIO DO INSTAGRAM @DANIELY.LIMA_ E ABORDA A SOLIDÃO E OS AFETOS DE UM HOMEM AO SAIR DO PAÍS DE ORIGEM</t>
        </is>
      </c>
      <c r="J758" t="inlineStr"/>
      <c r="K758" t="n">
        <v>0</v>
      </c>
      <c r="L758" t="n">
        <v>1</v>
      </c>
      <c r="M758" t="n">
        <v>0</v>
      </c>
      <c r="N758" t="n">
        <v>0</v>
      </c>
      <c r="O758" t="n">
        <v>0</v>
      </c>
      <c r="P758">
        <f>HYPERLINK("https://www.acritica.com/entretenimento/peca-virtual-pra-te-fazer-lembrar-sera-apresentada-nesta-sexta-29-1.24865", "URL")</f>
        <v/>
      </c>
      <c r="Q758">
        <f>HYPERLINK("https://raw.githubusercontent.com/marcosmapl/dataset_imigrantes/main/materias_filtered/a_critica/venezuelanos/2021/00_jan/html/1.24865_1359.html", "HTML")</f>
        <v/>
      </c>
      <c r="R758">
        <f>HYPERLINK("https://raw.githubusercontent.com/marcosmapl/dataset_imigrantes/main/materias_filtered/a_critica/venezuelanos/2021/00_jan/txt/1.24865_1359.txt", "TXT")</f>
        <v/>
      </c>
    </row>
    <row r="759">
      <c r="A759" s="1" t="n">
        <v>757</v>
      </c>
      <c r="B759" t="n">
        <v>2021</v>
      </c>
      <c r="C759" s="2" t="n">
        <v>44218.81115487269</v>
      </c>
      <c r="D759" t="inlineStr">
        <is>
          <t>G1</t>
        </is>
      </c>
      <c r="E759" t="inlineStr">
        <is>
          <t>VENEZUELANOS</t>
        </is>
      </c>
      <c r="F759" t="inlineStr">
        <is>
          <t>PIAUÍ</t>
        </is>
      </c>
      <c r="G759" t="inlineStr">
        <is>
          <t>ANIELLE BRANDÃO E LAURA MOURA, G1 PI</t>
        </is>
      </c>
      <c r="H759" t="inlineStr">
        <is>
          <t>QUATRO PACIENTES VINDOS PARA O PIAUÍ RETORNAM PARA MANAUS; VENEZUELANO É BARRADO EM VOO</t>
        </is>
      </c>
      <c r="I759" t="inlineStr">
        <is>
          <t>O VENEZUELANO LEONARDO RAFAEL PEREZ COVA, 46 ANOS, FOI BARRADO NA AERONAVE POR ESTAR COM A DOCUMENTAÇÃO IRREGULAR. A SESAPI INFORMOU QUE REMARCOU O RETORNO DO VENEZUELANO PARA MANAUS (AM) NO SÁBADO (23).</t>
        </is>
      </c>
      <c r="J759" t="inlineStr"/>
      <c r="K759" t="n">
        <v>0</v>
      </c>
      <c r="L759" t="n">
        <v>3</v>
      </c>
      <c r="M759" t="n">
        <v>2</v>
      </c>
      <c r="N759" t="n">
        <v>0</v>
      </c>
      <c r="O759" t="n">
        <v>10</v>
      </c>
      <c r="P759">
        <f>HYPERLINK("https://g1.globo.com/pi/piaui/noticia/2021/01/22/quatro-pacientes-vindos-para-o-piaui-retornam-para-manaus-venezuelano-e-barrado-em-voo.ghtml", "URL")</f>
        <v/>
      </c>
      <c r="Q759">
        <f>HYPERLINK("https://raw.githubusercontent.com/marcosmapl/dataset_imigrantes/main/materias_filtered/g1/venezuelanos/2021/00_jan/html/g1_07cf9f7c-232d-11ed-b24f-6dbe51e79fca_4339.html", "HTML")</f>
        <v/>
      </c>
      <c r="R759">
        <f>HYPERLINK("https://raw.githubusercontent.com/marcosmapl/dataset_imigrantes/main/materias_filtered/g1/venezuelanos/2021/00_jan/txt/g1_07cf9f7c-232d-11ed-b24f-6dbe51e79fca_4339.txt", "TXT")</f>
        <v/>
      </c>
    </row>
    <row r="760">
      <c r="A760" s="1" t="n">
        <v>758</v>
      </c>
      <c r="B760" t="n">
        <v>2021</v>
      </c>
      <c r="C760" s="2" t="n">
        <v>44216.86405092593</v>
      </c>
      <c r="D760" t="inlineStr">
        <is>
          <t>A CRITICA</t>
        </is>
      </c>
      <c r="E760" t="inlineStr">
        <is>
          <t>VENEZUELANOS</t>
        </is>
      </c>
      <c r="F760" t="inlineStr"/>
      <c r="G760" t="inlineStr">
        <is>
          <t>AFP</t>
        </is>
      </c>
      <c r="H760" t="inlineStr">
        <is>
          <t>BIDEN ASSUME PRESIDÊNCIA DOS EUA E HOMENAGEIA VÍTIMAS DA COVID-19</t>
        </is>
      </c>
      <c r="I760" t="inlineStr">
        <is>
          <t>EM SUA FALA, O POLÍTICO VETERANO AFIRMOU QUE OS ESTADOS UNIDOS ENFRENTAM "O SURGIMENTO DO EXTREMISMO POLÍTICO, A SUPREMACIA BRANCA, O TERRORISMO DOMÉSTICO", MAS AFIRMOU QUE ESTAS AMEAÇAS SERÃO DERROTADAS, EM REFERÊNCIA A DONALD TRUMP</t>
        </is>
      </c>
      <c r="J760" t="inlineStr"/>
      <c r="K760" t="n">
        <v>0</v>
      </c>
      <c r="L760" t="n">
        <v>1</v>
      </c>
      <c r="M760" t="n">
        <v>0</v>
      </c>
      <c r="N760" t="n">
        <v>0</v>
      </c>
      <c r="O760" t="n">
        <v>0</v>
      </c>
      <c r="P760">
        <f>HYPERLINK("https://www.acritica.com/biden-assume-presidencia-dos-eua-e-homenageia-vitimas-da-covid-19-1.24077", "URL")</f>
        <v/>
      </c>
      <c r="Q760">
        <f>HYPERLINK("https://raw.githubusercontent.com/marcosmapl/dataset_imigrantes/main/materias_filtered/a_critica/venezuelanos/2021/00_jan/html/1.24077_709.html", "HTML")</f>
        <v/>
      </c>
      <c r="R760">
        <f>HYPERLINK("https://raw.githubusercontent.com/marcosmapl/dataset_imigrantes/main/materias_filtered/a_critica/venezuelanos/2021/00_jan/txt/1.24077_709.txt", "TXT")</f>
        <v/>
      </c>
    </row>
    <row r="761">
      <c r="A761" s="1" t="n">
        <v>759</v>
      </c>
      <c r="B761" t="n">
        <v>2021</v>
      </c>
      <c r="C761" s="2" t="n">
        <v>44216.79027777778</v>
      </c>
      <c r="D761" t="inlineStr">
        <is>
          <t>A CRITICA</t>
        </is>
      </c>
      <c r="E761" t="inlineStr">
        <is>
          <t>VENEZUELANOS</t>
        </is>
      </c>
      <c r="F761" t="inlineStr">
        <is>
          <t>SAUDE</t>
        </is>
      </c>
      <c r="G761" t="inlineStr">
        <is>
          <t>PORTAL A CRÍTICA</t>
        </is>
      </c>
      <c r="H761" t="inlineStr">
        <is>
          <t>VENEZUELA DEVE FORNECER 80 MIL M³ DE OXIGÊNIO POR SEMANA PARA MANAUS</t>
        </is>
      </c>
      <c r="I761" t="inlineStr">
        <is>
          <t>VOLUME EQUIVALE A 3 DIAS DE PRODUÇÃO DAS FÁBRICAS DE MANAUS QUE FORNECEM O INSUMO. ACORDO É LIDERADO POR CENTRAIS SINDICAIS, ENTRE ELAS A CUT, E É APOIADO PELO GOVERNO VENEZUELANO</t>
        </is>
      </c>
      <c r="J761" t="inlineStr"/>
      <c r="K761" t="n">
        <v>0</v>
      </c>
      <c r="L761" t="n">
        <v>1</v>
      </c>
      <c r="M761" t="n">
        <v>0</v>
      </c>
      <c r="N761" t="n">
        <v>0</v>
      </c>
      <c r="O761" t="n">
        <v>0</v>
      </c>
      <c r="P761">
        <f>HYPERLINK("https://www.acritica.com/saude/venezuela-deve-fornecer-80-mil-m-de-oxigenio-por-semana-para-manaus-1.24087", "URL")</f>
        <v/>
      </c>
      <c r="Q761">
        <f>HYPERLINK("https://raw.githubusercontent.com/marcosmapl/dataset_imigrantes/main/materias_filtered/a_critica/venezuelanos/2021/00_jan/html/1.24087_658.html", "HTML")</f>
        <v/>
      </c>
      <c r="R761">
        <f>HYPERLINK("https://raw.githubusercontent.com/marcosmapl/dataset_imigrantes/main/materias_filtered/a_critica/venezuelanos/2021/00_jan/txt/1.24087_658.txt", "TXT")</f>
        <v/>
      </c>
    </row>
    <row r="762">
      <c r="A762" s="1" t="n">
        <v>760</v>
      </c>
      <c r="B762" t="n">
        <v>2021</v>
      </c>
      <c r="C762" s="2" t="n">
        <v>44216.45891177083</v>
      </c>
      <c r="D762" t="inlineStr">
        <is>
          <t>G1</t>
        </is>
      </c>
      <c r="E762" t="inlineStr">
        <is>
          <t>VENEZUELANOS</t>
        </is>
      </c>
      <c r="F762" t="inlineStr">
        <is>
          <t>RORAIMA</t>
        </is>
      </c>
      <c r="G762" t="inlineStr">
        <is>
          <t>G1 RR — BOA VISTA</t>
        </is>
      </c>
      <c r="H762" t="inlineStr">
        <is>
          <t>EM APOIO A ACOLHIDA, OIM AJUDA COM 10 MIL PASSAGENS PARA INTERIORIZAR VENEZUELANOS DE RORAIMA</t>
        </is>
      </c>
      <c r="I762" t="inlineStr">
        <is>
          <t>A ORGANIZAÇÃO INTERNACIONAL PARA AS MIGRAÇÕES (OIM) FORNECE 600 PASSAGENS AÉREAS TODOS OS MESES, PARA QUE MIGRANTES TENHAM OPORTUNIDADE DE RECOMEÇAR EM OUTROS ESTADOS DO PAÍS.</t>
        </is>
      </c>
      <c r="J762" t="inlineStr"/>
      <c r="K762" t="n">
        <v>0</v>
      </c>
      <c r="L762" t="n">
        <v>1</v>
      </c>
      <c r="M762" t="n">
        <v>0</v>
      </c>
      <c r="N762" t="n">
        <v>0</v>
      </c>
      <c r="O762" t="n">
        <v>0</v>
      </c>
      <c r="P762">
        <f>HYPERLINK("https://g1.globo.com/rr/roraima/noticia/2021/01/20/em-apoio-a-acolhida-oim-ajuda-com-10-mil-passagens-para-interiorizar-venezuelanos-de-roraima.ghtml", "URL")</f>
        <v/>
      </c>
      <c r="Q762">
        <f>HYPERLINK("https://raw.githubusercontent.com/marcosmapl/dataset_imigrantes/main/materias_filtered/g1/venezuelanos/2021/00_jan/html/g1_6554134e-2323-11ed-b24f-6dbe51e79fca_3804.html", "HTML")</f>
        <v/>
      </c>
      <c r="R762">
        <f>HYPERLINK("https://raw.githubusercontent.com/marcosmapl/dataset_imigrantes/main/materias_filtered/g1/venezuelanos/2021/00_jan/txt/g1_6554134e-2323-11ed-b24f-6dbe51e79fca_3804.txt", "TXT")</f>
        <v/>
      </c>
    </row>
    <row r="763">
      <c r="A763" s="1" t="n">
        <v>761</v>
      </c>
      <c r="B763" t="n">
        <v>2021</v>
      </c>
      <c r="C763" s="2" t="n">
        <v>44216.07430555556</v>
      </c>
      <c r="D763" t="inlineStr">
        <is>
          <t>A CRITICA</t>
        </is>
      </c>
      <c r="E763" t="inlineStr">
        <is>
          <t>VENEZUELANOS</t>
        </is>
      </c>
      <c r="F763" t="inlineStr">
        <is>
          <t>SAUDE</t>
        </is>
      </c>
      <c r="G763" t="inlineStr">
        <is>
          <t>PORTAL A CRÍTICA</t>
        </is>
      </c>
      <c r="H763" t="inlineStr">
        <is>
          <t>OXIGÊNIO DOADO PELO GOVERNO DA VENEZUELA CHEGA EM MANAUS</t>
        </is>
      </c>
      <c r="I763" t="inlineStr">
        <is>
          <t>A CARGA FOI RECEBIDA POR FUNCIONÁRIOS DA PREFEITURA DE MANAUS E POR SERVIDORES DO GOVERNO DO AMAZONAS, E DEVE SEGUIR PARA UNIDADES DE SAÚDE NAS PRÓXIMAS HORAS</t>
        </is>
      </c>
      <c r="J763" t="inlineStr"/>
      <c r="K763" t="n">
        <v>0</v>
      </c>
      <c r="L763" t="n">
        <v>1</v>
      </c>
      <c r="M763" t="n">
        <v>0</v>
      </c>
      <c r="N763" t="n">
        <v>0</v>
      </c>
      <c r="O763" t="n">
        <v>0</v>
      </c>
      <c r="P763">
        <f>HYPERLINK("https://www.acritica.com/saude/oxigenio-doado-pelo-governo-da-venezuela-chega-em-manaus-1.25111", "URL")</f>
        <v/>
      </c>
      <c r="Q763">
        <f>HYPERLINK("https://raw.githubusercontent.com/marcosmapl/dataset_imigrantes/main/materias_filtered/a_critica/venezuelanos/2021/00_jan/html/1.25111_616.html", "HTML")</f>
        <v/>
      </c>
      <c r="R763">
        <f>HYPERLINK("https://raw.githubusercontent.com/marcosmapl/dataset_imigrantes/main/materias_filtered/a_critica/venezuelanos/2021/00_jan/txt/1.25111_616.txt", "TXT")</f>
        <v/>
      </c>
    </row>
    <row r="764">
      <c r="A764" s="1" t="n">
        <v>762</v>
      </c>
      <c r="B764" t="n">
        <v>2021</v>
      </c>
      <c r="C764" s="2" t="n">
        <v>44214.99097222222</v>
      </c>
      <c r="D764" t="inlineStr">
        <is>
          <t>A CRITICA</t>
        </is>
      </c>
      <c r="E764" t="inlineStr">
        <is>
          <t>VENEZUELANOS</t>
        </is>
      </c>
      <c r="F764" t="inlineStr">
        <is>
          <t>SAUDE</t>
        </is>
      </c>
      <c r="G764" t="inlineStr">
        <is>
          <t>LARISSA CAVALCANTE</t>
        </is>
      </c>
      <c r="H764" t="inlineStr">
        <is>
          <t>MOVIMENTO PEDE VACINA PARA INDÍGENAS DAS CIDADES</t>
        </is>
      </c>
      <c r="I764" t="inlineStr">
        <is>
          <t>ATUALMENTE, APENAS INDÍGENAS ALDEADOS ESTÃO NO GRUPO QUE SERÃO IMUNIZADOS PRIMEIRO NO ESTADO</t>
        </is>
      </c>
      <c r="J764" t="inlineStr"/>
      <c r="K764" t="n">
        <v>0</v>
      </c>
      <c r="L764" t="n">
        <v>1</v>
      </c>
      <c r="M764" t="n">
        <v>0</v>
      </c>
      <c r="N764" t="n">
        <v>0</v>
      </c>
      <c r="O764" t="n">
        <v>0</v>
      </c>
      <c r="P764">
        <f>HYPERLINK("https://www.acritica.com/saude/movimento-pede-vacina-para-indigenas-das-cidades-1.25175", "URL")</f>
        <v/>
      </c>
      <c r="Q764">
        <f>HYPERLINK("https://raw.githubusercontent.com/marcosmapl/dataset_imigrantes/main/materias_filtered/a_critica/venezuelanos/2021/00_jan/html/1.25175_1209.html", "HTML")</f>
        <v/>
      </c>
      <c r="R764">
        <f>HYPERLINK("https://raw.githubusercontent.com/marcosmapl/dataset_imigrantes/main/materias_filtered/a_critica/venezuelanos/2021/00_jan/txt/1.25175_1209.txt", "TXT")</f>
        <v/>
      </c>
    </row>
    <row r="765">
      <c r="A765" s="1" t="n">
        <v>763</v>
      </c>
      <c r="B765" t="n">
        <v>2021</v>
      </c>
      <c r="C765" s="2" t="n">
        <v>44214.77248842592</v>
      </c>
      <c r="D765" t="inlineStr">
        <is>
          <t>A CRITICA</t>
        </is>
      </c>
      <c r="E765" t="inlineStr">
        <is>
          <t>VENEZUELANOS</t>
        </is>
      </c>
      <c r="F765" t="inlineStr">
        <is>
          <t>SAUDE</t>
        </is>
      </c>
      <c r="G765" t="inlineStr">
        <is>
          <t>AFP</t>
        </is>
      </c>
      <c r="H765" t="inlineStr">
        <is>
          <t>OXIGÊNIO ENVIADO A MANAUS PELA VENEZUELA CRUZA FRONTEIRA COM O BRASIL</t>
        </is>
      </c>
      <c r="I765" t="inlineStr">
        <is>
          <t>COMBOIO COM MAIS DE CINCO CAMINHÕES AGUARDA O SINAL VERDE DO GOVERNO BRASILEIRO PARA SEGUIR ATÉ MANAUS. CIDADE VIVE CRISE NO ABASTECIMENTO DE OXIGÊNIO DEVIDO À PANDEMIA</t>
        </is>
      </c>
      <c r="J765" t="inlineStr"/>
      <c r="K765" t="n">
        <v>0</v>
      </c>
      <c r="L765" t="n">
        <v>1</v>
      </c>
      <c r="M765" t="n">
        <v>0</v>
      </c>
      <c r="N765" t="n">
        <v>0</v>
      </c>
      <c r="O765" t="n">
        <v>0</v>
      </c>
      <c r="P765">
        <f>HYPERLINK("https://www.acritica.com/saude/oxigenio-enviado-a-manaus-pela-venezuela-cruza-fronteira-com-o-brasil-1.24170", "URL")</f>
        <v/>
      </c>
      <c r="Q765">
        <f>HYPERLINK("https://raw.githubusercontent.com/marcosmapl/dataset_imigrantes/main/materias_filtered/a_critica/venezuelanos/2021/00_jan/html/1.24170_750.html", "HTML")</f>
        <v/>
      </c>
      <c r="R765">
        <f>HYPERLINK("https://raw.githubusercontent.com/marcosmapl/dataset_imigrantes/main/materias_filtered/a_critica/venezuelanos/2021/00_jan/txt/1.24170_750.txt", "TXT")</f>
        <v/>
      </c>
    </row>
    <row r="766">
      <c r="A766" s="1" t="n">
        <v>764</v>
      </c>
      <c r="B766" t="n">
        <v>2021</v>
      </c>
      <c r="C766" s="2" t="n">
        <v>44214.61319444444</v>
      </c>
      <c r="D766" t="inlineStr">
        <is>
          <t>PORTAL AMAZONIA</t>
        </is>
      </c>
      <c r="E766" t="inlineStr">
        <is>
          <t>VENEZUELANOS</t>
        </is>
      </c>
      <c r="F766" t="inlineStr">
        <is>
          <t>AMAZONAS,CIDADES</t>
        </is>
      </c>
      <c r="G766" t="inlineStr">
        <is>
          <t>PORTAL AMAZÔNIA, COM INFORMAÇÕES DA AGÊNCIA BRASIL</t>
        </is>
      </c>
      <c r="H766" t="inlineStr">
        <is>
          <t>MP VAI INVESTIGAR MORTES POR FALTA DE OXIGÊNIO NO AMAZONAS</t>
        </is>
      </c>
      <c r="I766" t="inlineStr">
        <is>
          <t>SEGUNDO O MP, PROMOTORES VÃO COLETAR POSSÍVEIS EVIDÊNCIAS DE ATUAÇÃO CRIMINOSA ORGANIZADA E APONTAR SOLUÇÕES PARA A SITUAÇÃO</t>
        </is>
      </c>
      <c r="J766" t="inlineStr">
        <is>
          <t>AMAZONAS, CIDADES, INVESTIGAÇÃO, MP, OXIGENIO, PROMOTORES</t>
        </is>
      </c>
      <c r="K766" t="n">
        <v>6</v>
      </c>
      <c r="L766" t="n">
        <v>3</v>
      </c>
      <c r="M766" t="n">
        <v>0</v>
      </c>
      <c r="N766" t="n">
        <v>0</v>
      </c>
      <c r="O766" t="n">
        <v>17</v>
      </c>
      <c r="P766">
        <f>HYPERLINK("https://portalamazonia.com/estados/amazonas/mp-vai-investigar-mortes-por-falta-de-oxigenio-no-amazonas", "URL")</f>
        <v/>
      </c>
      <c r="Q766">
        <f>HYPERLINK("https://raw.githubusercontent.com/marcosmapl/dataset_imigrantes/main/materias_filtered/portal_amazonia/venezuelanos/2021/00_jan/html/30320.67871_1441.html", "HTML")</f>
        <v/>
      </c>
      <c r="R766">
        <f>HYPERLINK("https://raw.githubusercontent.com/marcosmapl/dataset_imigrantes/main/materias_filtered/portal_amazonia/venezuelanos/2021/00_jan/txt/30320.67871_1441.txt", "TXT")</f>
        <v/>
      </c>
    </row>
    <row r="767">
      <c r="A767" s="1" t="n">
        <v>765</v>
      </c>
      <c r="B767" t="n">
        <v>2021</v>
      </c>
      <c r="C767" s="2" t="n">
        <v>44214.42479166666</v>
      </c>
      <c r="D767" t="inlineStr">
        <is>
          <t>A CRITICA</t>
        </is>
      </c>
      <c r="E767" t="inlineStr">
        <is>
          <t>VENEZUELANOS</t>
        </is>
      </c>
      <c r="F767" t="inlineStr">
        <is>
          <t>SAUDE</t>
        </is>
      </c>
      <c r="G767" t="inlineStr">
        <is>
          <t>PORTAL A CRÍTICA</t>
        </is>
      </c>
      <c r="H767" t="inlineStr">
        <is>
          <t>CARREGAMENTO COM OXIGÊNIO DA VENEZUELA DEVE CHEGAR AO AMAZONAS NESTA SEGUNDA-FEIRA À NOITE</t>
        </is>
      </c>
      <c r="I767" t="inlineStr">
        <is>
          <t>A DOAÇÃO VENEZUELANA VAI AJUDAR A ATENDER A GRANDE DEMANDA ATUAL NO AMAZONAS</t>
        </is>
      </c>
      <c r="J767" t="inlineStr"/>
      <c r="K767" t="n">
        <v>0</v>
      </c>
      <c r="L767" t="n">
        <v>1</v>
      </c>
      <c r="M767" t="n">
        <v>0</v>
      </c>
      <c r="N767" t="n">
        <v>0</v>
      </c>
      <c r="O767" t="n">
        <v>0</v>
      </c>
      <c r="P767">
        <f>HYPERLINK("https://www.acritica.com/saude/carregamento-com-oxigenio-da-venezuela-deve-chegar-ao-amazonas-nesta-segunda-feira-a-noite-1.24126", "URL")</f>
        <v/>
      </c>
      <c r="Q767">
        <f>HYPERLINK("https://raw.githubusercontent.com/marcosmapl/dataset_imigrantes/main/materias_filtered/a_critica/venezuelanos/2021/00_jan/html/1.24126_944.html", "HTML")</f>
        <v/>
      </c>
      <c r="R767">
        <f>HYPERLINK("https://raw.githubusercontent.com/marcosmapl/dataset_imigrantes/main/materias_filtered/a_critica/venezuelanos/2021/00_jan/txt/1.24126_944.txt", "TXT")</f>
        <v/>
      </c>
    </row>
    <row r="768">
      <c r="A768" s="1" t="n">
        <v>766</v>
      </c>
      <c r="B768" t="n">
        <v>2021</v>
      </c>
      <c r="C768" s="2" t="n">
        <v>44214.34375</v>
      </c>
      <c r="D768" t="inlineStr">
        <is>
          <t>PORTAL AMAZONIA</t>
        </is>
      </c>
      <c r="E768" t="inlineStr">
        <is>
          <t>VENEZUELANOS</t>
        </is>
      </c>
      <c r="F768" t="inlineStr">
        <is>
          <t>AMAZONAS,SAÚDE</t>
        </is>
      </c>
      <c r="G768" t="inlineStr">
        <is>
          <t>REDAÇÃO - JORNALISMO@PORTALAMAZONIA.COM</t>
        </is>
      </c>
      <c r="H768" t="inlineStr">
        <is>
          <t>CARREGAMENTO COM OXIGÊNIO DA VENEZUELA DEVE CHEGAR AO AMAZONAS NESTA SEGUNDA-FEIRA À NOITE</t>
        </is>
      </c>
      <c r="I768" t="inlineStr">
        <is>
          <t>ATUALMENTE, O CONSUMO DIÁRIO NO AMAZONAS É DE 76.000M³ E A DOAÇÃO ESPONTÂNEA DO ESTADO DE BOLÍVAR VAI AJUDAR A ATENDER ESSA DEMANDA</t>
        </is>
      </c>
      <c r="J768" t="inlineStr">
        <is>
          <t>AMAZONAS, BOLIVAR, COLAPSO NA SAÚDE DE MANAUS, COVID19, MANAUS, OXIGENIO, SAÚDE, VENEZUELA</t>
        </is>
      </c>
      <c r="K768" t="n">
        <v>8</v>
      </c>
      <c r="L768" t="n">
        <v>1</v>
      </c>
      <c r="M768" t="n">
        <v>0</v>
      </c>
      <c r="N768" t="n">
        <v>0</v>
      </c>
      <c r="O768" t="n">
        <v>19</v>
      </c>
      <c r="P768">
        <f>HYPERLINK("https://portalamazonia.com/noticias/saude/carregamento-com-oxigenio-da-venezuela-deve-chegar-ao-amazonas-nesta-segunda-feira-a-noite", "URL")</f>
        <v/>
      </c>
      <c r="Q768">
        <f>HYPERLINK("https://raw.githubusercontent.com/marcosmapl/dataset_imigrantes/main/materias_filtered/portal_amazonia/venezuelanos/2021/00_jan/html/30310.67751_1473.html", "HTML")</f>
        <v/>
      </c>
      <c r="R768">
        <f>HYPERLINK("https://raw.githubusercontent.com/marcosmapl/dataset_imigrantes/main/materias_filtered/portal_amazonia/venezuelanos/2021/00_jan/txt/30310.67751_1473.txt", "TXT")</f>
        <v/>
      </c>
    </row>
    <row r="769">
      <c r="A769" s="1" t="n">
        <v>767</v>
      </c>
      <c r="B769" t="n">
        <v>2021</v>
      </c>
      <c r="C769" s="2" t="n">
        <v>44213.75625</v>
      </c>
      <c r="D769" t="inlineStr">
        <is>
          <t>PORTAL AMAZONIA</t>
        </is>
      </c>
      <c r="E769" t="inlineStr">
        <is>
          <t>VENEZUELANOS</t>
        </is>
      </c>
      <c r="F769" t="inlineStr">
        <is>
          <t>AMAZONAS,NOTÍCIAS,CIDADES,SAÚDE</t>
        </is>
      </c>
      <c r="G769" t="inlineStr">
        <is>
          <t>PORTAL AMAZÔNIA, COM INFORMAÇÕES DO MINISTÉRIO DA SAÚDE</t>
        </is>
      </c>
      <c r="H769" t="inlineStr">
        <is>
          <t>DÉFICIT NO FORNECIMENTO DE OXIGÊNIO NO AMAZONAS REDUZ EM MAIS DE 60%</t>
        </is>
      </c>
      <c r="I769" t="inlineStr">
        <is>
          <t>PROBLEMA TENDE A SER RESOLVIDO ATE QUINTA-FEIRA (21)</t>
        </is>
      </c>
      <c r="J769" t="inlineStr">
        <is>
          <t>AMAZONAS, CIDADES, NOTÍCIAS, OXIGENIO, OXIGÊNIO BEBES, OXIGÊNIO BEBES MANAUS, OXIGÊNIO EM MANAUS, OXIGÊNIO RECÉM-NASCIDOS, SAÚDE</t>
        </is>
      </c>
      <c r="K769" t="n">
        <v>9</v>
      </c>
      <c r="L769" t="n">
        <v>1</v>
      </c>
      <c r="M769" t="n">
        <v>0</v>
      </c>
      <c r="N769" t="n">
        <v>0</v>
      </c>
      <c r="O769" t="n">
        <v>22</v>
      </c>
      <c r="P769">
        <f>HYPERLINK("https://portalamazonia.com/noticias/saude/deficit-de-excedente-no-fornecimento-de-oxigenio-no-amazonas-reduz-em-mais-de-60", "URL")</f>
        <v/>
      </c>
      <c r="Q769">
        <f>HYPERLINK("https://raw.githubusercontent.com/marcosmapl/dataset_imigrantes/main/materias_filtered/portal_amazonia/venezuelanos/2021/00_jan/html/30305.67738_1533.html", "HTML")</f>
        <v/>
      </c>
      <c r="R769">
        <f>HYPERLINK("https://raw.githubusercontent.com/marcosmapl/dataset_imigrantes/main/materias_filtered/portal_amazonia/venezuelanos/2021/00_jan/txt/30305.67738_1533.txt", "TXT")</f>
        <v/>
      </c>
    </row>
    <row r="770">
      <c r="A770" s="1" t="n">
        <v>768</v>
      </c>
      <c r="B770" t="n">
        <v>2021</v>
      </c>
      <c r="C770" s="2" t="n">
        <v>44211.85511516203</v>
      </c>
      <c r="D770" t="inlineStr">
        <is>
          <t>G1</t>
        </is>
      </c>
      <c r="E770" t="inlineStr">
        <is>
          <t>HAITIANOS</t>
        </is>
      </c>
      <c r="F770" t="inlineStr">
        <is>
          <t>MATO GROSSO</t>
        </is>
      </c>
      <c r="G770" t="inlineStr">
        <is>
          <t>G1 MT</t>
        </is>
      </c>
      <c r="H770" t="inlineStr">
        <is>
          <t>HAITIANO ESTÁ DESAPARECIDO HÁ  9 DIAS EM CUIABÁ E ASSOCIAÇÃO DENUNCIA CASO À PM</t>
        </is>
      </c>
      <c r="I770" t="inlineStr">
        <is>
          <t>O IMIGRANTE HAITIANO STANLEY PIERRE ESTÁ DESAPARECIDO DESDE O DIA 7 DE JANEIRO EM CUIABÁ.</t>
        </is>
      </c>
      <c r="J770" t="inlineStr"/>
      <c r="K770" t="n">
        <v>0</v>
      </c>
      <c r="L770" t="n">
        <v>1</v>
      </c>
      <c r="M770" t="n">
        <v>0</v>
      </c>
      <c r="N770" t="n">
        <v>0</v>
      </c>
      <c r="O770" t="n">
        <v>0</v>
      </c>
      <c r="P770">
        <f>HYPERLINK("https://g1.globo.com/mt/mato-grosso/noticia/2021/01/15/haitiano-esta-desaparecido-ha-9-dias-em-cuiaba-e-associacao-denuncia-caso-a-pm.ghtml", "URL")</f>
        <v/>
      </c>
      <c r="Q770">
        <f>HYPERLINK("https://raw.githubusercontent.com/marcosmapl/dataset_imigrantes/main/materias_filtered/g1/haitianos/2021/00_jan/html/g1_3cfe9d34-22fa-11ed-b24f-6dbe51e79fca_2207.html", "HTML")</f>
        <v/>
      </c>
      <c r="R770">
        <f>HYPERLINK("https://raw.githubusercontent.com/marcosmapl/dataset_imigrantes/main/materias_filtered/g1/haitianos/2021/00_jan/txt/g1_3cfe9d34-22fa-11ed-b24f-6dbe51e79fca_2207.txt", "TXT")</f>
        <v/>
      </c>
    </row>
    <row r="771">
      <c r="A771" s="1" t="n">
        <v>769</v>
      </c>
      <c r="B771" t="n">
        <v>2021</v>
      </c>
      <c r="C771" s="2" t="n">
        <v>44210.52916666667</v>
      </c>
      <c r="D771" t="inlineStr">
        <is>
          <t>PORTAL AMAZONIA</t>
        </is>
      </c>
      <c r="E771" t="inlineStr">
        <is>
          <t>VENEZUELANOS</t>
        </is>
      </c>
      <c r="F771" t="inlineStr">
        <is>
          <t>AMAZÔNIA INTERNACIONAL,CIDADANIA,INOVAÇÃO E TECNOLOGIA</t>
        </is>
      </c>
      <c r="G771" t="inlineStr">
        <is>
          <t>PORTAL AMAZÔNIA, COM INFORMAÇÕES DA EMPRESA BRASIL DE COMUNICAÇÃO DA</t>
        </is>
      </c>
      <c r="H771" t="inlineStr">
        <is>
          <t>ESPECIALISTA DO UNICEF EXPLICA COMO FUNCIONA PLATAFORMA PARA REFUGIADOS E MIGRANTES VENEZUELANOS</t>
        </is>
      </c>
      <c r="I771" t="inlineStr">
        <is>
          <t>SAIBA COMO FUNCIONA A FERRAMENTA U-REPORT UNIENDO VOCES</t>
        </is>
      </c>
      <c r="J771" t="inlineStr">
        <is>
          <t>AMAZÔNIA, AMAZÔNIA INTERNACIONAL, CIDADANIA, INOVAÇÃO, MIGRANTES, REFUGIADOS, REFUGIADOS E MIGRANTES EM MANAUS, REFUGIADOS VENEZUELANOS, TECNOLOGIA, UNICEF, U-REPORT UNIENDO VOCES</t>
        </is>
      </c>
      <c r="K771" t="n">
        <v>11</v>
      </c>
      <c r="L771" t="n">
        <v>1</v>
      </c>
      <c r="M771" t="n">
        <v>0</v>
      </c>
      <c r="N771" t="n">
        <v>0</v>
      </c>
      <c r="O771" t="n">
        <v>19</v>
      </c>
      <c r="P771">
        <f>HYPERLINK("https://portalamazonia.com/noticias/cidadania/especialista-do-unicef-explica-como-funciona-plataforma-para-refugiados-e-migrantes-venezuelanos", "URL")</f>
        <v/>
      </c>
      <c r="Q771">
        <f>HYPERLINK("https://raw.githubusercontent.com/marcosmapl/dataset_imigrantes/main/materias_filtered/portal_amazonia/venezuelanos/2021/00_jan/html/30222.67429_1420.html", "HTML")</f>
        <v/>
      </c>
      <c r="R771">
        <f>HYPERLINK("https://raw.githubusercontent.com/marcosmapl/dataset_imigrantes/main/materias_filtered/portal_amazonia/venezuelanos/2021/00_jan/txt/30222.67429_1420.txt", "TXT")</f>
        <v/>
      </c>
    </row>
    <row r="772">
      <c r="A772" s="1" t="n">
        <v>770</v>
      </c>
      <c r="B772" t="n">
        <v>2021</v>
      </c>
      <c r="C772" s="2" t="n">
        <v>44208.52688299768</v>
      </c>
      <c r="D772" t="inlineStr">
        <is>
          <t>G1</t>
        </is>
      </c>
      <c r="E772" t="inlineStr">
        <is>
          <t>VENEZUELANOS</t>
        </is>
      </c>
      <c r="F772" t="inlineStr">
        <is>
          <t>PERNAMBUCO</t>
        </is>
      </c>
      <c r="G772" t="inlineStr">
        <is>
          <t>DANIELLE FONSECA, TV GLOBO</t>
        </is>
      </c>
      <c r="H772" t="inlineStr">
        <is>
          <t>APÓS DIFICULDADES, VENEZUELANAS CONSEGUEM EMPREGO COMO ENCANADORAS NO GRANDE RECIFE</t>
        </is>
      </c>
      <c r="I772" t="inlineStr">
        <is>
          <t>YELITZA FLORES E KEILA RAMIREZ SAÍRAM DO PAÍS DE ORIGEM EM BUSCA DE VIDA MELHOR, MAS DESAFIOS QUASE FIZERAM COM QUE DESISTISSEM.</t>
        </is>
      </c>
      <c r="J772" t="inlineStr"/>
      <c r="K772" t="n">
        <v>0</v>
      </c>
      <c r="L772" t="n">
        <v>3</v>
      </c>
      <c r="M772" t="n">
        <v>1</v>
      </c>
      <c r="N772" t="n">
        <v>0</v>
      </c>
      <c r="O772" t="n">
        <v>4</v>
      </c>
      <c r="P772">
        <f>HYPERLINK("https://g1.globo.com/pe/pernambuco/noticia/2021/01/12/apos-dificuldades-venezuelanas-fazem-curso-e-conseguem-emprego-como-encanadoras-em-pernambuco.ghtml", "URL")</f>
        <v/>
      </c>
      <c r="Q772">
        <f>HYPERLINK("https://raw.githubusercontent.com/marcosmapl/dataset_imigrantes/main/materias_filtered/g1/venezuelanos/2021/00_jan/html/g1_4a4fb652-230a-11ed-b24f-6dbe51e79fca_2495.html", "HTML")</f>
        <v/>
      </c>
      <c r="R772">
        <f>HYPERLINK("https://raw.githubusercontent.com/marcosmapl/dataset_imigrantes/main/materias_filtered/g1/venezuelanos/2021/00_jan/txt/g1_4a4fb652-230a-11ed-b24f-6dbe51e79fca_2495.txt", "TXT")</f>
        <v/>
      </c>
    </row>
    <row r="773">
      <c r="A773" s="1" t="n">
        <v>771</v>
      </c>
      <c r="B773" t="n">
        <v>2021</v>
      </c>
      <c r="C773" s="2" t="n">
        <v>44207.38468953704</v>
      </c>
      <c r="D773" t="inlineStr">
        <is>
          <t>G1</t>
        </is>
      </c>
      <c r="E773" t="inlineStr">
        <is>
          <t>VENEZUELANOS</t>
        </is>
      </c>
      <c r="F773" t="inlineStr">
        <is>
          <t>DISTRITO FEDERAL</t>
        </is>
      </c>
      <c r="G773" t="inlineStr">
        <is>
          <t>BRENDA ORTIZ, G1 DF</t>
        </is>
      </c>
      <c r="H773" t="inlineStr">
        <is>
          <t>PANDEMIA DE COVID-19 DIFICULTA ACOLHIDA DE REFUGIADOS VENEZUELANOS EM BRASÍLIA</t>
        </is>
      </c>
      <c r="I773" t="inlineStr">
        <is>
          <t>DE ACORDO COM INSTITUTO MIGRAÇÕES E DIREITOS HUMANOS, EM TORNO DE 2 MIL IMIGRANTES FORAM ATENDIDOS EM 2020. EMPREGO AINDA É PRINCIPAL BARREIRA, DIZEM INSTITUIÇÕES.</t>
        </is>
      </c>
      <c r="J773" t="inlineStr"/>
      <c r="K773" t="n">
        <v>0</v>
      </c>
      <c r="L773" t="n">
        <v>2</v>
      </c>
      <c r="M773" t="n">
        <v>1</v>
      </c>
      <c r="N773" t="n">
        <v>0</v>
      </c>
      <c r="O773" t="n">
        <v>11</v>
      </c>
      <c r="P773">
        <f>HYPERLINK("https://g1.globo.com/df/distrito-federal/noticia/2021/01/11/pandemia-de-covid-19-dificulta-acolhida-de-refugiados-venezuelanos-em-brasilia.ghtml", "URL")</f>
        <v/>
      </c>
      <c r="Q773">
        <f>HYPERLINK("https://raw.githubusercontent.com/marcosmapl/dataset_imigrantes/main/materias_filtered/g1/venezuelanos/2021/00_jan/html/g1_ddc3b654-231e-11ed-b24f-6dbe51e79fca_3588.html", "HTML")</f>
        <v/>
      </c>
      <c r="R773">
        <f>HYPERLINK("https://raw.githubusercontent.com/marcosmapl/dataset_imigrantes/main/materias_filtered/g1/venezuelanos/2021/00_jan/txt/g1_ddc3b654-231e-11ed-b24f-6dbe51e79fca_3588.txt", "TXT")</f>
        <v/>
      </c>
    </row>
    <row r="774">
      <c r="A774" s="1" t="n">
        <v>772</v>
      </c>
      <c r="B774" t="n">
        <v>2021</v>
      </c>
      <c r="C774" s="2" t="n">
        <v>44206.83148480324</v>
      </c>
      <c r="D774" t="inlineStr">
        <is>
          <t>G1</t>
        </is>
      </c>
      <c r="E774" t="inlineStr">
        <is>
          <t>VENEZUELANOS</t>
        </is>
      </c>
      <c r="F774" t="inlineStr">
        <is>
          <t>RORAIMA</t>
        </is>
      </c>
      <c r="G774" t="inlineStr">
        <is>
          <t>G1 RR — BOA VISTA</t>
        </is>
      </c>
      <c r="H774" t="inlineStr">
        <is>
          <t>VOCÊ VIU? APOSENTADO APRESSADO, PRISÃO DE DELEGADO, VENEZUELANOS CARREGANDO CAIXÃO E MAIS</t>
        </is>
      </c>
      <c r="I774" t="inlineStr">
        <is>
          <t>VEJA AS NOTÍCIAS MAIS LIDAS NO G1 RORAIMA ENTRE OS DIAS 3 À 9 DE JANEIRO.</t>
        </is>
      </c>
      <c r="J774" t="inlineStr"/>
      <c r="K774" t="n">
        <v>0</v>
      </c>
      <c r="L774" t="n">
        <v>3</v>
      </c>
      <c r="M774" t="n">
        <v>1</v>
      </c>
      <c r="N774" t="n">
        <v>0</v>
      </c>
      <c r="O774" t="n">
        <v>15</v>
      </c>
      <c r="P774">
        <f>HYPERLINK("https://g1.globo.com/rr/roraima/noticia/2021/01/10/voce-viuaposentado-apressado-prisao-de-delegado-venezuelanos-carregando-caixao-e-mais.ghtml", "URL")</f>
        <v/>
      </c>
      <c r="Q774">
        <f>HYPERLINK("https://raw.githubusercontent.com/marcosmapl/dataset_imigrantes/main/materias_filtered/g1/venezuelanos/2021/00_jan/html/g1_4405f4d8-230e-11ed-b24f-6dbe51e79fca_2731.html", "HTML")</f>
        <v/>
      </c>
      <c r="R774">
        <f>HYPERLINK("https://raw.githubusercontent.com/marcosmapl/dataset_imigrantes/main/materias_filtered/g1/venezuelanos/2021/00_jan/txt/g1_4405f4d8-230e-11ed-b24f-6dbe51e79fca_2731.txt", "TXT")</f>
        <v/>
      </c>
    </row>
    <row r="775">
      <c r="A775" s="1" t="n">
        <v>773</v>
      </c>
      <c r="B775" t="n">
        <v>2021</v>
      </c>
      <c r="C775" s="2" t="n">
        <v>44205.95950797453</v>
      </c>
      <c r="D775" t="inlineStr">
        <is>
          <t>G1</t>
        </is>
      </c>
      <c r="E775" t="inlineStr">
        <is>
          <t>VENEZUELANOS</t>
        </is>
      </c>
      <c r="F775" t="inlineStr">
        <is>
          <t>RORAIMA</t>
        </is>
      </c>
      <c r="G775" t="inlineStr">
        <is>
          <t>G1 RR — BOA VISTA</t>
        </is>
      </c>
      <c r="H775" t="inlineStr">
        <is>
          <t>JUSTIÇA DE RR ORDENA QUE CRIANÇAS VENEZUELANAS SEJAM ACOLHIDAS MESMO COM FRONTEIRA FECHADA</t>
        </is>
      </c>
      <c r="I775" t="inlineStr">
        <is>
          <t>A PORTARIA DETERMINA AINDA QUE SEJAM OFERTADOS OS SERVIÇOS DE SAÚDE DISPONÍVEIS, ESPECIALMENTE PROGRAMAS DE VACINAÇÃO. FRONTEIRA COM A VENEZUELA ESTÁ FECHADA DESDE MARÇO DE 2020 POR CONTA DA PANDEMIA.</t>
        </is>
      </c>
      <c r="J775" t="inlineStr"/>
      <c r="K775" t="n">
        <v>0</v>
      </c>
      <c r="L775" t="n">
        <v>2</v>
      </c>
      <c r="M775" t="n">
        <v>1</v>
      </c>
      <c r="N775" t="n">
        <v>0</v>
      </c>
      <c r="O775" t="n">
        <v>3</v>
      </c>
      <c r="P775">
        <f>HYPERLINK("https://g1.globo.com/rr/roraima/noticia/2021/01/09/justica-de-rr-ordena-que-criancas-venezuelanas-sejam-acolhidas-mesmo-com-fronteira-fechada.ghtml", "URL")</f>
        <v/>
      </c>
      <c r="Q775">
        <f>HYPERLINK("https://raw.githubusercontent.com/marcosmapl/dataset_imigrantes/main/materias_filtered/g1/venezuelanos/2021/00_jan/html/g1_e290cf24-231d-11ed-b24f-6dbe51e79fca_3526.html", "HTML")</f>
        <v/>
      </c>
      <c r="R775">
        <f>HYPERLINK("https://raw.githubusercontent.com/marcosmapl/dataset_imigrantes/main/materias_filtered/g1/venezuelanos/2021/00_jan/txt/g1_e290cf24-231d-11ed-b24f-6dbe51e79fca_3526.txt", "TXT")</f>
        <v/>
      </c>
    </row>
    <row r="776">
      <c r="A776" s="1" t="n">
        <v>774</v>
      </c>
      <c r="B776" t="n">
        <v>2021</v>
      </c>
      <c r="C776" s="2" t="n">
        <v>44205.89894677083</v>
      </c>
      <c r="D776" t="inlineStr">
        <is>
          <t>G1</t>
        </is>
      </c>
      <c r="E776" t="inlineStr">
        <is>
          <t>VENEZUELANOS</t>
        </is>
      </c>
      <c r="F776" t="inlineStr">
        <is>
          <t>RORAIMA</t>
        </is>
      </c>
      <c r="G776" t="inlineStr">
        <is>
          <t>G1 RR — BOA VISTA</t>
        </is>
      </c>
      <c r="H776" t="inlineStr">
        <is>
          <t>BEBÊ VENEZUELANO É BALEADO NA CABEÇA EM TENTATIVA DE HOMICÍDIO CONTRA JOVEM EM BOA VISTA</t>
        </is>
      </c>
      <c r="I776" t="inlineStr">
        <is>
          <t>CRIANÇA DE APENAS 1 ANO FOI ENCAMINHADA AO HOSPITAL SANTO ANTÔNIO EM BOA VISTA. ESTADO DE SAÚDE DELA NÃO FOI INFORMADO. JOVEM ALVO DE ATIRADOR FOI FERIDO NO OMBRO, INFORMOU A PM.</t>
        </is>
      </c>
      <c r="J776" t="inlineStr"/>
      <c r="K776" t="n">
        <v>0</v>
      </c>
      <c r="L776" t="n">
        <v>1</v>
      </c>
      <c r="M776" t="n">
        <v>0</v>
      </c>
      <c r="N776" t="n">
        <v>0</v>
      </c>
      <c r="O776" t="n">
        <v>0</v>
      </c>
      <c r="P776">
        <f>HYPERLINK("https://g1.globo.com/rr/roraima/noticia/2021/01/09/bebe-venezuelano-e-baleado-na-cabeca-em-tentativa-de-homicidio-contra-jovem-em-boa-vista.ghtml", "URL")</f>
        <v/>
      </c>
      <c r="Q776">
        <f>HYPERLINK("https://raw.githubusercontent.com/marcosmapl/dataset_imigrantes/main/materias_filtered/g1/venezuelanos/2021/00_jan/html/g1_3dd8a928-230b-11ed-b24f-6dbe51e79fca_2554.html", "HTML")</f>
        <v/>
      </c>
      <c r="R776">
        <f>HYPERLINK("https://raw.githubusercontent.com/marcosmapl/dataset_imigrantes/main/materias_filtered/g1/venezuelanos/2021/00_jan/txt/g1_3dd8a928-230b-11ed-b24f-6dbe51e79fca_2554.txt", "TXT")</f>
        <v/>
      </c>
    </row>
    <row r="777">
      <c r="A777" s="1" t="n">
        <v>775</v>
      </c>
      <c r="B777" t="n">
        <v>2021</v>
      </c>
      <c r="C777" s="2" t="n">
        <v>44205.4860899074</v>
      </c>
      <c r="D777" t="inlineStr">
        <is>
          <t>G1</t>
        </is>
      </c>
      <c r="E777" t="inlineStr">
        <is>
          <t>HAITIANOS</t>
        </is>
      </c>
      <c r="F777" t="inlineStr">
        <is>
          <t>CENTRO-OESTE</t>
        </is>
      </c>
      <c r="G777" t="inlineStr">
        <is>
          <t>G1 CENTRO-OESTE DE MINAS</t>
        </is>
      </c>
      <c r="H777" t="inlineStr">
        <is>
          <t>SAMU ATENDE CRIANÇA  DE 1 ANO COM QUEIMADURAS DE ÓLEO QUENTE EM DIVINÓPOLIS</t>
        </is>
      </c>
      <c r="I777" t="inlineStr">
        <is>
          <t>VÍTIMA TEVE QUEIMADURAS DE SEGUNDO E TERCEIRO GRAU EM PARTE DO ROSTO E NAS COSTAS. OCORRÊNCIA FOI REGISTRADA NESTA SEXTA-FEIRA (8).</t>
        </is>
      </c>
      <c r="J777" t="inlineStr"/>
      <c r="K777" t="n">
        <v>0</v>
      </c>
      <c r="L777" t="n">
        <v>1</v>
      </c>
      <c r="M777" t="n">
        <v>0</v>
      </c>
      <c r="N777" t="n">
        <v>0</v>
      </c>
      <c r="O777" t="n">
        <v>0</v>
      </c>
      <c r="P777">
        <f>HYPERLINK("https://g1.globo.com/mg/centro-oeste/noticia/2021/01/09/samu-atende-crianca-de-1-ano-com-queimaduras-de-oleo-quente-em-divinopolis.ghtml", "URL")</f>
        <v/>
      </c>
      <c r="Q777">
        <f>HYPERLINK("https://raw.githubusercontent.com/marcosmapl/dataset_imigrantes/main/materias_filtered/g1/haitianos/2021/00_jan/html/g1_f2279618-232a-11ed-b24f-6dbe51e79fca_4212.html", "HTML")</f>
        <v/>
      </c>
      <c r="R777">
        <f>HYPERLINK("https://raw.githubusercontent.com/marcosmapl/dataset_imigrantes/main/materias_filtered/g1/haitianos/2021/00_jan/txt/g1_f2279618-232a-11ed-b24f-6dbe51e79fca_4212.txt", "TXT")</f>
        <v/>
      </c>
    </row>
    <row r="778">
      <c r="A778" s="1" t="n">
        <v>776</v>
      </c>
      <c r="B778" t="n">
        <v>2021</v>
      </c>
      <c r="C778" s="2" t="n">
        <v>44205.4170558912</v>
      </c>
      <c r="D778" t="inlineStr">
        <is>
          <t>G1</t>
        </is>
      </c>
      <c r="E778" t="inlineStr">
        <is>
          <t>VENEZUELANOS</t>
        </is>
      </c>
      <c r="F778" t="inlineStr">
        <is>
          <t>SÃO PAULO</t>
        </is>
      </c>
      <c r="G778" t="inlineStr">
        <is>
          <t>PATRÍCIA FIGUEIREDO, G1 SP — SÃO PAULO</t>
        </is>
      </c>
      <c r="H778" t="inlineStr">
        <is>
          <t>RESTAURANTES FAMOSOS DE SP VENDEM PRATO TÍPICO DA VENEZUELA PARA ARRECADAR FUNDOS PARA ONG DE INCLUSÃO DE IMIGRANTES</t>
        </is>
      </c>
      <c r="I778" t="inlineStr">
        <is>
          <t>METADE DO LUCRO PROVENIENTE DA VENDA DAS AREPAS, RECEITA TRADICIONAL VENEZUELANA, SERÁ REVERTIDA PARA ONG QUE PROMOVE INCLUSÃO SOCIOECONÔMICA DE REFUGIADOS E IMIGRANTES EM SP. TRINTA COZINHEIROS VENEZUELANOS PARTICIPARAM DA CRIAÇÃO DAS NOVAS VERSÕES DO PRATO, AO LADO DE CHEFS RENOMADOS DA CIDADE.</t>
        </is>
      </c>
      <c r="J778" t="inlineStr"/>
      <c r="K778" t="n">
        <v>0</v>
      </c>
      <c r="L778" t="n">
        <v>2</v>
      </c>
      <c r="M778" t="n">
        <v>0</v>
      </c>
      <c r="N778" t="n">
        <v>0</v>
      </c>
      <c r="O778" t="n">
        <v>3</v>
      </c>
      <c r="P778">
        <f>HYPERLINK("https://g1.globo.com/sp/sao-paulo/o-que-fazer-em-sao-paulo/noticia/2021/01/09/restaurantes-famosos-de-sp-vendem-prato-tipico-da-venezuela-para-arrecadar-fundos-para-ong-de-inclusao-de-imigrantes.ghtml", "URL")</f>
        <v/>
      </c>
      <c r="Q778">
        <f>HYPERLINK("https://raw.githubusercontent.com/marcosmapl/dataset_imigrantes/main/materias_filtered/g1/venezuelanos/2021/00_jan/html/g1_9b729940-231a-11ed-b24f-6dbe51e79fca_3344.html", "HTML")</f>
        <v/>
      </c>
      <c r="R778">
        <f>HYPERLINK("https://raw.githubusercontent.com/marcosmapl/dataset_imigrantes/main/materias_filtered/g1/venezuelanos/2021/00_jan/txt/g1_9b729940-231a-11ed-b24f-6dbe51e79fca_3344.txt", "TXT")</f>
        <v/>
      </c>
    </row>
    <row r="779">
      <c r="A779" s="1" t="n">
        <v>777</v>
      </c>
      <c r="B779" t="n">
        <v>2021</v>
      </c>
      <c r="C779" s="2" t="n">
        <v>44205.41597222222</v>
      </c>
      <c r="D779" t="inlineStr">
        <is>
          <t>PORTAL AMAZONIA</t>
        </is>
      </c>
      <c r="E779" t="inlineStr">
        <is>
          <t>VENEZUELANOS</t>
        </is>
      </c>
      <c r="F779" t="inlineStr">
        <is>
          <t>RORAIMA,CIDADANIA</t>
        </is>
      </c>
      <c r="G779" t="inlineStr">
        <is>
          <t>PORTAL AMAZÔNIA COM INFORMAÇÕES DA AGÊNCIA BRASIL</t>
        </is>
      </c>
      <c r="H779" t="inlineStr">
        <is>
          <t>JUIZ FEDERAL BARRA DEPORTAÇÃO DE 55 INDÍGENAS WARAO VENEZUELANOS</t>
        </is>
      </c>
      <c r="I779" t="inlineStr">
        <is>
          <t>MAGISTRADO DO ESTADO DE RORAIMA DIZ QUE MEDIDA SERIA ATO DESUMANO E CRUEL</t>
        </is>
      </c>
      <c r="J779" t="inlineStr">
        <is>
          <t>CIDADANIA, INDÍGENAS WARAO, INDÍGENAS WARAO VENEZUELANOS, RORAIMA</t>
        </is>
      </c>
      <c r="K779" t="n">
        <v>4</v>
      </c>
      <c r="L779" t="n">
        <v>3</v>
      </c>
      <c r="M779" t="n">
        <v>0</v>
      </c>
      <c r="N779" t="n">
        <v>0</v>
      </c>
      <c r="O779" t="n">
        <v>9</v>
      </c>
      <c r="P779">
        <f>HYPERLINK("https://portalamazonia.com/noticias/cidadania/juiz-federal-barra-deportacao-de-55-indigenas-warao-venezuelanos", "URL")</f>
        <v/>
      </c>
      <c r="Q779">
        <f>HYPERLINK("https://raw.githubusercontent.com/marcosmapl/dataset_imigrantes/main/materias_filtered/portal_amazonia/venezuelanos/2021/00_jan/html/30114.66523_1442.html", "HTML")</f>
        <v/>
      </c>
      <c r="R779">
        <f>HYPERLINK("https://raw.githubusercontent.com/marcosmapl/dataset_imigrantes/main/materias_filtered/portal_amazonia/venezuelanos/2021/00_jan/txt/30114.66523_1442.txt", "TXT")</f>
        <v/>
      </c>
    </row>
    <row r="780">
      <c r="A780" s="1" t="n">
        <v>778</v>
      </c>
      <c r="B780" t="n">
        <v>2021</v>
      </c>
      <c r="C780" s="2" t="n">
        <v>44205.00716535879</v>
      </c>
      <c r="D780" t="inlineStr">
        <is>
          <t>G1</t>
        </is>
      </c>
      <c r="E780" t="inlineStr">
        <is>
          <t>VENEZUELANOS</t>
        </is>
      </c>
      <c r="F780" t="inlineStr">
        <is>
          <t>RORAIMA</t>
        </is>
      </c>
      <c r="G780" t="inlineStr">
        <is>
          <t>VANESSA FERNANDES, G1 RR — BOA VISTA</t>
        </is>
      </c>
      <c r="H780" t="inlineStr">
        <is>
          <t>JUSTIÇA FEDERAL SUSPENDE DEPORTAÇÃO DE 55 INDÍGENAS VENEZUELANOS QUE ANDARAM POR 18 DIAS ATÉ RR</t>
        </is>
      </c>
      <c r="I780" t="inlineStr">
        <is>
          <t>NA DECISÃO, O JUIZ FEDERAL FELIPE BOUDAZA FLORES VIANA ENTENDEU QUE A DEPORTAÇÃO, BASEADA EM PORTARIA FEDERAL, VAI CONTRA A LEI DE IMIGRAÇÕES. TAMBÉM ESTIPULOU MULTA DE R$ 1 MILHÃO POR CADA INDÍGENA EVENTUALMENTE DEPORTADO.</t>
        </is>
      </c>
      <c r="J780" t="inlineStr"/>
      <c r="K780" t="n">
        <v>0</v>
      </c>
      <c r="L780" t="n">
        <v>3</v>
      </c>
      <c r="M780" t="n">
        <v>1</v>
      </c>
      <c r="N780" t="n">
        <v>0</v>
      </c>
      <c r="O780" t="n">
        <v>1</v>
      </c>
      <c r="P780">
        <f>HYPERLINK("https://g1.globo.com/rr/roraima/noticia/2021/01/08/justica-federal-suspende-deportacao-de-55-indigenas-venezuelanos-que-andaram-por-18-dias-em-rr.ghtml", "URL")</f>
        <v/>
      </c>
      <c r="Q780">
        <f>HYPERLINK("https://raw.githubusercontent.com/marcosmapl/dataset_imigrantes/main/materias_filtered/g1/venezuelanos/2021/00_jan/html/g1_45a88332-2309-11ed-b24f-6dbe51e79fca_2436.html", "HTML")</f>
        <v/>
      </c>
      <c r="R780">
        <f>HYPERLINK("https://raw.githubusercontent.com/marcosmapl/dataset_imigrantes/main/materias_filtered/g1/venezuelanos/2021/00_jan/txt/g1_45a88332-2309-11ed-b24f-6dbe51e79fca_2436.txt", "TXT")</f>
        <v/>
      </c>
    </row>
    <row r="781">
      <c r="A781" s="1" t="n">
        <v>779</v>
      </c>
      <c r="B781" t="n">
        <v>2021</v>
      </c>
      <c r="C781" s="2" t="n">
        <v>44204.7382175926</v>
      </c>
      <c r="D781" t="inlineStr">
        <is>
          <t>A CRITICA</t>
        </is>
      </c>
      <c r="E781" t="inlineStr">
        <is>
          <t>VENEZUELANOS</t>
        </is>
      </c>
      <c r="F781" t="inlineStr"/>
      <c r="G781" t="inlineStr">
        <is>
          <t>AGÊNCIA BRASIL</t>
        </is>
      </c>
      <c r="H781" t="inlineStr">
        <is>
          <t>JUIZ FEDERAL BARRA DEPORTAÇÃO DE 55 INDÍGENAS WARAO VENEZUELANOS</t>
        </is>
      </c>
      <c r="I781" t="inlineStr">
        <is>
          <t>MAGISTRADO DIZ QUE MEDIDA SERIA ATO DESUMANO E CRUEL</t>
        </is>
      </c>
      <c r="J781" t="inlineStr"/>
      <c r="K781" t="n">
        <v>0</v>
      </c>
      <c r="L781" t="n">
        <v>1</v>
      </c>
      <c r="M781" t="n">
        <v>0</v>
      </c>
      <c r="N781" t="n">
        <v>0</v>
      </c>
      <c r="O781" t="n">
        <v>0</v>
      </c>
      <c r="P781">
        <f>HYPERLINK("https://www.acritica.com/juiz-federal-barra-deportac-o-de-55-indigenas-warao-venezuelanos-1.24422", "URL")</f>
        <v/>
      </c>
      <c r="Q781">
        <f>HYPERLINK("https://raw.githubusercontent.com/marcosmapl/dataset_imigrantes/main/materias_filtered/a_critica/venezuelanos/2021/00_jan/html/1.24422_1341.html", "HTML")</f>
        <v/>
      </c>
      <c r="R781">
        <f>HYPERLINK("https://raw.githubusercontent.com/marcosmapl/dataset_imigrantes/main/materias_filtered/a_critica/venezuelanos/2021/00_jan/txt/1.24422_1341.txt", "TXT")</f>
        <v/>
      </c>
    </row>
    <row r="782">
      <c r="A782" s="1" t="n">
        <v>780</v>
      </c>
      <c r="B782" t="n">
        <v>2021</v>
      </c>
      <c r="C782" s="2" t="n">
        <v>44203.80268733796</v>
      </c>
      <c r="D782" t="inlineStr">
        <is>
          <t>G1</t>
        </is>
      </c>
      <c r="E782" t="inlineStr">
        <is>
          <t>VENEZUELANOS</t>
        </is>
      </c>
      <c r="F782" t="inlineStr">
        <is>
          <t>RORAIMA</t>
        </is>
      </c>
      <c r="G782" t="inlineStr">
        <is>
          <t>SUZANNE OLIVEIRA, G1 RR — BOA VISTA</t>
        </is>
      </c>
      <c r="H782" t="inlineStr">
        <is>
          <t>VENEZUELANOS CARREGAM NOS OMBROS CAIXÃO EM AVENIDA DE BOA VISTA; VEJA VÍDEO</t>
        </is>
      </c>
      <c r="I782" t="inlineStr">
        <is>
          <t>GRUPO ANDOU PELA ZONA SUL DA CIDADE COM O CORPO DO BARBEIRO EDWARD ANTÔNIO VILLAZANA, QUE MORREU AOS 30 ANOS APÓS DAR ENTRADA NO HOSPITAL VÍTIMA DE UM TIRO. SEGUNDO A ESPOSA E A FUNERÁRIA, CARREGAR O CAIXÃO ATÉ O CEMITÉRIO É UMA TRADIÇÃO DOS VENEZUELANOS QUE VIVEM NA CIDADE DE EL TIGRE.</t>
        </is>
      </c>
      <c r="J782" t="inlineStr"/>
      <c r="K782" t="n">
        <v>0</v>
      </c>
      <c r="L782" t="n">
        <v>1</v>
      </c>
      <c r="M782" t="n">
        <v>1</v>
      </c>
      <c r="N782" t="n">
        <v>0</v>
      </c>
      <c r="O782" t="n">
        <v>0</v>
      </c>
      <c r="P782">
        <f>HYPERLINK("https://g1.globo.com/rr/roraima/noticia/2021/01/07/venezuelanos-carregam-nos-ombros-caixao-em-avenida-de-boa-vista-veja-video.ghtml", "URL")</f>
        <v/>
      </c>
      <c r="Q782">
        <f>HYPERLINK("https://raw.githubusercontent.com/marcosmapl/dataset_imigrantes/main/materias_filtered/g1/venezuelanos/2021/00_jan/html/g1_c606dad4-2321-11ed-b24f-6dbe51e79fca_3717.html", "HTML")</f>
        <v/>
      </c>
      <c r="R782">
        <f>HYPERLINK("https://raw.githubusercontent.com/marcosmapl/dataset_imigrantes/main/materias_filtered/g1/venezuelanos/2021/00_jan/txt/g1_c606dad4-2321-11ed-b24f-6dbe51e79fca_3717.txt", "TXT")</f>
        <v/>
      </c>
    </row>
    <row r="783">
      <c r="A783" s="1" t="n">
        <v>781</v>
      </c>
      <c r="B783" t="n">
        <v>2021</v>
      </c>
      <c r="C783" s="2" t="n">
        <v>44202.92405810185</v>
      </c>
      <c r="D783" t="inlineStr">
        <is>
          <t>G1</t>
        </is>
      </c>
      <c r="E783" t="inlineStr">
        <is>
          <t>VENEZUELANOS</t>
        </is>
      </c>
      <c r="F783" t="inlineStr">
        <is>
          <t>MUNDO</t>
        </is>
      </c>
      <c r="G783" t="inlineStr">
        <is>
          <t>G1</t>
        </is>
      </c>
      <c r="H783" t="inlineStr">
        <is>
          <t>UNIÃO EUROPEIA NÃO RECONHECE REPRESENTATIVIDADE DA NOVA ASSEMBLEIA NACIONAL VENEZUELANA</t>
        </is>
      </c>
      <c r="I783" t="inlineStr">
        <is>
          <t>NOVO PARLAMENTO TOMOU POSSE NESTA TERÇA (5) COM FORTE APOIO A MADURO E LEGITIMIDADE CONTESTADA PELA OPOSIÇÃO.</t>
        </is>
      </c>
      <c r="J783" t="inlineStr"/>
      <c r="K783" t="n">
        <v>0</v>
      </c>
      <c r="L783" t="n">
        <v>1</v>
      </c>
      <c r="M783" t="n">
        <v>0</v>
      </c>
      <c r="N783" t="n">
        <v>0</v>
      </c>
      <c r="O783" t="n">
        <v>4</v>
      </c>
      <c r="P783">
        <f>HYPERLINK("https://g1.globo.com/mundo/noticia/2021/01/06/uniao-europeia-nao-reconhece-representatividade-da-nova-assembleia-nacional-venezuelana.ghtml", "URL")</f>
        <v/>
      </c>
      <c r="Q783">
        <f>HYPERLINK("https://raw.githubusercontent.com/marcosmapl/dataset_imigrantes/main/materias_filtered/g1/venezuelanos/2021/00_jan/html/g1_247745aa-2317-11ed-b24f-6dbe51e79fca_3188.html", "HTML")</f>
        <v/>
      </c>
      <c r="R783">
        <f>HYPERLINK("https://raw.githubusercontent.com/marcosmapl/dataset_imigrantes/main/materias_filtered/g1/venezuelanos/2021/00_jan/txt/g1_247745aa-2317-11ed-b24f-6dbe51e79fca_3188.txt", "TXT")</f>
        <v/>
      </c>
    </row>
    <row r="784">
      <c r="A784" s="1" t="n">
        <v>782</v>
      </c>
      <c r="B784" t="n">
        <v>2021</v>
      </c>
      <c r="C784" s="2" t="n">
        <v>44201.51214554398</v>
      </c>
      <c r="D784" t="inlineStr">
        <is>
          <t>G1</t>
        </is>
      </c>
      <c r="E784" t="inlineStr">
        <is>
          <t>VENEZUELANOS</t>
        </is>
      </c>
      <c r="F784" t="inlineStr">
        <is>
          <t>MUNDO</t>
        </is>
      </c>
      <c r="G784" t="inlineStr">
        <is>
          <t>G1</t>
        </is>
      </c>
      <c r="H784" t="inlineStr">
        <is>
          <t>NOVO PARLAMENTO VENEZUELANO TOMA POSSE NESTA TERÇA COM FORTE APOIO A MADURO</t>
        </is>
      </c>
      <c r="I784" t="inlineStr">
        <is>
          <t>ASSEMBLEIA NACIONAL FOI ELEITA EM DEZEMBRO APÓS UM PLEITO MARCADO POR ALTOS NÍVEIS DE ABSTENÇÃO E BOICOTE DA OPOSIÇÃO; CONGRESSO PASSARÁ A SER CONTROLADO POR ALIADOS DO PRESIDENTE NICOLÁS MADURO.</t>
        </is>
      </c>
      <c r="J784" t="inlineStr"/>
      <c r="K784" t="n">
        <v>0</v>
      </c>
      <c r="L784" t="n">
        <v>1</v>
      </c>
      <c r="M784" t="n">
        <v>0</v>
      </c>
      <c r="N784" t="n">
        <v>0</v>
      </c>
      <c r="O784" t="n">
        <v>6</v>
      </c>
      <c r="P784">
        <f>HYPERLINK("https://g1.globo.com/mundo/noticia/2021/01/05/novo-parlamento-venezuelano-toma-posse-nesta-terca-com-forte-apoio-a-maduro.ghtml", "URL")</f>
        <v/>
      </c>
      <c r="Q784">
        <f>HYPERLINK("https://raw.githubusercontent.com/marcosmapl/dataset_imigrantes/main/materias_filtered/g1/venezuelanos/2021/00_jan/html/g1_56316606-231d-11ed-b24f-6dbe51e79fca_3498.html", "HTML")</f>
        <v/>
      </c>
      <c r="R784">
        <f>HYPERLINK("https://raw.githubusercontent.com/marcosmapl/dataset_imigrantes/main/materias_filtered/g1/venezuelanos/2021/00_jan/txt/g1_56316606-231d-11ed-b24f-6dbe51e79fca_3498.txt", "TXT")</f>
        <v/>
      </c>
    </row>
    <row r="785">
      <c r="A785" s="1" t="n">
        <v>783</v>
      </c>
      <c r="B785" t="n">
        <v>2021</v>
      </c>
      <c r="C785" s="2" t="n">
        <v>44200.53472222222</v>
      </c>
      <c r="D785" t="inlineStr">
        <is>
          <t>PORTAL AMAZONIA</t>
        </is>
      </c>
      <c r="E785" t="inlineStr">
        <is>
          <t>VENEZUELANOS</t>
        </is>
      </c>
      <c r="F785" t="inlineStr">
        <is>
          <t>RORAIMA,CIDADES</t>
        </is>
      </c>
      <c r="G785" t="inlineStr">
        <is>
          <t>PORTAL AMAZÔNIA, COM INFORMAÇÕES DO G1 RORAIMA</t>
        </is>
      </c>
      <c r="H785" t="inlineStr">
        <is>
          <t>RORAIMA REDUZ EM 21% O NÚMERO DE ASSASSINATOS ENTRE 2019 E 2020, DIZ GOVERNO</t>
        </is>
      </c>
      <c r="I785" t="inlineStr">
        <is>
          <t>BOA VISTA CONTINUA SENDO A CIDADE COM O MAIOR NÚMERO DE MORTES VIOLENTAS ENTRE OS MUNICÍPIOS, APESAR DA REDUÇÃO, CONFORME O GOVERNO. EM SEGUIDA, APARECEM MUCAJAÍ, CANTÁ, ALTO ALEGRE E RORAINÓPOLIS.</t>
        </is>
      </c>
      <c r="J785" t="inlineStr">
        <is>
          <t>CIDADES, RORAIMA</t>
        </is>
      </c>
      <c r="K785" t="n">
        <v>2</v>
      </c>
      <c r="L785" t="n">
        <v>3</v>
      </c>
      <c r="M785" t="n">
        <v>0</v>
      </c>
      <c r="N785" t="n">
        <v>0</v>
      </c>
      <c r="O785" t="n">
        <v>7</v>
      </c>
      <c r="P785">
        <f>HYPERLINK("https://portalamazonia.com/noticias/cidades/roraima-reduz-em-21-o-numero-de-assassinatos-entre-2019-e-2020-diz-governo", "URL")</f>
        <v/>
      </c>
      <c r="Q785">
        <f>HYPERLINK("https://raw.githubusercontent.com/marcosmapl/dataset_imigrantes/main/materias_filtered/portal_amazonia/venezuelanos/2021/00_jan/html/30025.65926_1534.html", "HTML")</f>
        <v/>
      </c>
      <c r="R785">
        <f>HYPERLINK("https://raw.githubusercontent.com/marcosmapl/dataset_imigrantes/main/materias_filtered/portal_amazonia/venezuelanos/2021/00_jan/txt/30025.65926_1534.txt", "TXT")</f>
        <v/>
      </c>
    </row>
    <row r="786">
      <c r="A786" s="1" t="n">
        <v>784</v>
      </c>
      <c r="B786" t="n">
        <v>2021</v>
      </c>
      <c r="C786" s="2" t="n">
        <v>44199.81280311343</v>
      </c>
      <c r="D786" t="inlineStr">
        <is>
          <t>G1</t>
        </is>
      </c>
      <c r="E786" t="inlineStr">
        <is>
          <t>VENEZUELANOS</t>
        </is>
      </c>
      <c r="F786" t="inlineStr">
        <is>
          <t>PIAUÍ</t>
        </is>
      </c>
      <c r="G786" t="inlineStr">
        <is>
          <t>G1 PI</t>
        </is>
      </c>
      <c r="H786" t="inlineStr">
        <is>
          <t>ABRIGOS DE VENEZUELANOS PASSAM A CONTAR COM A PRESENÇA DA GUARDA MUNICIPAL APÓS DENÚNCIAS</t>
        </is>
      </c>
      <c r="I786" t="inlineStr">
        <is>
          <t>A SECRETARIA DE ASSISTÊNCIA SOCIAL EXPLICOU QUE A DETERMINAÇÃO PARA A PRESENÇA DA GUARDA NOS CENTROS DE ACOLHIMENTO APÓS DENÚNCIA DE CONSUMO DE DROGAS ILÍCITAS NOS LOCAIS E ATÉ A PRESENÇA DE TRAFICANTES.</t>
        </is>
      </c>
      <c r="J786" t="inlineStr"/>
      <c r="K786" t="n">
        <v>0</v>
      </c>
      <c r="L786" t="n">
        <v>3</v>
      </c>
      <c r="M786" t="n">
        <v>1</v>
      </c>
      <c r="N786" t="n">
        <v>0</v>
      </c>
      <c r="O786" t="n">
        <v>1</v>
      </c>
      <c r="P786">
        <f>HYPERLINK("https://g1.globo.com/pi/piaui/noticia/2021/01/03/abrigos-de-venezuelanos-passam-a-contar-com-a-presenca-da-guarda-municipal-apos-denuncias.ghtml", "URL")</f>
        <v/>
      </c>
      <c r="Q786">
        <f>HYPERLINK("https://raw.githubusercontent.com/marcosmapl/dataset_imigrantes/main/materias_filtered/g1/venezuelanos/2021/00_jan/html/g1_023b1268-2327-11ed-b24f-6dbe51e79fca_4012.html", "HTML")</f>
        <v/>
      </c>
      <c r="R786">
        <f>HYPERLINK("https://raw.githubusercontent.com/marcosmapl/dataset_imigrantes/main/materias_filtered/g1/venezuelanos/2021/00_jan/txt/g1_023b1268-2327-11ed-b24f-6dbe51e79fca_4012.txt", "TXT")</f>
        <v/>
      </c>
    </row>
    <row r="787">
      <c r="A787" s="1" t="n">
        <v>785</v>
      </c>
      <c r="B787" t="n">
        <v>2021</v>
      </c>
      <c r="C787" s="2" t="n">
        <v>44199.41678002315</v>
      </c>
      <c r="D787" t="inlineStr">
        <is>
          <t>G1</t>
        </is>
      </c>
      <c r="E787" t="inlineStr">
        <is>
          <t>VENEZUELANOS</t>
        </is>
      </c>
      <c r="F787" t="inlineStr">
        <is>
          <t>MINAS GERAIS</t>
        </is>
      </c>
      <c r="G787" t="inlineStr">
        <is>
          <t>THAIS PIMENTEL, G1 MINAS — BELO HORIZONTE</t>
        </is>
      </c>
      <c r="H787" t="inlineStr">
        <is>
          <t>EM MEIO À PREOCUPAÇÃO E À SAUDADE, REFUGIADOS VENEZUELANOS CONSEGUEM SE MANTER EM BH DURANTE A PANDEMIA</t>
        </is>
      </c>
      <c r="I787" t="inlineStr">
        <is>
          <t>APESAR DE MUITOS TEREM PERDIDO EMPREGO POR CAUSA DA CRISE PROVOCADA PELO CORONAVÍRUS, OUTROS CONSEGUIRAM SE REINVENTAR E ATÉ MESMO VER O SERVIÇO DOBRAR.</t>
        </is>
      </c>
      <c r="J787" t="inlineStr"/>
      <c r="K787" t="n">
        <v>0</v>
      </c>
      <c r="L787" t="n">
        <v>2</v>
      </c>
      <c r="M787" t="n">
        <v>1</v>
      </c>
      <c r="N787" t="n">
        <v>0</v>
      </c>
      <c r="O787" t="n">
        <v>3</v>
      </c>
      <c r="P787">
        <f>HYPERLINK("https://g1.globo.com/mg/minas-gerais/noticia/2021/01/03/em-meio-a-preocupacao-e-a-saudade-refugiados-venezuelanos-conseguem-se-manter-em-bh-durante-a-pandemia.ghtml", "URL")</f>
        <v/>
      </c>
      <c r="Q787">
        <f>HYPERLINK("https://raw.githubusercontent.com/marcosmapl/dataset_imigrantes/main/materias_filtered/g1/venezuelanos/2021/00_jan/html/g1_efbb8168-2308-11ed-b24f-6dbe51e79fca_2414.html", "HTML")</f>
        <v/>
      </c>
      <c r="R787">
        <f>HYPERLINK("https://raw.githubusercontent.com/marcosmapl/dataset_imigrantes/main/materias_filtered/g1/venezuelanos/2021/00_jan/txt/g1_efbb8168-2308-11ed-b24f-6dbe51e79fca_2414.txt", "TXT")</f>
        <v/>
      </c>
    </row>
    <row r="788">
      <c r="A788" s="1" t="n">
        <v>786</v>
      </c>
      <c r="B788" t="n">
        <v>2021</v>
      </c>
      <c r="C788" s="2" t="n">
        <v>44198.77981671297</v>
      </c>
      <c r="D788" t="inlineStr">
        <is>
          <t>G1</t>
        </is>
      </c>
      <c r="E788" t="inlineStr">
        <is>
          <t>VENEZUELANOS</t>
        </is>
      </c>
      <c r="F788" t="inlineStr">
        <is>
          <t>MUNDO</t>
        </is>
      </c>
      <c r="G788" t="inlineStr">
        <is>
          <t>REUTERS</t>
        </is>
      </c>
      <c r="H788" t="inlineStr">
        <is>
          <t>MADURO VAI AUTORIZAR CONTAS EM MOEDA ESTRANGEIRA EM BANCOS VENEZUELANOS</t>
        </is>
      </c>
      <c r="I788" t="inlineStr">
        <is>
          <t>REGULAMENTAÇÃO NÃO AUTORIZA TRANSFERÊNCIAS DE DIVISAS DE PAÍSES DO EXTERIOR ENTRE BANCOS LOCAIS, OU OUTRAS OPERAÇÕES.</t>
        </is>
      </c>
      <c r="J788" t="inlineStr"/>
      <c r="K788" t="n">
        <v>0</v>
      </c>
      <c r="L788" t="n">
        <v>4</v>
      </c>
      <c r="M788" t="n">
        <v>0</v>
      </c>
      <c r="N788" t="n">
        <v>0</v>
      </c>
      <c r="O788" t="n">
        <v>2</v>
      </c>
      <c r="P788">
        <f>HYPERLINK("https://g1.globo.com/mundo/noticia/2021/01/02/maduro-vai-autorizar-contas-em-moeda-estrangeira-em-bancos-venezuelanos.ghtml", "URL")</f>
        <v/>
      </c>
      <c r="Q788">
        <f>HYPERLINK("https://raw.githubusercontent.com/marcosmapl/dataset_imigrantes/main/materias_filtered/g1/venezuelanos/2021/00_jan/html/g1_23538838-2316-11ed-b24f-6dbe51e79fca_3127.html", "HTML")</f>
        <v/>
      </c>
      <c r="R788">
        <f>HYPERLINK("https://raw.githubusercontent.com/marcosmapl/dataset_imigrantes/main/materias_filtered/g1/venezuelanos/2021/00_jan/txt/g1_23538838-2316-11ed-b24f-6dbe51e79fca_3127.txt", "TXT")</f>
        <v/>
      </c>
    </row>
    <row r="789">
      <c r="A789" s="1" t="n">
        <v>787</v>
      </c>
      <c r="B789" t="n">
        <v>2021</v>
      </c>
      <c r="C789" s="2" t="n">
        <v>44197.63436304398</v>
      </c>
      <c r="D789" t="inlineStr">
        <is>
          <t>G1</t>
        </is>
      </c>
      <c r="E789" t="inlineStr">
        <is>
          <t>VENEZUELANOS</t>
        </is>
      </c>
      <c r="F789" t="inlineStr">
        <is>
          <t>RORAIMA</t>
        </is>
      </c>
      <c r="G789" t="inlineStr">
        <is>
          <t>G1 RR — BOA VISTA</t>
        </is>
      </c>
      <c r="H789" t="inlineStr">
        <is>
          <t>VENEZUELANO É ASSASSINADO ENQUANTO BEBIA COM AMIGOS EM PACARAIMA</t>
        </is>
      </c>
      <c r="I789" t="inlineStr">
        <is>
          <t>JESUS MAURICIO OPOZCO DIAMOND, DE 25 ANOS, ESTAVA COM UMA PERFURAÇÃO NO TÓRAX. ELE FOI LEVADO AO HOSPITAL NA VIATURA DA POLÍCIA MILITAR PORQUE A AMBULÂNCIA DO MUNICÍPIO ESTAVA SEM FAROL.</t>
        </is>
      </c>
      <c r="J789" t="inlineStr"/>
      <c r="K789" t="n">
        <v>0</v>
      </c>
      <c r="L789" t="n">
        <v>1</v>
      </c>
      <c r="M789" t="n">
        <v>0</v>
      </c>
      <c r="N789" t="n">
        <v>0</v>
      </c>
      <c r="O789" t="n">
        <v>0</v>
      </c>
      <c r="P789">
        <f>HYPERLINK("https://g1.globo.com/rr/roraima/noticia/2021/01/01/venezuelano-e-assassinado-enquanto-bebia-com-amigos-em-pacaraima.ghtml", "URL")</f>
        <v/>
      </c>
      <c r="Q789">
        <f>HYPERLINK("https://raw.githubusercontent.com/marcosmapl/dataset_imigrantes/main/materias_filtered/g1/venezuelanos/2021/00_jan/html/g1_2fa2b05c-2328-11ed-b24f-6dbe51e79fca_4066.html", "HTML")</f>
        <v/>
      </c>
      <c r="R789">
        <f>HYPERLINK("https://raw.githubusercontent.com/marcosmapl/dataset_imigrantes/main/materias_filtered/g1/venezuelanos/2021/00_jan/txt/g1_2fa2b05c-2328-11ed-b24f-6dbe51e79fca_4066.txt", "TXT")</f>
        <v/>
      </c>
    </row>
    <row r="790">
      <c r="A790" s="1" t="n">
        <v>788</v>
      </c>
      <c r="B790" t="n">
        <v>2020</v>
      </c>
      <c r="C790" s="2" t="n">
        <v>44192.65149042824</v>
      </c>
      <c r="D790" t="inlineStr">
        <is>
          <t>G1</t>
        </is>
      </c>
      <c r="E790" t="inlineStr">
        <is>
          <t>VENEZUELANOS</t>
        </is>
      </c>
      <c r="F790" t="inlineStr">
        <is>
          <t>RORAIMA</t>
        </is>
      </c>
      <c r="G790" t="inlineStr">
        <is>
          <t>G1 RR — BOA VISTA</t>
        </is>
      </c>
      <c r="H790" t="inlineStr">
        <is>
          <t>VENEZUELANOS SÃO ASSASSINADOS A TIROS EM BOA VISTA</t>
        </is>
      </c>
      <c r="I790" t="inlineStr">
        <is>
          <t>OUTROS DOIS IMIGRANTES, DE 24 E 33 ANOS, FICARAM FERIDOS E FORAM LEVADOS AO HOSPITAL GERAL DE RORAIMA.</t>
        </is>
      </c>
      <c r="J790" t="inlineStr"/>
      <c r="K790" t="n">
        <v>0</v>
      </c>
      <c r="L790" t="n">
        <v>1</v>
      </c>
      <c r="M790" t="n">
        <v>0</v>
      </c>
      <c r="N790" t="n">
        <v>0</v>
      </c>
      <c r="O790" t="n">
        <v>0</v>
      </c>
      <c r="P790">
        <f>HYPERLINK("https://g1.globo.com/rr/roraima/noticia/2020/12/27/venezuelanos-sao-assassinados-a-tiros-em-boa-vista.ghtml", "URL")</f>
        <v/>
      </c>
      <c r="Q790">
        <f>HYPERLINK("https://raw.githubusercontent.com/marcosmapl/dataset_imigrantes/main/materias_filtered/g1/venezuelanos/2020/11_dez/html/g1_9084b67e-2312-11ed-b24f-6dbe51e79fca_2972.html", "HTML")</f>
        <v/>
      </c>
      <c r="R790">
        <f>HYPERLINK("https://raw.githubusercontent.com/marcosmapl/dataset_imigrantes/main/materias_filtered/g1/venezuelanos/2020/11_dez/txt/g1_9084b67e-2312-11ed-b24f-6dbe51e79fca_2972.txt", "TXT")</f>
        <v/>
      </c>
    </row>
    <row r="791">
      <c r="A791" s="1" t="n">
        <v>789</v>
      </c>
      <c r="B791" t="n">
        <v>2020</v>
      </c>
      <c r="C791" s="2" t="n">
        <v>44191.74023899306</v>
      </c>
      <c r="D791" t="inlineStr">
        <is>
          <t>G1</t>
        </is>
      </c>
      <c r="E791" t="inlineStr">
        <is>
          <t>HAITIANOS</t>
        </is>
      </c>
      <c r="F791" t="inlineStr">
        <is>
          <t>MATO GROSSO</t>
        </is>
      </c>
      <c r="G791" t="inlineStr">
        <is>
          <t>G1 MT</t>
        </is>
      </c>
      <c r="H791" t="inlineStr">
        <is>
          <t>HAITIANO MORRE AFOGADO EM RIO DURANTE O NATAL EM CUIABÁ</t>
        </is>
      </c>
      <c r="I791" t="inlineStr">
        <is>
          <t>PETERSON DORCELUS ESTAVA COM UM AMIGO, TAMBÉM HAITIANO, QUE TENTOU SALVÁ-LO, MAS NÃO CONSEGUIU.</t>
        </is>
      </c>
      <c r="J791" t="inlineStr"/>
      <c r="K791" t="n">
        <v>0</v>
      </c>
      <c r="L791" t="n">
        <v>2</v>
      </c>
      <c r="M791" t="n">
        <v>0</v>
      </c>
      <c r="N791" t="n">
        <v>0</v>
      </c>
      <c r="O791" t="n">
        <v>0</v>
      </c>
      <c r="P791">
        <f>HYPERLINK("https://g1.globo.com/mt/mato-grosso/noticia/2020/12/26/haitiano-morre-afogado-em-rio-durante-o-natal-em-cuiaba.ghtml", "URL")</f>
        <v/>
      </c>
      <c r="Q791">
        <f>HYPERLINK("https://raw.githubusercontent.com/marcosmapl/dataset_imigrantes/main/materias_filtered/g1/haitianos/2020/11_dez/html/g1_e8c70da8-22ec-11ed-b24f-6dbe51e79fca_1672.html", "HTML")</f>
        <v/>
      </c>
      <c r="R791">
        <f>HYPERLINK("https://raw.githubusercontent.com/marcosmapl/dataset_imigrantes/main/materias_filtered/g1/haitianos/2020/11_dez/txt/g1_e8c70da8-22ec-11ed-b24f-6dbe51e79fca_1672.txt", "TXT")</f>
        <v/>
      </c>
    </row>
    <row r="792">
      <c r="A792" s="1" t="n">
        <v>790</v>
      </c>
      <c r="B792" t="n">
        <v>2020</v>
      </c>
      <c r="C792" s="2" t="n">
        <v>44190.63482381945</v>
      </c>
      <c r="D792" t="inlineStr">
        <is>
          <t>G1</t>
        </is>
      </c>
      <c r="E792" t="inlineStr">
        <is>
          <t>VENEZUELANOS</t>
        </is>
      </c>
      <c r="F792" t="inlineStr">
        <is>
          <t>RORAIMA</t>
        </is>
      </c>
      <c r="G792" t="inlineStr">
        <is>
          <t>G1 RR — BOA VISTA</t>
        </is>
      </c>
      <c r="H792" t="inlineStr">
        <is>
          <t>ADOLESCENTE VENEZUELANO É MORTO A TIROS EM BOA VISTA</t>
        </is>
      </c>
      <c r="I792" t="inlineStr">
        <is>
          <t>DE ACORDO COM A POLÍCIA MILITAR (PM), A VÍTIMA FOI ATINGIDA POR AO MENOS TRÊS DISPAROS, NAS REGIÕES PÉLVICA, TÓRAX E CABEÇA.</t>
        </is>
      </c>
      <c r="J792" t="inlineStr"/>
      <c r="K792" t="n">
        <v>0</v>
      </c>
      <c r="L792" t="n">
        <v>1</v>
      </c>
      <c r="M792" t="n">
        <v>0</v>
      </c>
      <c r="N792" t="n">
        <v>0</v>
      </c>
      <c r="O792" t="n">
        <v>0</v>
      </c>
      <c r="P792">
        <f>HYPERLINK("https://g1.globo.com/rr/roraima/noticia/2020/12/25/adolescente-venezuelano-e-morto-a-tiros-em-boa-vista.ghtml", "URL")</f>
        <v/>
      </c>
      <c r="Q792">
        <f>HYPERLINK("https://raw.githubusercontent.com/marcosmapl/dataset_imigrantes/main/materias_filtered/g1/venezuelanos/2020/11_dez/html/g1_3eb330ca-2324-11ed-b24f-6dbe51e79fca_3858.html", "HTML")</f>
        <v/>
      </c>
      <c r="R792">
        <f>HYPERLINK("https://raw.githubusercontent.com/marcosmapl/dataset_imigrantes/main/materias_filtered/g1/venezuelanos/2020/11_dez/txt/g1_3eb330ca-2324-11ed-b24f-6dbe51e79fca_3858.txt", "TXT")</f>
        <v/>
      </c>
    </row>
    <row r="793">
      <c r="A793" s="1" t="n">
        <v>791</v>
      </c>
      <c r="B793" t="n">
        <v>2020</v>
      </c>
      <c r="C793" s="2" t="n">
        <v>44190.03178240741</v>
      </c>
      <c r="D793" t="inlineStr">
        <is>
          <t>A CRITICA</t>
        </is>
      </c>
      <c r="E793" t="inlineStr">
        <is>
          <t>VENEZUELANOS</t>
        </is>
      </c>
      <c r="F793" t="inlineStr">
        <is>
          <t>ESPORTES</t>
        </is>
      </c>
      <c r="G793" t="inlineStr">
        <is>
          <t>DANIEL PRESTES</t>
        </is>
      </c>
      <c r="H793" t="inlineStr">
        <is>
          <t>PROJETO QUE UNE O SOFTBOL E AÇÕES SOCIAIS PROMOVE EVENTO EM MANAUS</t>
        </is>
      </c>
      <c r="I793" t="inlineStr">
        <is>
          <t>CONHEÇA O GRUPO DE VENEZUELANOS QUE USA DO ESPORTE PARA UNIR SEUS CONTERRÂNEOS E REALIZAR TRABALHO SOCIAL</t>
        </is>
      </c>
      <c r="J793" t="inlineStr"/>
      <c r="K793" t="n">
        <v>0</v>
      </c>
      <c r="L793" t="n">
        <v>1</v>
      </c>
      <c r="M793" t="n">
        <v>0</v>
      </c>
      <c r="N793" t="n">
        <v>0</v>
      </c>
      <c r="O793" t="n">
        <v>0</v>
      </c>
      <c r="P793">
        <f>HYPERLINK("https://www.acritica.com/esportes/projeto-que-une-o-softbol-e-ac-es-sociais-promove-evento-em-manaus-1.26617", "URL")</f>
        <v/>
      </c>
      <c r="Q793">
        <f>HYPERLINK("https://raw.githubusercontent.com/marcosmapl/dataset_imigrantes/main/materias_filtered/a_critica/venezuelanos/2020/11_dez/html/1.26617_867.html", "HTML")</f>
        <v/>
      </c>
      <c r="R793">
        <f>HYPERLINK("https://raw.githubusercontent.com/marcosmapl/dataset_imigrantes/main/materias_filtered/a_critica/venezuelanos/2020/11_dez/txt/1.26617_867.txt", "TXT")</f>
        <v/>
      </c>
    </row>
    <row r="794">
      <c r="A794" s="1" t="n">
        <v>792</v>
      </c>
      <c r="B794" t="n">
        <v>2020</v>
      </c>
      <c r="C794" s="2" t="n">
        <v>44189.54104974537</v>
      </c>
      <c r="D794" t="inlineStr">
        <is>
          <t>G1</t>
        </is>
      </c>
      <c r="E794" t="inlineStr">
        <is>
          <t>VENEZUELANOS</t>
        </is>
      </c>
      <c r="F794" t="inlineStr">
        <is>
          <t>AMAZONAS</t>
        </is>
      </c>
      <c r="G794" t="inlineStr">
        <is>
          <t>G1 AM</t>
        </is>
      </c>
      <c r="H794" t="inlineStr">
        <is>
          <t>STJ MANTÉM DECISÃO QUE DETERMINOU FORNECIMENTO DE ALIMENTAÇÃO A VENEZUELANOS EM MANAUS</t>
        </is>
      </c>
      <c r="I794" t="inlineStr">
        <is>
          <t>SEGUNDO MINISTRO, MUNICÍPIO NÃO COMPROVOU QUE A DETERMINAÇÃO REPRESENTARIA GRAVE LESÃO À ECONOMIA PÚBLICA.</t>
        </is>
      </c>
      <c r="J794" t="inlineStr"/>
      <c r="K794" t="n">
        <v>0</v>
      </c>
      <c r="L794" t="n">
        <v>3</v>
      </c>
      <c r="M794" t="n">
        <v>0</v>
      </c>
      <c r="N794" t="n">
        <v>0</v>
      </c>
      <c r="O794" t="n">
        <v>1</v>
      </c>
      <c r="P794">
        <f>HYPERLINK("https://g1.globo.com/am/amazonas/noticia/2020/12/24/stj-mantem-decisao-que-determinou-fornecimento-de-alimentacao-a-venezuelanos-em-manaus.ghtml", "URL")</f>
        <v/>
      </c>
      <c r="Q794">
        <f>HYPERLINK("https://raw.githubusercontent.com/marcosmapl/dataset_imigrantes/main/materias_filtered/g1/venezuelanos/2020/11_dez/html/g1_7bb2f7d4-2311-11ed-b24f-6dbe51e79fca_2917.html", "HTML")</f>
        <v/>
      </c>
      <c r="R794">
        <f>HYPERLINK("https://raw.githubusercontent.com/marcosmapl/dataset_imigrantes/main/materias_filtered/g1/venezuelanos/2020/11_dez/txt/g1_7bb2f7d4-2311-11ed-b24f-6dbe51e79fca_2917.txt", "TXT")</f>
        <v/>
      </c>
    </row>
    <row r="795">
      <c r="A795" s="1" t="n">
        <v>793</v>
      </c>
      <c r="B795" t="n">
        <v>2020</v>
      </c>
      <c r="C795" s="2" t="n">
        <v>44189.38541666666</v>
      </c>
      <c r="D795" t="inlineStr">
        <is>
          <t>PORTAL AMAZONIA</t>
        </is>
      </c>
      <c r="E795" t="inlineStr">
        <is>
          <t>VENEZUELANOS</t>
        </is>
      </c>
      <c r="F795" t="inlineStr">
        <is>
          <t>AMAZÔNIA INTERNACIONAL,NOTÍCIAS,CIDADES</t>
        </is>
      </c>
      <c r="G795" t="inlineStr">
        <is>
          <t>PORTAL AMAZÔNIA, COM INFORMAÇÕES DA AGÊNCIA BRASIL</t>
        </is>
      </c>
      <c r="H795" t="inlineStr">
        <is>
          <t>MINISTÉRIO DA JUSTIÇA CONCLUI ANÁLISE DE 100 MIL PEDIDOS DE REFÚGIO; VENEZUELANOS LIDERAM</t>
        </is>
      </c>
      <c r="I795" t="inlineStr">
        <is>
          <t>OS CIDADÃOS VENEZUELANOS REPRESENTAM A QUASE TOTALIDADE DOS PEDIDOS, COM 46.641 RECONHECIMENTOS.</t>
        </is>
      </c>
      <c r="J795" t="inlineStr">
        <is>
          <t>AMAZÔNIA, AMAZÔNIA INTERNACIONAL, CIDADES, NOTÍCIAS</t>
        </is>
      </c>
      <c r="K795" t="n">
        <v>4</v>
      </c>
      <c r="L795" t="n">
        <v>2</v>
      </c>
      <c r="M795" t="n">
        <v>0</v>
      </c>
      <c r="N795" t="n">
        <v>0</v>
      </c>
      <c r="O795" t="n">
        <v>11</v>
      </c>
      <c r="P795">
        <f>HYPERLINK("https://portalamazonia.com/noticias/cidades/ministerio-da-justica-conclui-analise-de-100-mil-pedidos-de-refugio-venezuelanos-lideram", "URL")</f>
        <v/>
      </c>
      <c r="Q795">
        <f>HYPERLINK("https://raw.githubusercontent.com/marcosmapl/dataset_imigrantes/main/materias_filtered/portal_amazonia/venezuelanos/2020/11_dez/html/29870.65388_1556.html", "HTML")</f>
        <v/>
      </c>
      <c r="R795">
        <f>HYPERLINK("https://raw.githubusercontent.com/marcosmapl/dataset_imigrantes/main/materias_filtered/portal_amazonia/venezuelanos/2020/11_dez/txt/29870.65388_1556.txt", "TXT")</f>
        <v/>
      </c>
    </row>
    <row r="796">
      <c r="A796" s="1" t="n">
        <v>794</v>
      </c>
      <c r="B796" t="n">
        <v>2020</v>
      </c>
      <c r="C796" s="2" t="n">
        <v>44188.71460620371</v>
      </c>
      <c r="D796" t="inlineStr">
        <is>
          <t>G1</t>
        </is>
      </c>
      <c r="E796" t="inlineStr">
        <is>
          <t>VENEZUELANOS</t>
        </is>
      </c>
      <c r="F796" t="inlineStr">
        <is>
          <t>MUNDO</t>
        </is>
      </c>
      <c r="G796" t="inlineStr">
        <is>
          <t>RFI</t>
        </is>
      </c>
      <c r="H796" t="inlineStr">
        <is>
          <t>COLÔMBIA EXCLUIRÁ VENEZUELANOS EM SITUAÇÃO IRREGULAR DA VACINAÇÃO CONTRA COVID-19</t>
        </is>
      </c>
      <c r="I796" t="inlineStr">
        <is>
          <t>EM JANEIRO, PESSOAS COM MAIS DE 80 ANOS E PROFISSIONAIS DE SAÚDE NA LINHA DE FRENTE DA LUTA CONTRA O CORONAVÍRUS SERÃO OS PRIMEIROS GRUPOS POPULACIONAIS A RECEBEREM A VACINA. EM SEGUIDA, AS DOSES SERÃO GENERALIZADAS PARA TODA A POPULAÇÃO DA COLÔMBIA, EM VÁRIAS ETAPAS.</t>
        </is>
      </c>
      <c r="J796" t="inlineStr"/>
      <c r="K796" t="n">
        <v>0</v>
      </c>
      <c r="L796" t="n">
        <v>2</v>
      </c>
      <c r="M796" t="n">
        <v>1</v>
      </c>
      <c r="N796" t="n">
        <v>0</v>
      </c>
      <c r="O796" t="n">
        <v>1</v>
      </c>
      <c r="P796">
        <f>HYPERLINK("https://g1.globo.com/mundo/noticia/2020/12/23/colombia-excluira-venezuelanos-em-situacao-irregular-da-vacinacao-contra-covid-19.ghtml", "URL")</f>
        <v/>
      </c>
      <c r="Q796">
        <f>HYPERLINK("https://raw.githubusercontent.com/marcosmapl/dataset_imigrantes/main/materias_filtered/g1/venezuelanos/2020/11_dez/html/g1_5f1d8bc2-230a-11ed-b24f-6dbe51e79fca_2501.html", "HTML")</f>
        <v/>
      </c>
      <c r="R796">
        <f>HYPERLINK("https://raw.githubusercontent.com/marcosmapl/dataset_imigrantes/main/materias_filtered/g1/venezuelanos/2020/11_dez/txt/g1_5f1d8bc2-230a-11ed-b24f-6dbe51e79fca_2501.txt", "TXT")</f>
        <v/>
      </c>
    </row>
    <row r="797">
      <c r="A797" s="1" t="n">
        <v>795</v>
      </c>
      <c r="B797" t="n">
        <v>2020</v>
      </c>
      <c r="C797" s="2" t="n">
        <v>44188.48194444444</v>
      </c>
      <c r="D797" t="inlineStr">
        <is>
          <t>PORTAL AMAZONIA</t>
        </is>
      </c>
      <c r="E797" t="inlineStr">
        <is>
          <t>VENEZUELANOS</t>
        </is>
      </c>
      <c r="F797" t="inlineStr">
        <is>
          <t>AMAZÔNIA INTERNACIONAL,NOTÍCIAS,CIDADANIA,MULHER</t>
        </is>
      </c>
      <c r="G797" t="inlineStr">
        <is>
          <t>PORTAL AMAZÔNIA, COM INFORMAÇÕES DA AGÊNCIA ACNUR</t>
        </is>
      </c>
      <c r="H797" t="inlineStr">
        <is>
          <t>JOALHEIRA VENEZUELANA SUPERA DESAFIOS DA DEFICIÊNCIA E RECOMEÇA NO EXÍLIO</t>
        </is>
      </c>
      <c r="I797" t="inlineStr">
        <is>
          <t>A DISCRIMINAÇÃO E OS OBSTÁCULOS NO ACESSO À EDUCAÇÃO, SAÚDE E TRABALHO FAZEM COM QUE O RECOMEÇO DE PESSOAS REFUGIADAS COM DEFICIÊNCIA SEJA AINDA MAIS DIFÍCIL.</t>
        </is>
      </c>
      <c r="J797" t="inlineStr">
        <is>
          <t>AMAZÔNIA, AMAZÔNIA INTERNACIONAL, CIDADANIA, MULHER, NOTÍCIAS, VENEZUELANA</t>
        </is>
      </c>
      <c r="K797" t="n">
        <v>6</v>
      </c>
      <c r="L797" t="n">
        <v>3</v>
      </c>
      <c r="M797" t="n">
        <v>0</v>
      </c>
      <c r="N797" t="n">
        <v>0</v>
      </c>
      <c r="O797" t="n">
        <v>14</v>
      </c>
      <c r="P797">
        <f>HYPERLINK("https://portalamazonia.com/noticias/mulher/joalheira-venezuelana-supera-desafios-da-deficiencia-e-recomeca-no-exilio", "URL")</f>
        <v/>
      </c>
      <c r="Q797">
        <f>HYPERLINK("https://raw.githubusercontent.com/marcosmapl/dataset_imigrantes/main/materias_filtered/portal_amazonia/venezuelanos/2020/11_dez/html/29852.65415_1454.html", "HTML")</f>
        <v/>
      </c>
      <c r="R797">
        <f>HYPERLINK("https://raw.githubusercontent.com/marcosmapl/dataset_imigrantes/main/materias_filtered/portal_amazonia/venezuelanos/2020/11_dez/txt/29852.65415_1454.txt", "TXT")</f>
        <v/>
      </c>
    </row>
    <row r="798">
      <c r="A798" s="1" t="n">
        <v>796</v>
      </c>
      <c r="B798" t="n">
        <v>2020</v>
      </c>
      <c r="C798" s="2" t="n">
        <v>44188.43801971065</v>
      </c>
      <c r="D798" t="inlineStr">
        <is>
          <t>G1</t>
        </is>
      </c>
      <c r="E798" t="inlineStr">
        <is>
          <t>VENEZUELANOS</t>
        </is>
      </c>
      <c r="F798" t="inlineStr">
        <is>
          <t>RORAIMA</t>
        </is>
      </c>
      <c r="G798" t="inlineStr">
        <is>
          <t>G1 RR — BOA VISTA</t>
        </is>
      </c>
      <c r="H798" t="inlineStr">
        <is>
          <t>CÁRITAS DISTRIBUI KITS DE HIGIENE E LIMPEZA PARA VENEZUELANOS EM SITUAÇÃO DE RUA EM RORAIMA</t>
        </is>
      </c>
      <c r="I798" t="inlineStr">
        <is>
          <t>AÇÃO FAZ PARTE DAS MEDIDAS CONTRA A DISSEMINAÇÃO DO CORONAVÍRUS E DEVE ATENDER 850 FAMÍLIAS DE OCUPAÇÕES ESPONTÂNEAS E MIL MIGRANTES ABRIGADOS NA RODOVIÁRIA, EM BOA VISTA.</t>
        </is>
      </c>
      <c r="J798" t="inlineStr"/>
      <c r="K798" t="n">
        <v>0</v>
      </c>
      <c r="L798" t="n">
        <v>2</v>
      </c>
      <c r="M798" t="n">
        <v>0</v>
      </c>
      <c r="N798" t="n">
        <v>0</v>
      </c>
      <c r="O798" t="n">
        <v>1</v>
      </c>
      <c r="P798">
        <f>HYPERLINK("https://g1.globo.com/rr/roraima/noticia/2020/12/23/caritas-distribui-kits-de-higiene-e-limpeza-para-venezuelanos-em-situacao-de-rua-em-roraima.ghtml", "URL")</f>
        <v/>
      </c>
      <c r="Q798">
        <f>HYPERLINK("https://raw.githubusercontent.com/marcosmapl/dataset_imigrantes/main/materias_filtered/g1/venezuelanos/2020/11_dez/html/g1_862274d4-230b-11ed-b24f-6dbe51e79fca_2568.html", "HTML")</f>
        <v/>
      </c>
      <c r="R798">
        <f>HYPERLINK("https://raw.githubusercontent.com/marcosmapl/dataset_imigrantes/main/materias_filtered/g1/venezuelanos/2020/11_dez/txt/g1_862274d4-230b-11ed-b24f-6dbe51e79fca_2568.txt", "TXT")</f>
        <v/>
      </c>
    </row>
    <row r="799">
      <c r="A799" s="1" t="n">
        <v>797</v>
      </c>
      <c r="B799" t="n">
        <v>2020</v>
      </c>
      <c r="C799" s="2" t="n">
        <v>44187.38888888889</v>
      </c>
      <c r="D799" t="inlineStr">
        <is>
          <t>PORTAL AMAZONIA</t>
        </is>
      </c>
      <c r="E799" t="inlineStr">
        <is>
          <t>VENEZUELANOS</t>
        </is>
      </c>
      <c r="F799" t="inlineStr">
        <is>
          <t>NOTÍCIAS,CIDADES,EDUCAÇÃO</t>
        </is>
      </c>
      <c r="G799" t="inlineStr">
        <is>
          <t>PORTAL AMAZÔNIA, COM INFORMAÇÕES DA AGÊNCIA BELÉM</t>
        </is>
      </c>
      <c r="H799" t="inlineStr">
        <is>
          <t>INDÍGENAS VENEZUELANOS QUE VIVEM EM BELÉM SÃO APROVADOS EM PROCESSO SELETIVO DA UFPA</t>
        </is>
      </c>
      <c r="I799" t="inlineStr">
        <is>
          <t>O PROCESSO SELETIVO FOI ESPECÍFICO PARA REFUGIADOS DE ORIGEM COM VISTO HUMANITÁRIO OU IMIGRANTES, PESSOAS EM ASILO, APÁTRIDAS E VÍTIMAS DE TRÁFICO DE PESSOAS EM SITUAÇÃO DE VULNERABILIDADE SOCIOECONÔMICA.</t>
        </is>
      </c>
      <c r="J799" t="inlineStr">
        <is>
          <t>CIDADES, EDUCAÇÃO, INDIGENAS EM BELEM, INDIGENAS VENEZUELANOS, NOTÍCIAS, UFPA VESTIBULAR REFUGIADOS, VESTIBULAR ESPECIAL REFUGIADOS</t>
        </is>
      </c>
      <c r="K799" t="n">
        <v>7</v>
      </c>
      <c r="L799" t="n">
        <v>2</v>
      </c>
      <c r="M799" t="n">
        <v>0</v>
      </c>
      <c r="N799" t="n">
        <v>0</v>
      </c>
      <c r="O799" t="n">
        <v>14</v>
      </c>
      <c r="P799">
        <f>HYPERLINK("https://portalamazonia.com/noticias/educacao/indigenas-venezuelanos-que-vivem-em-belem-sao-aprovados-em-processo-seletivo-da-ufpa", "URL")</f>
        <v/>
      </c>
      <c r="Q799">
        <f>HYPERLINK("https://raw.githubusercontent.com/marcosmapl/dataset_imigrantes/main/materias_filtered/portal_amazonia/venezuelanos/2020/11_dez/html/29842.65329_1593.html", "HTML")</f>
        <v/>
      </c>
      <c r="R799">
        <f>HYPERLINK("https://raw.githubusercontent.com/marcosmapl/dataset_imigrantes/main/materias_filtered/portal_amazonia/venezuelanos/2020/11_dez/txt/29842.65329_1593.txt", "TXT")</f>
        <v/>
      </c>
    </row>
    <row r="800">
      <c r="A800" s="1" t="n">
        <v>798</v>
      </c>
      <c r="B800" t="n">
        <v>2020</v>
      </c>
      <c r="C800" s="2" t="n">
        <v>44186.40555555555</v>
      </c>
      <c r="D800" t="inlineStr">
        <is>
          <t>PORTAL AMAZONIA</t>
        </is>
      </c>
      <c r="E800" t="inlineStr">
        <is>
          <t>VENEZUELANOS</t>
        </is>
      </c>
      <c r="F800" t="inlineStr">
        <is>
          <t>PARÁ,NOTÍCIAS,CIDADES</t>
        </is>
      </c>
      <c r="G800" t="inlineStr">
        <is>
          <t>PORTAL AMAZÔNIA, COM INFORMAÇÕES DA AGÊNCIA BELÉM</t>
        </is>
      </c>
      <c r="H800" t="inlineStr">
        <is>
          <t>EM BELÉM, REFUGIADOS VENEZUELANOS SE CASAM EM CERIMÔNIA COMUNITÁRIA</t>
        </is>
      </c>
      <c r="I800" t="inlineStr">
        <is>
          <t>O ESPAÇO DE ACOLHIMENTO DA ETNIA WARAO SE TORNOU UM LOCAL DE DEMONSTRAÇÃO DE AMOR.</t>
        </is>
      </c>
      <c r="J800" t="inlineStr">
        <is>
          <t>CASAMENTO, CASAMENTO INDIGENAS, CASAMENTO WARAO, CIDADES, NOTÍCIAS, PARÁ</t>
        </is>
      </c>
      <c r="K800" t="n">
        <v>6</v>
      </c>
      <c r="L800" t="n">
        <v>4</v>
      </c>
      <c r="M800" t="n">
        <v>0</v>
      </c>
      <c r="N800" t="n">
        <v>0</v>
      </c>
      <c r="O800" t="n">
        <v>13</v>
      </c>
      <c r="P800">
        <f>HYPERLINK("https://portalamazonia.com/noticias/cidades/em-belem-refugiados-venezuelanos-se-casam-em-cerimonia-comunitaria", "URL")</f>
        <v/>
      </c>
      <c r="Q800">
        <f>HYPERLINK("https://raw.githubusercontent.com/marcosmapl/dataset_imigrantes/main/materias_filtered/portal_amazonia/venezuelanos/2020/11_dez/html/29819.65300_1435.html", "HTML")</f>
        <v/>
      </c>
      <c r="R800">
        <f>HYPERLINK("https://raw.githubusercontent.com/marcosmapl/dataset_imigrantes/main/materias_filtered/portal_amazonia/venezuelanos/2020/11_dez/txt/29819.65300_1435.txt", "TXT")</f>
        <v/>
      </c>
    </row>
    <row r="801">
      <c r="A801" s="1" t="n">
        <v>799</v>
      </c>
      <c r="B801" t="n">
        <v>2020</v>
      </c>
      <c r="C801" s="2" t="n">
        <v>44185.87039351852</v>
      </c>
      <c r="D801" t="inlineStr">
        <is>
          <t>G1</t>
        </is>
      </c>
      <c r="E801" t="inlineStr">
        <is>
          <t>VENEZUELANOS</t>
        </is>
      </c>
      <c r="F801" t="inlineStr">
        <is>
          <t>ECONOMIA</t>
        </is>
      </c>
      <c r="G801" t="inlineStr">
        <is>
          <t>BBC</t>
        </is>
      </c>
      <c r="H801" t="inlineStr">
        <is>
          <t>O INESPERADO RENASCIMENTO DA BOLSA DE CARACAS E COMO ELE REFLETE A ABERTURA DA ECONOMIA VENEZUELANA</t>
        </is>
      </c>
      <c r="I801" t="inlineStr">
        <is>
          <t>NA ÂNSIA DE ATRAIR INVESTIMENTOS E RENDA, O GOVERNO SOCIALISTA DE NICOLÁS MADURO FLEXIBILIZOU A ECONOMIA E ISSO SE EVIDENCIA NO 'BOOM' DA BOLSA DE VALORES DA CAPITAL VENEZUELANA.</t>
        </is>
      </c>
      <c r="J801" t="inlineStr"/>
      <c r="K801" t="n">
        <v>0</v>
      </c>
      <c r="L801" t="n">
        <v>3</v>
      </c>
      <c r="M801" t="n">
        <v>1</v>
      </c>
      <c r="N801" t="n">
        <v>0</v>
      </c>
      <c r="O801" t="n">
        <v>4</v>
      </c>
      <c r="P801">
        <f>HYPERLINK("https://g1.globo.com/economia/noticia/2020/12/20/o-inesperado-renascimento-da-bolsa-de-caracas-e-como-ele-reflete-a-abertura-da-economia-venezuelana.ghtml", "URL")</f>
        <v/>
      </c>
      <c r="Q801">
        <f>HYPERLINK("https://raw.githubusercontent.com/marcosmapl/dataset_imigrantes/main/materias_filtered/g1/venezuelanos/2020/11_dez/html/g1_39236fc0-2311-11ed-b24f-6dbe51e79fca_2906.html", "HTML")</f>
        <v/>
      </c>
      <c r="R801">
        <f>HYPERLINK("https://raw.githubusercontent.com/marcosmapl/dataset_imigrantes/main/materias_filtered/g1/venezuelanos/2020/11_dez/txt/g1_39236fc0-2311-11ed-b24f-6dbe51e79fca_2906.txt", "TXT")</f>
        <v/>
      </c>
    </row>
    <row r="802">
      <c r="A802" s="1" t="n">
        <v>800</v>
      </c>
      <c r="B802" t="n">
        <v>2020</v>
      </c>
      <c r="C802" s="2" t="n">
        <v>44185.67654256945</v>
      </c>
      <c r="D802" t="inlineStr">
        <is>
          <t>G1</t>
        </is>
      </c>
      <c r="E802" t="inlineStr">
        <is>
          <t>VENEZUELANOS</t>
        </is>
      </c>
      <c r="F802" t="inlineStr">
        <is>
          <t>RORAIMA</t>
        </is>
      </c>
      <c r="G802" t="inlineStr">
        <is>
          <t>G1 RR — BOA VISTA</t>
        </is>
      </c>
      <c r="H802" t="inlineStr">
        <is>
          <t>MAJOR DA OPERAÇÃO ACOLHIDA É PRESO POR ATROPELAR VENEZUELANOS EM BOA VISTA</t>
        </is>
      </c>
      <c r="I802" t="inlineStr">
        <is>
          <t>POLÍCIA MILITAR CONSTATOU SINAIS DE EMBRIAGUEZ NO MILITAR, MAS ELE SE NEGOU A FAZER O TESTE DO BAFÔMETRO. APÓS ATROPELAR OS JOVENS IMIGRANTES, O MAJOR ACIONOU O SAMU PARA PRESTAR SOCORRO.</t>
        </is>
      </c>
      <c r="J802" t="inlineStr"/>
      <c r="K802" t="n">
        <v>0</v>
      </c>
      <c r="L802" t="n">
        <v>1</v>
      </c>
      <c r="M802" t="n">
        <v>0</v>
      </c>
      <c r="N802" t="n">
        <v>0</v>
      </c>
      <c r="O802" t="n">
        <v>0</v>
      </c>
      <c r="P802">
        <f>HYPERLINK("https://g1.globo.com/rr/roraima/noticia/2020/12/20/major-do-exercito-e-preso-por-atropelar-venezuelanos-e-se-negar-a-fazer-teste-do-bafometro-em-rr.ghtml", "URL")</f>
        <v/>
      </c>
      <c r="Q802">
        <f>HYPERLINK("https://raw.githubusercontent.com/marcosmapl/dataset_imigrantes/main/materias_filtered/g1/venezuelanos/2020/11_dez/html/g1_706a1c8a-2326-11ed-b24f-6dbe51e79fca_3976.html", "HTML")</f>
        <v/>
      </c>
      <c r="R802">
        <f>HYPERLINK("https://raw.githubusercontent.com/marcosmapl/dataset_imigrantes/main/materias_filtered/g1/venezuelanos/2020/11_dez/txt/g1_706a1c8a-2326-11ed-b24f-6dbe51e79fca_3976.txt", "TXT")</f>
        <v/>
      </c>
    </row>
    <row r="803">
      <c r="A803" s="1" t="n">
        <v>801</v>
      </c>
      <c r="B803" t="n">
        <v>2020</v>
      </c>
      <c r="C803" s="2" t="n">
        <v>44185.50524305556</v>
      </c>
      <c r="D803" t="inlineStr">
        <is>
          <t>A CRITICA</t>
        </is>
      </c>
      <c r="E803" t="inlineStr">
        <is>
          <t>VENEZUELANOS</t>
        </is>
      </c>
      <c r="F803" t="inlineStr"/>
      <c r="G803" t="inlineStr">
        <is>
          <t>PORTAL A CRÍTICA</t>
        </is>
      </c>
      <c r="H803" t="inlineStr">
        <is>
          <t>MANAUS RECEBE EXPOSIÇÃO FOTOGRÁFICA ‘PANAS’, COM PROJEÇÃO NO VIADUTO DE FLORES</t>
        </is>
      </c>
      <c r="I803" t="inlineStr">
        <is>
          <t>APOIADA PELA SEJUSC, MOSTRA FOI REALIZADA NA ÚLTIMA SEXTA-FEIRA (18) E REUNIU 46 FOTOGRAFIAS DE PROFISSIONAIS DE TODO O BRASIL</t>
        </is>
      </c>
      <c r="J803" t="inlineStr"/>
      <c r="K803" t="n">
        <v>0</v>
      </c>
      <c r="L803" t="n">
        <v>1</v>
      </c>
      <c r="M803" t="n">
        <v>0</v>
      </c>
      <c r="N803" t="n">
        <v>0</v>
      </c>
      <c r="O803" t="n">
        <v>1</v>
      </c>
      <c r="P803">
        <f>HYPERLINK("https://www.acritica.com/manaus-recebe-exposic-o-fotografica-panas-com-projec-o-no-viaduto-de-flores-1.26317", "URL")</f>
        <v/>
      </c>
      <c r="Q803">
        <f>HYPERLINK("https://raw.githubusercontent.com/marcosmapl/dataset_imigrantes/main/materias_filtered/a_critica/venezuelanos/2020/11_dez/html/1.26317_459.html", "HTML")</f>
        <v/>
      </c>
      <c r="R803">
        <f>HYPERLINK("https://raw.githubusercontent.com/marcosmapl/dataset_imigrantes/main/materias_filtered/a_critica/venezuelanos/2020/11_dez/txt/1.26317_459.txt", "TXT")</f>
        <v/>
      </c>
    </row>
    <row r="804">
      <c r="A804" s="1" t="n">
        <v>802</v>
      </c>
      <c r="B804" t="n">
        <v>2020</v>
      </c>
      <c r="C804" s="2" t="n">
        <v>44184.00165583333</v>
      </c>
      <c r="D804" t="inlineStr">
        <is>
          <t>G1</t>
        </is>
      </c>
      <c r="E804" t="inlineStr">
        <is>
          <t>VENEZUELANOS</t>
        </is>
      </c>
      <c r="F804" t="inlineStr">
        <is>
          <t>RORAIMA</t>
        </is>
      </c>
      <c r="G804" t="inlineStr">
        <is>
          <t>G1 RR — BOA VISTA</t>
        </is>
      </c>
      <c r="H804" t="inlineStr">
        <is>
          <t>VENEZUELANO PROCURADO PELA INTERPOL  É TRANSFERIDO DE RR PARA PRESIDIO FEDERAL</t>
        </is>
      </c>
      <c r="I804" t="inlineStr">
        <is>
          <t>ROBERTO ANTONIO ESPEJO CAMACHO, TINHA  'DIFUSÕES VERMELHAS' DE CAPTURA DA INTERPOL EMITIDAS PELO GOVERNO DA REPÚBLICA DOMINICANA E O GOVERNO DA VENEZUELA. ELE RESPONDE PELOS CRIMES DE TRÁFICO DE DROGAS, LAVAGEM DE DINHEIRO E EXTRAÇÃO DE OURO E CONTRABANDO.</t>
        </is>
      </c>
      <c r="J804" t="inlineStr"/>
      <c r="K804" t="n">
        <v>0</v>
      </c>
      <c r="L804" t="n">
        <v>1</v>
      </c>
      <c r="M804" t="n">
        <v>0</v>
      </c>
      <c r="N804" t="n">
        <v>0</v>
      </c>
      <c r="O804" t="n">
        <v>2</v>
      </c>
      <c r="P804">
        <f>HYPERLINK("https://g1.globo.com/rr/roraima/noticia/2020/12/18/venezuelano-procurado-pela-interpol-em-dois-paises-por-trafico-e-transferido-para-presidio-federal.ghtml", "URL")</f>
        <v/>
      </c>
      <c r="Q804">
        <f>HYPERLINK("https://raw.githubusercontent.com/marcosmapl/dataset_imigrantes/main/materias_filtered/g1/venezuelanos/2020/11_dez/html/g1_68d28cf6-2307-11ed-b24f-6dbe51e79fca_2316.html", "HTML")</f>
        <v/>
      </c>
      <c r="R804">
        <f>HYPERLINK("https://raw.githubusercontent.com/marcosmapl/dataset_imigrantes/main/materias_filtered/g1/venezuelanos/2020/11_dez/txt/g1_68d28cf6-2307-11ed-b24f-6dbe51e79fca_2316.txt", "TXT")</f>
        <v/>
      </c>
    </row>
    <row r="805">
      <c r="A805" s="1" t="n">
        <v>803</v>
      </c>
      <c r="B805" t="n">
        <v>2020</v>
      </c>
      <c r="C805" s="2" t="n">
        <v>44183.56206913194</v>
      </c>
      <c r="D805" t="inlineStr">
        <is>
          <t>G1</t>
        </is>
      </c>
      <c r="E805" t="inlineStr">
        <is>
          <t>HAITIANOS</t>
        </is>
      </c>
      <c r="F805" t="inlineStr"/>
      <c r="G805" t="inlineStr">
        <is>
          <t>G1 RO — PORTO VELHO</t>
        </is>
      </c>
      <c r="H805" t="inlineStr">
        <is>
          <t>HAITIANO É MORTO POR CINCO HOMENS EM PORTO VELHO</t>
        </is>
      </c>
      <c r="I805" t="inlineStr">
        <is>
          <t>ASSASSINATO ACONTECEU NA MADRUGADA DESTA SEXTA-FEIRA (18). DELEGACIA DE HOMICÍDIOS INVESTIGA O CASO.</t>
        </is>
      </c>
      <c r="J805" t="inlineStr"/>
      <c r="K805" t="n">
        <v>0</v>
      </c>
      <c r="L805" t="n">
        <v>4</v>
      </c>
      <c r="M805" t="n">
        <v>0</v>
      </c>
      <c r="N805" t="n">
        <v>0</v>
      </c>
      <c r="O805" t="n">
        <v>1</v>
      </c>
      <c r="P805">
        <f>HYPERLINK("https://g1.globo.com/ro/noticia/2020/12/18/haitiano-e-morto-por-cinco-homens-em-porto-velho.ghtml", "URL")</f>
        <v/>
      </c>
      <c r="Q805">
        <f>HYPERLINK("https://raw.githubusercontent.com/marcosmapl/dataset_imigrantes/main/materias_filtered/g1/haitianos/2020/11_dez/html/g1_c13904d0-22f6-11ed-b24f-6dbe51e79fca_2035.html", "HTML")</f>
        <v/>
      </c>
      <c r="R805">
        <f>HYPERLINK("https://raw.githubusercontent.com/marcosmapl/dataset_imigrantes/main/materias_filtered/g1/haitianos/2020/11_dez/txt/g1_c13904d0-22f6-11ed-b24f-6dbe51e79fca_2035.txt", "TXT")</f>
        <v/>
      </c>
    </row>
    <row r="806">
      <c r="A806" s="1" t="n">
        <v>804</v>
      </c>
      <c r="B806" t="n">
        <v>2020</v>
      </c>
      <c r="C806" s="2" t="n">
        <v>44183.41717483796</v>
      </c>
      <c r="D806" t="inlineStr">
        <is>
          <t>G1</t>
        </is>
      </c>
      <c r="E806" t="inlineStr">
        <is>
          <t>VENEZUELANOS</t>
        </is>
      </c>
      <c r="F806" t="inlineStr">
        <is>
          <t>RORAIMA</t>
        </is>
      </c>
      <c r="G806" t="inlineStr">
        <is>
          <t>G1 RR — BOA VISTA</t>
        </is>
      </c>
      <c r="H806" t="inlineStr">
        <is>
          <t>CRIANÇAS VENEZUELANAS QUE VIVEM EM ABRIGOS GANHAM PASSEIO DE NATAL POR BOA VISTA NA 'CARRETA DA ALEGRIA'</t>
        </is>
      </c>
      <c r="I806" t="inlineStr">
        <is>
          <t>PASSEIOS ACONTECEM ATÉ O DIA 23, ANTEVÉSPERA DE NATAL. PARTICIPAM, EM MÉDIA, 60 CRIANÇAS VENEZUELANAS QUE MORAM EM ABRIGOS DA OPERAÇÃO ACOLHIDA.</t>
        </is>
      </c>
      <c r="J806" t="inlineStr"/>
      <c r="K806" t="n">
        <v>0</v>
      </c>
      <c r="L806" t="n">
        <v>2</v>
      </c>
      <c r="M806" t="n">
        <v>1</v>
      </c>
      <c r="N806" t="n">
        <v>0</v>
      </c>
      <c r="O806" t="n">
        <v>0</v>
      </c>
      <c r="P806">
        <f>HYPERLINK("https://g1.globo.com/rr/roraima/noticia/2020/12/18/criancas-venezuelanas-que-vivem-em-abrigos-ganham-passeio-de-natal-por-boa-vista-na-carreta-da-alegria.ghtml", "URL")</f>
        <v/>
      </c>
      <c r="Q806">
        <f>HYPERLINK("https://raw.githubusercontent.com/marcosmapl/dataset_imigrantes/main/materias_filtered/g1/venezuelanos/2020/11_dez/html/g1_d2d25f4a-2312-11ed-b24f-6dbe51e79fca_2980.html", "HTML")</f>
        <v/>
      </c>
      <c r="R806">
        <f>HYPERLINK("https://raw.githubusercontent.com/marcosmapl/dataset_imigrantes/main/materias_filtered/g1/venezuelanos/2020/11_dez/txt/g1_d2d25f4a-2312-11ed-b24f-6dbe51e79fca_2980.txt", "TXT")</f>
        <v/>
      </c>
    </row>
    <row r="807">
      <c r="A807" s="1" t="n">
        <v>805</v>
      </c>
      <c r="B807" t="n">
        <v>2020</v>
      </c>
      <c r="C807" s="2" t="n">
        <v>44182.5813746412</v>
      </c>
      <c r="D807" t="inlineStr">
        <is>
          <t>G1</t>
        </is>
      </c>
      <c r="E807" t="inlineStr">
        <is>
          <t>AMBOS</t>
        </is>
      </c>
      <c r="F807" t="inlineStr">
        <is>
          <t>MUNDO</t>
        </is>
      </c>
      <c r="G807" t="inlineStr">
        <is>
          <t>LUCAS VIDIGAL, G1</t>
        </is>
      </c>
      <c r="H807" t="inlineStr">
        <is>
          <t>NÚMERO DE IMIGRANTES COM CARTEIRA ASSINADA NO BRASIL QUASE TRIPLICA EM 10 ANOS</t>
        </is>
      </c>
      <c r="I807" t="inlineStr">
        <is>
          <t>SEGUNDO O GOVERNO, O FLUXO MIGRATÓRIO DE HAITIANOS E VENEZUELANOS DESDE 2016 PUXOU ALTA NO NÚMERO DE ESTRANGEIROS FORMALMENTE EMPREGADOS. VIOLÊNCIA POLÍTICA NA VENEZUELA TAMBÉM FEZ 2019 REGISTRAR RECORDE NO TOTAL DE PEDIDOS DE REFÚGIO NO BRASIL.</t>
        </is>
      </c>
      <c r="J807" t="inlineStr"/>
      <c r="K807" t="n">
        <v>0</v>
      </c>
      <c r="L807" t="n">
        <v>2</v>
      </c>
      <c r="M807" t="n">
        <v>0</v>
      </c>
      <c r="N807" t="n">
        <v>0</v>
      </c>
      <c r="O807" t="n">
        <v>12</v>
      </c>
      <c r="P807">
        <f>HYPERLINK("https://g1.globo.com/mundo/noticia/2020/12/17/numero-de-imigrantes-com-carteira-assinada-no-brasil-quase-triplica-em-10-anos.ghtml", "URL")</f>
        <v/>
      </c>
      <c r="Q807">
        <f>HYPERLINK("https://raw.githubusercontent.com/marcosmapl/dataset_imigrantes/main/materias_filtered/g1/ambos/2020/11_dez/html/g1_2edacb2e-22fa-11ed-b24f-6dbe51e79fca_2204.html", "HTML")</f>
        <v/>
      </c>
      <c r="R807">
        <f>HYPERLINK("https://raw.githubusercontent.com/marcosmapl/dataset_imigrantes/main/materias_filtered/g1/ambos/2020/11_dez/txt/g1_2edacb2e-22fa-11ed-b24f-6dbe51e79fca_2204.txt", "TXT")</f>
        <v/>
      </c>
    </row>
    <row r="808">
      <c r="A808" s="1" t="n">
        <v>806</v>
      </c>
      <c r="B808" t="n">
        <v>2020</v>
      </c>
      <c r="C808" s="2" t="n">
        <v>44180.40625</v>
      </c>
      <c r="D808" t="inlineStr">
        <is>
          <t>PORTAL AMAZONIA</t>
        </is>
      </c>
      <c r="E808" t="inlineStr">
        <is>
          <t>VENEZUELANOS</t>
        </is>
      </c>
      <c r="F808" t="inlineStr">
        <is>
          <t>ARTE,NOTÍCIAS,CIDADES</t>
        </is>
      </c>
      <c r="G808" t="inlineStr">
        <is>
          <t>PORTAL AMAZÔNIA, COM INFORMAÇÕES DA ACNUR</t>
        </is>
      </c>
      <c r="H808" t="inlineStr">
        <is>
          <t>PROJETO QUE IMPULSIONA ARTESANATO WARAO RECEBE NOVOS RECURSOS PARA EXPANDIR SEU IMPACTO</t>
        </is>
      </c>
      <c r="I808" t="inlineStr">
        <is>
          <t>DESDE 2019, O ACNUR E PARCEIROS FORTALECEM INICIATIVA PARA FAZER DO ARTESANATO FONTE DE RENDA DE INDÍGENAS VENEZUELANOS NO BRASIL; NOVAS ETAPAS CONTEMPLAM CRIAÇÃO DE ASSOCIAÇÃO E COMERCIALIZAÇÃO</t>
        </is>
      </c>
      <c r="J808" t="inlineStr">
        <is>
          <t>ARTE, CIDADES, CULTURA, INDIGENAS WARAO, NOTÍCIAS, OPERAÇÃO ACOLHIDA</t>
        </is>
      </c>
      <c r="K808" t="n">
        <v>6</v>
      </c>
      <c r="L808" t="n">
        <v>4</v>
      </c>
      <c r="M808" t="n">
        <v>0</v>
      </c>
      <c r="N808" t="n">
        <v>0</v>
      </c>
      <c r="O808" t="n">
        <v>16</v>
      </c>
      <c r="P808">
        <f>HYPERLINK("https://portalamazonia.com/cultura/arte/projeto-que-impulsiona-artesanato-warao-recebe-novos-recursos-para-expandir-seu-impacto", "URL")</f>
        <v/>
      </c>
      <c r="Q808">
        <f>HYPERLINK("https://raw.githubusercontent.com/marcosmapl/dataset_imigrantes/main/materias_filtered/portal_amazonia/venezuelanos/2020/11_dez/html/29718.65131_1431.html", "HTML")</f>
        <v/>
      </c>
      <c r="R808">
        <f>HYPERLINK("https://raw.githubusercontent.com/marcosmapl/dataset_imigrantes/main/materias_filtered/portal_amazonia/venezuelanos/2020/11_dez/txt/29718.65131_1431.txt", "TXT")</f>
        <v/>
      </c>
    </row>
    <row r="809">
      <c r="A809" s="1" t="n">
        <v>807</v>
      </c>
      <c r="B809" t="n">
        <v>2020</v>
      </c>
      <c r="C809" s="2" t="n">
        <v>44178.85062726852</v>
      </c>
      <c r="D809" t="inlineStr">
        <is>
          <t>G1</t>
        </is>
      </c>
      <c r="E809" t="inlineStr">
        <is>
          <t>VENEZUELANOS</t>
        </is>
      </c>
      <c r="F809" t="inlineStr">
        <is>
          <t>MUNDO</t>
        </is>
      </c>
      <c r="G809" t="inlineStr">
        <is>
          <t>FRANCE PRESSE</t>
        </is>
      </c>
      <c r="H809" t="inlineStr">
        <is>
          <t>NAUFRÁGIO DEIXA CERCA DE 14 IMIGRANTES VENEZUELANOS MORTOS NO CARIBE</t>
        </is>
      </c>
      <c r="I809" t="inlineStr">
        <is>
          <t>BARCO TERIA PARTIDO DO ESTADO DE SUCRE, NA VENEZUELA, COM DESTINO A TRINIDAD E TOBAGO. SEGUNDO UM PARLAMENTAR DO ESTADO VENEZUELANO, A EMBARCAÇÃO FOI "SUPOSTAMENTE DETIDA EM TRINIDAD E TOBAGO, E DEVOLVIDA À VENEZUELA".</t>
        </is>
      </c>
      <c r="J809" t="inlineStr"/>
      <c r="K809" t="n">
        <v>0</v>
      </c>
      <c r="L809" t="n">
        <v>0</v>
      </c>
      <c r="M809" t="n">
        <v>0</v>
      </c>
      <c r="N809" t="n">
        <v>0</v>
      </c>
      <c r="O809" t="n">
        <v>1</v>
      </c>
      <c r="P809">
        <f>HYPERLINK("https://g1.globo.com/mundo/noticia/2020/12/13/naufragio-deixa-cerca-de-11-imigrantes-venezuelanos-mortos-no-caribe.ghtml", "URL")</f>
        <v/>
      </c>
      <c r="Q809">
        <f>HYPERLINK("https://raw.githubusercontent.com/marcosmapl/dataset_imigrantes/main/materias_filtered/g1/venezuelanos/2020/11_dez/html/g1_c0366a14-230f-11ed-b24f-6dbe51e79fca_2816.html", "HTML")</f>
        <v/>
      </c>
      <c r="R809">
        <f>HYPERLINK("https://raw.githubusercontent.com/marcosmapl/dataset_imigrantes/main/materias_filtered/g1/venezuelanos/2020/11_dez/txt/g1_c0366a14-230f-11ed-b24f-6dbe51e79fca_2816.txt", "TXT")</f>
        <v/>
      </c>
    </row>
    <row r="810">
      <c r="A810" s="1" t="n">
        <v>808</v>
      </c>
      <c r="B810" t="n">
        <v>2020</v>
      </c>
      <c r="C810" s="2" t="n">
        <v>44178.83325469907</v>
      </c>
      <c r="D810" t="inlineStr">
        <is>
          <t>G1</t>
        </is>
      </c>
      <c r="E810" t="inlineStr">
        <is>
          <t>VENEZUELANOS</t>
        </is>
      </c>
      <c r="F810" t="inlineStr">
        <is>
          <t>MARANHÃO</t>
        </is>
      </c>
      <c r="G810" t="inlineStr">
        <is>
          <t>G1 MA — SÃO LUÍS</t>
        </is>
      </c>
      <c r="H810" t="inlineStr">
        <is>
          <t>VENEZUELANO É PRESO APÓS CAIR DE FORRO DE JOALHERIA DURANTE ASSALTO EM SÃO LUÍS</t>
        </is>
      </c>
      <c r="I810" t="inlineStr">
        <is>
          <t>VIGILANTES OUVIRAM O BARULHO E ACIONARAM A POLÍCIA. HOMEM FOI AUTUADO POR ROUBO QUALIFICADO.</t>
        </is>
      </c>
      <c r="J810" t="inlineStr"/>
      <c r="K810" t="n">
        <v>0</v>
      </c>
      <c r="L810" t="n">
        <v>3</v>
      </c>
      <c r="M810" t="n">
        <v>0</v>
      </c>
      <c r="N810" t="n">
        <v>0</v>
      </c>
      <c r="O810" t="n">
        <v>1</v>
      </c>
      <c r="P810">
        <f>HYPERLINK("https://g1.globo.com/ma/maranhao/noticia/2020/12/13/venezuelano-e-preso-ao-cair-de-forro-de-joalheria-durante-assalto-em-sao-luis.ghtml", "URL")</f>
        <v/>
      </c>
      <c r="Q810">
        <f>HYPERLINK("https://raw.githubusercontent.com/marcosmapl/dataset_imigrantes/main/materias_filtered/g1/venezuelanos/2020/11_dez/html/g1_3ab8f956-2323-11ed-b24f-6dbe51e79fca_3793.html", "HTML")</f>
        <v/>
      </c>
      <c r="R810">
        <f>HYPERLINK("https://raw.githubusercontent.com/marcosmapl/dataset_imigrantes/main/materias_filtered/g1/venezuelanos/2020/11_dez/txt/g1_3ab8f956-2323-11ed-b24f-6dbe51e79fca_3793.txt", "TXT")</f>
        <v/>
      </c>
    </row>
    <row r="811">
      <c r="A811" s="1" t="n">
        <v>809</v>
      </c>
      <c r="B811" t="n">
        <v>2020</v>
      </c>
      <c r="C811" s="2" t="n">
        <v>44178.22593924768</v>
      </c>
      <c r="D811" t="inlineStr">
        <is>
          <t>G1</t>
        </is>
      </c>
      <c r="E811" t="inlineStr">
        <is>
          <t>VENEZUELANOS</t>
        </is>
      </c>
      <c r="F811" t="inlineStr">
        <is>
          <t>MUNDO</t>
        </is>
      </c>
      <c r="G811" t="inlineStr">
        <is>
          <t>G1</t>
        </is>
      </c>
      <c r="H811" t="inlineStr">
        <is>
          <t>OPOSIÇÃO DIZ QUE MAIS DE 6 MILHÕES DE VENEZUELANOS PARTICIPARAM DE CONSULTA POPULAR EM REJEIÇÃO ÀS ELEIÇÕES PARLAMENTARES</t>
        </is>
      </c>
      <c r="I811" t="inlineStr">
        <is>
          <t>MOBILIZAÇÃO ORGANIZADA POR GUAIDÓ FAZ PARTE DA ESTRATÉGIA DE DESLEGITIMAR PLEITO DO ÚLTIMO DOMINGO, QUANDO O PARTIDO DE MADURO RETOMOU O CONTROLE DO CONGRESSO.</t>
        </is>
      </c>
      <c r="J811" t="inlineStr"/>
      <c r="K811" t="n">
        <v>0</v>
      </c>
      <c r="L811" t="n">
        <v>3</v>
      </c>
      <c r="M811" t="n">
        <v>1</v>
      </c>
      <c r="N811" t="n">
        <v>0</v>
      </c>
      <c r="O811" t="n">
        <v>8</v>
      </c>
      <c r="P811">
        <f>HYPERLINK("https://g1.globo.com/mundo/noticia/2020/12/13/oposicao-diz-que-mais-de-6-milhoes-de-venezuelanos-participaram-de-consulta-popular-em-rejeicao-as-eleicoes-parlamentares.ghtml", "URL")</f>
        <v/>
      </c>
      <c r="Q811">
        <f>HYPERLINK("https://raw.githubusercontent.com/marcosmapl/dataset_imigrantes/main/materias_filtered/g1/venezuelanos/2020/11_dez/html/g1_c459c35c-230a-11ed-b24f-6dbe51e79fca_2526.html", "HTML")</f>
        <v/>
      </c>
      <c r="R811">
        <f>HYPERLINK("https://raw.githubusercontent.com/marcosmapl/dataset_imigrantes/main/materias_filtered/g1/venezuelanos/2020/11_dez/txt/g1_c459c35c-230a-11ed-b24f-6dbe51e79fca_2526.txt", "TXT")</f>
        <v/>
      </c>
    </row>
    <row r="812">
      <c r="A812" s="1" t="n">
        <v>810</v>
      </c>
      <c r="B812" t="n">
        <v>2020</v>
      </c>
      <c r="C812" s="2" t="n">
        <v>44176.91177805555</v>
      </c>
      <c r="D812" t="inlineStr">
        <is>
          <t>G1</t>
        </is>
      </c>
      <c r="E812" t="inlineStr">
        <is>
          <t>VENEZUELANOS</t>
        </is>
      </c>
      <c r="F812" t="inlineStr">
        <is>
          <t>AMAZONAS</t>
        </is>
      </c>
      <c r="G812" t="inlineStr">
        <is>
          <t>G1 AM</t>
        </is>
      </c>
      <c r="H812" t="inlineStr">
        <is>
          <t>ONG OFERECE CURSOS DE CAPACITAÇÃO PARA VENEZUELANOS EM MANAUS</t>
        </is>
      </c>
      <c r="I812" t="inlineStr">
        <is>
          <t>IMIGRANTES E REFUGIADOS TERÃO AULAS DE PORTUGUÊS, EMPREENDEDORISMO E CURSOS PROFISSIONALIZANTES.</t>
        </is>
      </c>
      <c r="J812" t="inlineStr"/>
      <c r="K812" t="n">
        <v>0</v>
      </c>
      <c r="L812" t="n">
        <v>3</v>
      </c>
      <c r="M812" t="n">
        <v>0</v>
      </c>
      <c r="N812" t="n">
        <v>0</v>
      </c>
      <c r="O812" t="n">
        <v>2</v>
      </c>
      <c r="P812">
        <f>HYPERLINK("https://g1.globo.com/am/amazonas/noticia/2020/12/11/ong-oferece-cursos-de-capacitacao-para-venezuelanos-em-manaus.ghtml", "URL")</f>
        <v/>
      </c>
      <c r="Q812">
        <f>HYPERLINK("https://raw.githubusercontent.com/marcosmapl/dataset_imigrantes/main/materias_filtered/g1/venezuelanos/2020/11_dez/html/g1_f4ff9c4c-2324-11ed-b24f-6dbe51e79fca_3891.html", "HTML")</f>
        <v/>
      </c>
      <c r="R812">
        <f>HYPERLINK("https://raw.githubusercontent.com/marcosmapl/dataset_imigrantes/main/materias_filtered/g1/venezuelanos/2020/11_dez/txt/g1_f4ff9c4c-2324-11ed-b24f-6dbe51e79fca_3891.txt", "TXT")</f>
        <v/>
      </c>
    </row>
    <row r="813">
      <c r="A813" s="1" t="n">
        <v>811</v>
      </c>
      <c r="B813" t="n">
        <v>2020</v>
      </c>
      <c r="C813" s="2" t="n">
        <v>44176.60681591435</v>
      </c>
      <c r="D813" t="inlineStr">
        <is>
          <t>G1</t>
        </is>
      </c>
      <c r="E813" t="inlineStr">
        <is>
          <t>VENEZUELANOS</t>
        </is>
      </c>
      <c r="F813" t="inlineStr">
        <is>
          <t>ACRE</t>
        </is>
      </c>
      <c r="G813" t="inlineStr">
        <is>
          <t>ALINE NASCIMENTO, G1 AC — RIO BRANCO</t>
        </is>
      </c>
      <c r="H813" t="inlineStr">
        <is>
          <t>COM 71 INDÍGENAS VENEZUELANOS INSTALADOS EM ESCOLA, AC VAI CONSTRUIR ABRIGO FIXO PARA ACOMODAR WARAOS</t>
        </is>
      </c>
      <c r="I813" t="inlineStr">
        <is>
          <t>ANTIGO CEJA, NO BAIRRO ESPERANÇA, EM RIO BRANCO, VAI SER TRANSFORMADO EM UM ABRIGO PARA INDÍGENAS VENEZUELANOS DA ETNIA WARAO. IMIGRANTES ESTÃO INSTALADOS NA ESCOLA CAMPOS PEREIRA, NA CIDADE DO POVO, DESDE O MÊS DE ABRIL.</t>
        </is>
      </c>
      <c r="J813" t="inlineStr"/>
      <c r="K813" t="n">
        <v>0</v>
      </c>
      <c r="L813" t="n">
        <v>1</v>
      </c>
      <c r="M813" t="n">
        <v>0</v>
      </c>
      <c r="N813" t="n">
        <v>0</v>
      </c>
      <c r="O813" t="n">
        <v>4</v>
      </c>
      <c r="P813">
        <f>HYPERLINK("https://g1.globo.com/ac/acre/noticia/2020/12/11/com-71-indigenas-venezuelanos-instalados-em-escola-ac-vai-construir-abrigo-fixo-para-acomodar-imigrantes.ghtml", "URL")</f>
        <v/>
      </c>
      <c r="Q813">
        <f>HYPERLINK("https://raw.githubusercontent.com/marcosmapl/dataset_imigrantes/main/materias_filtered/g1/venezuelanos/2020/11_dez/html/g1_a0364904-230b-11ed-b24f-6dbe51e79fca_2576.html", "HTML")</f>
        <v/>
      </c>
      <c r="R813">
        <f>HYPERLINK("https://raw.githubusercontent.com/marcosmapl/dataset_imigrantes/main/materias_filtered/g1/venezuelanos/2020/11_dez/txt/g1_a0364904-230b-11ed-b24f-6dbe51e79fca_2576.txt", "TXT")</f>
        <v/>
      </c>
    </row>
    <row r="814">
      <c r="A814" s="1" t="n">
        <v>812</v>
      </c>
      <c r="B814" t="n">
        <v>2020</v>
      </c>
      <c r="C814" s="2" t="n">
        <v>44176.57163826389</v>
      </c>
      <c r="D814" t="inlineStr">
        <is>
          <t>G1</t>
        </is>
      </c>
      <c r="E814" t="inlineStr">
        <is>
          <t>VENEZUELANOS</t>
        </is>
      </c>
      <c r="F814" t="inlineStr">
        <is>
          <t>RORAIMA</t>
        </is>
      </c>
      <c r="G814" t="inlineStr">
        <is>
          <t>G1 RR — BOA VISTA</t>
        </is>
      </c>
      <c r="H814" t="inlineStr">
        <is>
          <t>VENEZUELANO É ASSASSINADO COM DEZ TIROS NO MEIO DA RUA EM BOA VISTA</t>
        </is>
      </c>
      <c r="I814" t="inlineStr">
        <is>
          <t>POLICIAIS ENCONTRARAM 14 CÁPSULAS DE CALIBRE 9 MM LUGER NO CRUZAMENTO DE RUAS EM QUE DISPAROS FORAM DADOS. VÍTIMA FOI ATINGIDA POR VOLTA DAS 21H, ENCAMINHADA AO HOSPITAL, MAS MORREU CERCA DE 50 MINUTOS APÓS O ATAQUE.</t>
        </is>
      </c>
      <c r="J814" t="inlineStr"/>
      <c r="K814" t="n">
        <v>0</v>
      </c>
      <c r="L814" t="n">
        <v>1</v>
      </c>
      <c r="M814" t="n">
        <v>0</v>
      </c>
      <c r="N814" t="n">
        <v>0</v>
      </c>
      <c r="O814" t="n">
        <v>0</v>
      </c>
      <c r="P814">
        <f>HYPERLINK("https://g1.globo.com/rr/roraima/noticia/2020/12/11/venezuelano-e-assassinado-com-dez-tiros-no-meio-da-rua-em-boa-vista.ghtml", "URL")</f>
        <v/>
      </c>
      <c r="Q814">
        <f>HYPERLINK("https://raw.githubusercontent.com/marcosmapl/dataset_imigrantes/main/materias_filtered/g1/venezuelanos/2020/11_dez/html/g1_b3720f60-2326-11ed-b24f-6dbe51e79fca_3993.html", "HTML")</f>
        <v/>
      </c>
      <c r="R814">
        <f>HYPERLINK("https://raw.githubusercontent.com/marcosmapl/dataset_imigrantes/main/materias_filtered/g1/venezuelanos/2020/11_dez/txt/g1_b3720f60-2326-11ed-b24f-6dbe51e79fca_3993.txt", "TXT")</f>
        <v/>
      </c>
    </row>
    <row r="815">
      <c r="A815" s="1" t="n">
        <v>813</v>
      </c>
      <c r="B815" t="n">
        <v>2020</v>
      </c>
      <c r="C815" s="2" t="n">
        <v>44175.86306712963</v>
      </c>
      <c r="D815" t="inlineStr">
        <is>
          <t>A CRITICA</t>
        </is>
      </c>
      <c r="E815" t="inlineStr">
        <is>
          <t>VENEZUELANOS</t>
        </is>
      </c>
      <c r="F815" t="inlineStr">
        <is>
          <t>OPINIAO</t>
        </is>
      </c>
      <c r="G815" t="inlineStr">
        <is>
          <t>DULCE RODRIGUEZ</t>
        </is>
      </c>
      <c r="H815" t="inlineStr">
        <is>
          <t>A MAGIA DA HALLACA VENEZUELANA</t>
        </is>
      </c>
      <c r="I815" t="inlineStr">
        <is>
          <t>O RITUAL DO PREPARO É O MAIS MARCANTE E O QUE NOS DEIXA COM SAUDADES, PRINCIPALMENTE, AOS IMIGRANTES QUE ESTAMOS LONGE DA FAMÍLIA</t>
        </is>
      </c>
      <c r="J815" t="inlineStr">
        <is>
          <t>VIDA-DE-IMIGRANTE</t>
        </is>
      </c>
      <c r="K815" t="n">
        <v>1</v>
      </c>
      <c r="L815" t="n">
        <v>1</v>
      </c>
      <c r="M815" t="n">
        <v>0</v>
      </c>
      <c r="N815" t="n">
        <v>0</v>
      </c>
      <c r="O815" t="n">
        <v>1</v>
      </c>
      <c r="P815">
        <f>HYPERLINK("https://www.acritica.com/opiniao/a-magia-da-hallaca-venezuelana-1.216100", "URL")</f>
        <v/>
      </c>
      <c r="Q815">
        <f>HYPERLINK("https://raw.githubusercontent.com/marcosmapl/dataset_imigrantes/main/materias_filtered/a_critica/venezuelanos/2020/11_dez/html/1.216100_861.html", "HTML")</f>
        <v/>
      </c>
      <c r="R815">
        <f>HYPERLINK("https://raw.githubusercontent.com/marcosmapl/dataset_imigrantes/main/materias_filtered/a_critica/venezuelanos/2020/11_dez/txt/1.216100_861.txt", "TXT")</f>
        <v/>
      </c>
    </row>
    <row r="816">
      <c r="A816" s="1" t="n">
        <v>814</v>
      </c>
      <c r="B816" t="n">
        <v>2020</v>
      </c>
      <c r="C816" s="2" t="n">
        <v>44174.62408993056</v>
      </c>
      <c r="D816" t="inlineStr">
        <is>
          <t>G1</t>
        </is>
      </c>
      <c r="E816" t="inlineStr">
        <is>
          <t>VENEZUELANOS</t>
        </is>
      </c>
      <c r="F816" t="inlineStr">
        <is>
          <t>PARAÍBA</t>
        </is>
      </c>
      <c r="G816" t="inlineStr">
        <is>
          <t>G1 PB</t>
        </is>
      </c>
      <c r="H816" t="inlineStr">
        <is>
          <t>VENEZUELANOS SÃO ATROPELADOS POR CARRO EM PUXINANÃ, NA PARAÍBA</t>
        </is>
      </c>
      <c r="I816" t="inlineStr">
        <is>
          <t>HOMEM E MULHER TIVERAM FERIMENTOS GRAVES, DIZ HOSPITAL DE TRAUMA DE CAMPINA GRANDE.</t>
        </is>
      </c>
      <c r="J816" t="inlineStr"/>
      <c r="K816" t="n">
        <v>0</v>
      </c>
      <c r="L816" t="n">
        <v>4</v>
      </c>
      <c r="M816" t="n">
        <v>0</v>
      </c>
      <c r="N816" t="n">
        <v>0</v>
      </c>
      <c r="O816" t="n">
        <v>1</v>
      </c>
      <c r="P816">
        <f>HYPERLINK("https://g1.globo.com/pb/paraiba/noticia/2020/12/09/venezuelanos-sao-atropelados-por-carro-em-puxinana-na-paraiba.ghtml", "URL")</f>
        <v/>
      </c>
      <c r="Q816">
        <f>HYPERLINK("https://raw.githubusercontent.com/marcosmapl/dataset_imigrantes/main/materias_filtered/g1/venezuelanos/2020/11_dez/html/g1_db3bbb90-231c-11ed-b24f-6dbe51e79fca_3469.html", "HTML")</f>
        <v/>
      </c>
      <c r="R816">
        <f>HYPERLINK("https://raw.githubusercontent.com/marcosmapl/dataset_imigrantes/main/materias_filtered/g1/venezuelanos/2020/11_dez/txt/g1_db3bbb90-231c-11ed-b24f-6dbe51e79fca_3469.txt", "TXT")</f>
        <v/>
      </c>
    </row>
    <row r="817">
      <c r="A817" s="1" t="n">
        <v>815</v>
      </c>
      <c r="B817" t="n">
        <v>2020</v>
      </c>
      <c r="C817" s="2" t="n">
        <v>44174.5782619676</v>
      </c>
      <c r="D817" t="inlineStr">
        <is>
          <t>G1</t>
        </is>
      </c>
      <c r="E817" t="inlineStr">
        <is>
          <t>HAITIANOS</t>
        </is>
      </c>
      <c r="F817" t="inlineStr">
        <is>
          <t>MATO GROSSO</t>
        </is>
      </c>
      <c r="G817" t="inlineStr">
        <is>
          <t>G1 MT</t>
        </is>
      </c>
      <c r="H817" t="inlineStr">
        <is>
          <t>MENINO HAITIANO FOGE DE CASA E É ENCONTRADO EM PRAÇA COM MALA E PASSAPORTE EM MT</t>
        </is>
      </c>
      <c r="I817" t="inlineStr">
        <is>
          <t>O PAI DO MENINO FOI LOCALIZADO HORAS DEPOIS PELO CONSELHO TUTELAR. APESAR DA DIFICULDADE NO IDIOMA, OS CONSELHEIROS SUSPEITAM QUE O MENINO TENHA PULADO O MURO E FUGIU SEM QUE O PAI PERCEBESSE.</t>
        </is>
      </c>
      <c r="J817" t="inlineStr"/>
      <c r="K817" t="n">
        <v>0</v>
      </c>
      <c r="L817" t="n">
        <v>6</v>
      </c>
      <c r="M817" t="n">
        <v>0</v>
      </c>
      <c r="N817" t="n">
        <v>0</v>
      </c>
      <c r="O817" t="n">
        <v>1</v>
      </c>
      <c r="P817">
        <f>HYPERLINK("https://g1.globo.com/mt/mato-grosso/noticia/2020/12/09/menino-haitiano-foge-de-casa-e-e-encontrado-em-praca-com-mala-e-passaporte-em-mt.ghtml", "URL")</f>
        <v/>
      </c>
      <c r="Q817">
        <f>HYPERLINK("https://raw.githubusercontent.com/marcosmapl/dataset_imigrantes/main/materias_filtered/g1/haitianos/2020/11_dez/html/g1_95757c64-22f3-11ed-b24f-6dbe51e79fca_1847.html", "HTML")</f>
        <v/>
      </c>
      <c r="R817">
        <f>HYPERLINK("https://raw.githubusercontent.com/marcosmapl/dataset_imigrantes/main/materias_filtered/g1/haitianos/2020/11_dez/txt/g1_95757c64-22f3-11ed-b24f-6dbe51e79fca_1847.txt", "TXT")</f>
        <v/>
      </c>
    </row>
    <row r="818">
      <c r="A818" s="1" t="n">
        <v>816</v>
      </c>
      <c r="B818" t="n">
        <v>2020</v>
      </c>
      <c r="C818" s="2" t="n">
        <v>44172.77325231482</v>
      </c>
      <c r="D818" t="inlineStr">
        <is>
          <t>A CRITICA</t>
        </is>
      </c>
      <c r="E818" t="inlineStr">
        <is>
          <t>VENEZUELANOS</t>
        </is>
      </c>
      <c r="F818" t="inlineStr"/>
      <c r="G818" t="inlineStr">
        <is>
          <t>REUTERS</t>
        </is>
      </c>
      <c r="H818" t="inlineStr">
        <is>
          <t>BRASIL, UE E OUTROS PAÍSES QUESTIONAM LEGITIMIDADE DE ELEIÇÕES NA VENEZUELA</t>
        </is>
      </c>
      <c r="I818" t="inlineStr">
        <is>
          <t>CARTA DE PAÍSES DENUNCIA FRAUDE NAS ELEIÇÕES QUE OCORRERAM NESTE ÚLTIMO DOMINGO (6)</t>
        </is>
      </c>
      <c r="J818" t="inlineStr"/>
      <c r="K818" t="n">
        <v>0</v>
      </c>
      <c r="L818" t="n">
        <v>1</v>
      </c>
      <c r="M818" t="n">
        <v>0</v>
      </c>
      <c r="N818" t="n">
        <v>0</v>
      </c>
      <c r="O818" t="n">
        <v>0</v>
      </c>
      <c r="P818">
        <f>HYPERLINK("https://www.acritica.com/brasil-ue-e-outros-paises-questionam-legitimidade-de-eleic-es-na-venezuela-1.27704", "URL")</f>
        <v/>
      </c>
      <c r="Q818">
        <f>HYPERLINK("https://raw.githubusercontent.com/marcosmapl/dataset_imigrantes/main/materias_filtered/a_critica/venezuelanos/2020/11_dez/html/1.27704_320.html", "HTML")</f>
        <v/>
      </c>
      <c r="R818">
        <f>HYPERLINK("https://raw.githubusercontent.com/marcosmapl/dataset_imigrantes/main/materias_filtered/a_critica/venezuelanos/2020/11_dez/txt/1.27704_320.txt", "TXT")</f>
        <v/>
      </c>
    </row>
    <row r="819">
      <c r="A819" s="1" t="n">
        <v>817</v>
      </c>
      <c r="B819" t="n">
        <v>2020</v>
      </c>
      <c r="C819" s="2" t="n">
        <v>44171.74861111111</v>
      </c>
      <c r="D819" t="inlineStr">
        <is>
          <t>A CRITICA</t>
        </is>
      </c>
      <c r="E819" t="inlineStr">
        <is>
          <t>VENEZUELANOS</t>
        </is>
      </c>
      <c r="F819" t="inlineStr">
        <is>
          <t>MANAUS</t>
        </is>
      </c>
      <c r="G819" t="inlineStr">
        <is>
          <t>GIOVANNA MARINHO</t>
        </is>
      </c>
      <c r="H819" t="inlineStr">
        <is>
          <t>EM MANAUS, GRUPO DE VENEZUELANOS PROTESTA CONTRA 'FRAUDE' NAS ELEIÇÕES</t>
        </is>
      </c>
      <c r="I819" t="inlineStr">
        <is>
          <t>IMIGRANTES VENEZUELANOS SE REUNIRAM NO CRUZAMENTO DA AV. DJALMA BATISTA COM RUA PARÁ, PARA PROTESTAR SOBRE DENÚNCIAS DE FRAUDE NA ELEIÇÃO DO PARLAMENTO</t>
        </is>
      </c>
      <c r="J819" t="inlineStr"/>
      <c r="K819" t="n">
        <v>0</v>
      </c>
      <c r="L819" t="n">
        <v>1</v>
      </c>
      <c r="M819" t="n">
        <v>0</v>
      </c>
      <c r="N819" t="n">
        <v>0</v>
      </c>
      <c r="O819" t="n">
        <v>0</v>
      </c>
      <c r="P819">
        <f>HYPERLINK("https://www.acritica.com/manaus/em-manaus-grupo-de-venezuelanos-protesta-contra-fraude-nas-eleic-es-1.27737", "URL")</f>
        <v/>
      </c>
      <c r="Q819">
        <f>HYPERLINK("https://raw.githubusercontent.com/marcosmapl/dataset_imigrantes/main/materias_filtered/a_critica/venezuelanos/2020/11_dez/html/1.27737_596.html", "HTML")</f>
        <v/>
      </c>
      <c r="R819">
        <f>HYPERLINK("https://raw.githubusercontent.com/marcosmapl/dataset_imigrantes/main/materias_filtered/a_critica/venezuelanos/2020/11_dez/txt/1.27737_596.txt", "TXT")</f>
        <v/>
      </c>
    </row>
    <row r="820">
      <c r="A820" s="1" t="n">
        <v>818</v>
      </c>
      <c r="B820" t="n">
        <v>2020</v>
      </c>
      <c r="C820" s="2" t="n">
        <v>44169.44479166667</v>
      </c>
      <c r="D820" t="inlineStr">
        <is>
          <t>A CRITICA</t>
        </is>
      </c>
      <c r="E820" t="inlineStr">
        <is>
          <t>VENEZUELANOS</t>
        </is>
      </c>
      <c r="F820" t="inlineStr">
        <is>
          <t>MANAUS</t>
        </is>
      </c>
      <c r="G820" t="inlineStr">
        <is>
          <t>PORTAL A CRÍTICA</t>
        </is>
      </c>
      <c r="H820" t="inlineStr">
        <is>
          <t>MATERNIDADE MOURA TAPAJÓZ INAUGURA QUARTO ESPECIAL PARA PARTO DE INDÍGENAS</t>
        </is>
      </c>
      <c r="I820" t="inlineStr">
        <is>
          <t>O QUARTO É INTEIRAMENTE ADAPTADO AOS COSTUMES INDÍGENAS NO MOMENTO DO PARTO</t>
        </is>
      </c>
      <c r="J820" t="inlineStr"/>
      <c r="K820" t="n">
        <v>0</v>
      </c>
      <c r="L820" t="n">
        <v>1</v>
      </c>
      <c r="M820" t="n">
        <v>0</v>
      </c>
      <c r="N820" t="n">
        <v>0</v>
      </c>
      <c r="O820" t="n">
        <v>0</v>
      </c>
      <c r="P820">
        <f>HYPERLINK("https://www.acritica.com/manaus/maternidade-moura-tapajoz-inaugura-quarto-especial-para-parto-de-indigenas-1.27824", "URL")</f>
        <v/>
      </c>
      <c r="Q820">
        <f>HYPERLINK("https://raw.githubusercontent.com/marcosmapl/dataset_imigrantes/main/materias_filtered/a_critica/venezuelanos/2020/11_dez/html/1.27824_1170.html", "HTML")</f>
        <v/>
      </c>
      <c r="R820">
        <f>HYPERLINK("https://raw.githubusercontent.com/marcosmapl/dataset_imigrantes/main/materias_filtered/a_critica/venezuelanos/2020/11_dez/txt/1.27824_1170.txt", "TXT")</f>
        <v/>
      </c>
    </row>
    <row r="821">
      <c r="A821" s="1" t="n">
        <v>819</v>
      </c>
      <c r="B821" t="n">
        <v>2020</v>
      </c>
      <c r="C821" s="2" t="n">
        <v>44168.01074938657</v>
      </c>
      <c r="D821" t="inlineStr">
        <is>
          <t>G1</t>
        </is>
      </c>
      <c r="E821" t="inlineStr">
        <is>
          <t>VENEZUELANOS</t>
        </is>
      </c>
      <c r="F821" t="inlineStr">
        <is>
          <t>MUNDO</t>
        </is>
      </c>
      <c r="G821" t="inlineStr">
        <is>
          <t>BBC</t>
        </is>
      </c>
      <c r="H821" t="inlineStr">
        <is>
          <t>A JOVEM VENEZUELANA QUE EM 3 MESES DEIXOU DE VENDER FRUTAS EM SUA CIDADE E PASSOU A REGER ORQUESTRA EM PARIS</t>
        </is>
      </c>
      <c r="I821" t="inlineStr">
        <is>
          <t>GLASS MARCANO, 24 ANOS, PEDIU DINHEIRO EMPRESTADO, DEIXOU PAÍS NA PANDEMIA E CHEGOU À SEMIFINAL DE CONCURSO PARA MAESTRAS.</t>
        </is>
      </c>
      <c r="J821" t="inlineStr"/>
      <c r="K821" t="n">
        <v>0</v>
      </c>
      <c r="L821" t="n">
        <v>2</v>
      </c>
      <c r="M821" t="n">
        <v>0</v>
      </c>
      <c r="N821" t="n">
        <v>0</v>
      </c>
      <c r="O821" t="n">
        <v>2</v>
      </c>
      <c r="P821">
        <f>HYPERLINK("https://g1.globo.com/mundo/noticia/2020/12/02/a-jovem-venezuelana-que-em-3-meses-deixou-de-vender-frutas-em-sua-cidade-e-passou-a-reger-orquestra-em-paris.ghtml", "URL")</f>
        <v/>
      </c>
      <c r="Q821">
        <f>HYPERLINK("https://raw.githubusercontent.com/marcosmapl/dataset_imigrantes/main/materias_filtered/g1/venezuelanos/2020/11_dez/html/g1_89027466-2328-11ed-b24f-6dbe51e79fca_4084.html", "HTML")</f>
        <v/>
      </c>
      <c r="R821">
        <f>HYPERLINK("https://raw.githubusercontent.com/marcosmapl/dataset_imigrantes/main/materias_filtered/g1/venezuelanos/2020/11_dez/txt/g1_89027466-2328-11ed-b24f-6dbe51e79fca_4084.txt", "TXT")</f>
        <v/>
      </c>
    </row>
    <row r="822">
      <c r="A822" s="1" t="n">
        <v>820</v>
      </c>
      <c r="B822" t="n">
        <v>2020</v>
      </c>
      <c r="C822" s="2" t="n">
        <v>44167.61527777778</v>
      </c>
      <c r="D822" t="inlineStr">
        <is>
          <t>A CRITICA</t>
        </is>
      </c>
      <c r="E822" t="inlineStr">
        <is>
          <t>VENEZUELANOS</t>
        </is>
      </c>
      <c r="F822" t="inlineStr">
        <is>
          <t>ESPORTES</t>
        </is>
      </c>
      <c r="G822" t="inlineStr">
        <is>
          <t>DANIEL PRESTES</t>
        </is>
      </c>
      <c r="H822" t="inlineStr">
        <is>
          <t>PLENO DO TJD-AM JULGARÁ RECURSO DO JC NO PRÓXIMO DIA 17</t>
        </is>
      </c>
      <c r="I822" t="inlineStr">
        <is>
          <t>O PRESIDENTE DO TRIBUNAL, EDSON ROSAS, CONFIRMOU A DATA DO JULGAMENTO QUE IRÁ DEFINIR O DESTINO DO CAMPEONATO AMAZONENSE FEMININO</t>
        </is>
      </c>
      <c r="J822" t="inlineStr"/>
      <c r="K822" t="n">
        <v>0</v>
      </c>
      <c r="L822" t="n">
        <v>1</v>
      </c>
      <c r="M822" t="n">
        <v>0</v>
      </c>
      <c r="N822" t="n">
        <v>0</v>
      </c>
      <c r="O822" t="n">
        <v>0</v>
      </c>
      <c r="P822">
        <f>HYPERLINK("https://www.acritica.com/esportes/pleno-do-tjd-am-julgara-recurso-do-jc-no-proximo-dia-17-1.27887", "URL")</f>
        <v/>
      </c>
      <c r="Q822">
        <f>HYPERLINK("https://raw.githubusercontent.com/marcosmapl/dataset_imigrantes/main/materias_filtered/a_critica/venezuelanos/2020/11_dez/html/1.27887_1024.html", "HTML")</f>
        <v/>
      </c>
      <c r="R822">
        <f>HYPERLINK("https://raw.githubusercontent.com/marcosmapl/dataset_imigrantes/main/materias_filtered/a_critica/venezuelanos/2020/11_dez/txt/1.27887_1024.txt", "TXT")</f>
        <v/>
      </c>
    </row>
    <row r="823">
      <c r="A823" s="1" t="n">
        <v>821</v>
      </c>
      <c r="B823" t="n">
        <v>2020</v>
      </c>
      <c r="C823" s="2" t="n">
        <v>44166.94275635417</v>
      </c>
      <c r="D823" t="inlineStr">
        <is>
          <t>G1</t>
        </is>
      </c>
      <c r="E823" t="inlineStr">
        <is>
          <t>VENEZUELANOS</t>
        </is>
      </c>
      <c r="F823" t="inlineStr">
        <is>
          <t>DISTRITO FEDERAL</t>
        </is>
      </c>
      <c r="G823" t="inlineStr">
        <is>
          <t>G1 DF E TV GLOBO</t>
        </is>
      </c>
      <c r="H823" t="inlineStr">
        <is>
          <t>INDÍGENAS VENEZUELANOS ACAMPAM PRÓXIMO À RODOVIÁRIA INTERESTADUAL DE BRASÍLIA</t>
        </is>
      </c>
      <c r="I823" t="inlineStr">
        <is>
          <t>INDÍGENAS DA ETNIA WARAO SAÍRAM DE RORAIMA, PASSARAM PELO AMAPÁ E ESTÃO EM BUSCA DE MORADIA. GRUPO SOBREVIVE DE DOAÇÕES.</t>
        </is>
      </c>
      <c r="J823" t="inlineStr"/>
      <c r="K823" t="n">
        <v>0</v>
      </c>
      <c r="L823" t="n">
        <v>2</v>
      </c>
      <c r="M823" t="n">
        <v>0</v>
      </c>
      <c r="N823" t="n">
        <v>0</v>
      </c>
      <c r="O823" t="n">
        <v>7</v>
      </c>
      <c r="P823">
        <f>HYPERLINK("https://g1.globo.com/df/distrito-federal/noticia/2020/12/01/indios-venezuelanos-acampam-proximo-a-rodoviaria-interestadual-de-brasilia.ghtml", "URL")</f>
        <v/>
      </c>
      <c r="Q823">
        <f>HYPERLINK("https://raw.githubusercontent.com/marcosmapl/dataset_imigrantes/main/materias_filtered/g1/venezuelanos/2020/11_dez/html/g1_977b2c38-2321-11ed-b24f-6dbe51e79fca_3709.html", "HTML")</f>
        <v/>
      </c>
      <c r="R823">
        <f>HYPERLINK("https://raw.githubusercontent.com/marcosmapl/dataset_imigrantes/main/materias_filtered/g1/venezuelanos/2020/11_dez/txt/g1_977b2c38-2321-11ed-b24f-6dbe51e79fca_3709.txt", "TXT")</f>
        <v/>
      </c>
    </row>
    <row r="824">
      <c r="A824" s="1" t="n">
        <v>822</v>
      </c>
      <c r="B824" t="n">
        <v>2020</v>
      </c>
      <c r="C824" s="2" t="n">
        <v>44165.39049708333</v>
      </c>
      <c r="D824" t="inlineStr">
        <is>
          <t>G1</t>
        </is>
      </c>
      <c r="E824" t="inlineStr">
        <is>
          <t>VENEZUELANOS</t>
        </is>
      </c>
      <c r="F824" t="inlineStr">
        <is>
          <t>SUL DE MINAS</t>
        </is>
      </c>
      <c r="G824" t="inlineStr">
        <is>
          <t>G1 SUL DE MINAS</t>
        </is>
      </c>
      <c r="H824" t="inlineStr">
        <is>
          <t>DENTISTA DO SUL DE MG FAZ PARTE DE EQUIPE QUE LEVA TRATAMENTO A REFUGIADOS VENEZUELANOS</t>
        </is>
      </c>
      <c r="I824" t="inlineStr">
        <is>
          <t>O PROJETO OFERECE ACOLHIMENTO, ALIMENTAÇÃO, TRATAMENTOS DE SAÚDE E ASSISTÊNCIA PARA QUE OS REFUGIADOS POSSAM SE RESTABELECER NO PAÍS.</t>
        </is>
      </c>
      <c r="J824" t="inlineStr"/>
      <c r="K824" t="n">
        <v>0</v>
      </c>
      <c r="L824" t="n">
        <v>3</v>
      </c>
      <c r="M824" t="n">
        <v>0</v>
      </c>
      <c r="N824" t="n">
        <v>0</v>
      </c>
      <c r="O824" t="n">
        <v>3</v>
      </c>
      <c r="P824">
        <f>HYPERLINK("https://g1.globo.com/mg/sul-de-minas/noticia/2020/11/30/dentista-de-tres-coracoes-faz-parte-de-equipe-que-leva-tratamento-a-refugiados-venezuelanos.ghtml", "URL")</f>
        <v/>
      </c>
      <c r="Q824">
        <f>HYPERLINK("https://raw.githubusercontent.com/marcosmapl/dataset_imigrantes/main/materias_filtered/g1/venezuelanos/2020/10_nov/html/g1_55997822-230f-11ed-b24f-6dbe51e79fca_2790.html", "HTML")</f>
        <v/>
      </c>
      <c r="R824">
        <f>HYPERLINK("https://raw.githubusercontent.com/marcosmapl/dataset_imigrantes/main/materias_filtered/g1/venezuelanos/2020/10_nov/txt/g1_55997822-230f-11ed-b24f-6dbe51e79fca_2790.txt", "TXT")</f>
        <v/>
      </c>
    </row>
    <row r="825">
      <c r="A825" s="1" t="n">
        <v>823</v>
      </c>
      <c r="B825" t="n">
        <v>2020</v>
      </c>
      <c r="C825" s="2" t="n">
        <v>44164.45902777778</v>
      </c>
      <c r="D825" t="inlineStr">
        <is>
          <t>PORTAL AMAZONIA</t>
        </is>
      </c>
      <c r="E825" t="inlineStr">
        <is>
          <t>VENEZUELANOS</t>
        </is>
      </c>
      <c r="F825" t="inlineStr">
        <is>
          <t>AMAZONAS,CIDADANIA</t>
        </is>
      </c>
      <c r="G825" t="inlineStr">
        <is>
          <t>REDAÇÃO - JORNALISMO@PORTALAMAZONIA.COM</t>
        </is>
      </c>
      <c r="H825" t="inlineStr">
        <is>
          <t>ONG HERMANITOS, QUE APOIA IMIGRANTES VENEZUELANOS, REALIZA FESTIVAL DA PIZZA PARA ARRECADAR RECURSOS</t>
        </is>
      </c>
      <c r="I825" t="inlineStr">
        <is>
          <t>O EVENTO BENEFICENTE TEM COMO OBJETIVO ARRECADAR RECURSOS PARA SUBSIDIAR AS DESPESAS MENSAIS DA INSTITUIÇÃO.</t>
        </is>
      </c>
      <c r="J825" t="inlineStr">
        <is>
          <t>AMAZONAS, CIDADANIA, FESTIVAL DA PIZZA, IMIGRANTES VENEZUELANOS, ONG HERMANITOS</t>
        </is>
      </c>
      <c r="K825" t="n">
        <v>5</v>
      </c>
      <c r="L825" t="n">
        <v>1</v>
      </c>
      <c r="M825" t="n">
        <v>0</v>
      </c>
      <c r="N825" t="n">
        <v>0</v>
      </c>
      <c r="O825" t="n">
        <v>10</v>
      </c>
      <c r="P825">
        <f>HYPERLINK("https://portalamazonia.com/noticias/cidadania/ong-hermanitos-que-apoia-imigrantes-venezuelanos-realiza-festival-da-pizza-para-arrecadar-recursos", "URL")</f>
        <v/>
      </c>
      <c r="Q825">
        <f>HYPERLINK("https://raw.githubusercontent.com/marcosmapl/dataset_imigrantes/main/materias_filtered/portal_amazonia/venezuelanos/2020/10_nov/html/29483.64487_1419.html", "HTML")</f>
        <v/>
      </c>
      <c r="R825">
        <f>HYPERLINK("https://raw.githubusercontent.com/marcosmapl/dataset_imigrantes/main/materias_filtered/portal_amazonia/venezuelanos/2020/10_nov/txt/29483.64487_1419.txt", "TXT")</f>
        <v/>
      </c>
    </row>
    <row r="826">
      <c r="A826" s="1" t="n">
        <v>824</v>
      </c>
      <c r="B826" t="n">
        <v>2020</v>
      </c>
      <c r="C826" s="2" t="n">
        <v>44162.89228818287</v>
      </c>
      <c r="D826" t="inlineStr">
        <is>
          <t>G1</t>
        </is>
      </c>
      <c r="E826" t="inlineStr">
        <is>
          <t>VENEZUELANOS</t>
        </is>
      </c>
      <c r="F826" t="inlineStr">
        <is>
          <t>PRESIDENTE PRUDENTE E REGIÃO</t>
        </is>
      </c>
      <c r="G826" t="inlineStr">
        <is>
          <t>G1 PRESIDENTE PRUDENTE</t>
        </is>
      </c>
      <c r="H826" t="inlineStr">
        <is>
          <t>VENEZUELANO É PRESO EM FLAGRANTE COM CÁPSULAS DE COCAÍNA NAS ROUPAS E DENTRO DO CORPO EM REGENTE FEIJÓ</t>
        </is>
      </c>
      <c r="I826" t="inlineStr">
        <is>
          <t>ABORDAGEM OCORREU NA RODOVIA RAPOSO TAVARES (SP-270). PASSAGEIRO DE ÔNIBUS FOI LEVADO PARA O HOSPITAL REGIONAL PARA EXPELIR AS PORÇÕES DE DROGA QUE HAVIA INGERIDO.</t>
        </is>
      </c>
      <c r="J826" t="inlineStr"/>
      <c r="K826" t="n">
        <v>0</v>
      </c>
      <c r="L826" t="n">
        <v>1</v>
      </c>
      <c r="M826" t="n">
        <v>0</v>
      </c>
      <c r="N826" t="n">
        <v>0</v>
      </c>
      <c r="O826" t="n">
        <v>2</v>
      </c>
      <c r="P826">
        <f>HYPERLINK("https://g1.globo.com/sp/presidente-prudente-regiao/noticia/2020/11/27/venezuelano-e-preso-em-flagrante-com-capsulas-de-cocaina-nas-roupas-e-dentro-do-corpo-em-regente-feijo.ghtml", "URL")</f>
        <v/>
      </c>
      <c r="Q826">
        <f>HYPERLINK("https://raw.githubusercontent.com/marcosmapl/dataset_imigrantes/main/materias_filtered/g1/venezuelanos/2020/10_nov/html/g1_15157fa6-2325-11ed-b24f-6dbe51e79fca_3896.html", "HTML")</f>
        <v/>
      </c>
      <c r="R826">
        <f>HYPERLINK("https://raw.githubusercontent.com/marcosmapl/dataset_imigrantes/main/materias_filtered/g1/venezuelanos/2020/10_nov/txt/g1_15157fa6-2325-11ed-b24f-6dbe51e79fca_3896.txt", "TXT")</f>
        <v/>
      </c>
    </row>
    <row r="827">
      <c r="A827" s="1" t="n">
        <v>825</v>
      </c>
      <c r="B827" t="n">
        <v>2020</v>
      </c>
      <c r="C827" s="2" t="n">
        <v>44161.93958333333</v>
      </c>
      <c r="D827" t="inlineStr">
        <is>
          <t>A CRITICA</t>
        </is>
      </c>
      <c r="E827" t="inlineStr">
        <is>
          <t>VENEZUELANOS</t>
        </is>
      </c>
      <c r="F827" t="inlineStr">
        <is>
          <t>OPINIAO</t>
        </is>
      </c>
      <c r="G827" t="inlineStr">
        <is>
          <t>DULCE RODRIGUEZ</t>
        </is>
      </c>
      <c r="H827" t="inlineStr">
        <is>
          <t>AJUDANDO UNS AOS OUTROS CONSTRUÍMOS UM MUNDO MELHOR</t>
        </is>
      </c>
      <c r="I827" t="inlineStr">
        <is>
          <t>VEM AÍ O FESTIVAL DA PIZZA “HERMANITOS” NO SÁBADO 05/12, DAS 11H ÀS 15H, PARA ARRECADAR FUNDOS E APOIAR NOSSOS IRMÃOS VENEZUELANOS. PARTICIPE!</t>
        </is>
      </c>
      <c r="J827" t="inlineStr">
        <is>
          <t>VIDA-DE-IMIGRANTE</t>
        </is>
      </c>
      <c r="K827" t="n">
        <v>1</v>
      </c>
      <c r="L827" t="n">
        <v>1</v>
      </c>
      <c r="M827" t="n">
        <v>0</v>
      </c>
      <c r="N827" t="n">
        <v>0</v>
      </c>
      <c r="O827" t="n">
        <v>4</v>
      </c>
      <c r="P827">
        <f>HYPERLINK("https://www.acritica.com/opiniao/ajudando-uns-aos-outros-construimos-um-mundo-melhor-1.216119", "URL")</f>
        <v/>
      </c>
      <c r="Q827">
        <f>HYPERLINK("https://raw.githubusercontent.com/marcosmapl/dataset_imigrantes/main/materias_filtered/a_critica/venezuelanos/2020/10_nov/html/1.216119_377.html", "HTML")</f>
        <v/>
      </c>
      <c r="R827">
        <f>HYPERLINK("https://raw.githubusercontent.com/marcosmapl/dataset_imigrantes/main/materias_filtered/a_critica/venezuelanos/2020/10_nov/txt/1.216119_377.txt", "TXT")</f>
        <v/>
      </c>
    </row>
    <row r="828">
      <c r="A828" s="1" t="n">
        <v>826</v>
      </c>
      <c r="B828" t="n">
        <v>2020</v>
      </c>
      <c r="C828" s="2" t="n">
        <v>44160.375</v>
      </c>
      <c r="D828" t="inlineStr">
        <is>
          <t>PORTAL AMAZONIA</t>
        </is>
      </c>
      <c r="E828" t="inlineStr">
        <is>
          <t>VENEZUELANOS</t>
        </is>
      </c>
      <c r="F828" t="inlineStr">
        <is>
          <t>AMAZÔNIA INTERNACIONAL,NOTÍCIAS,CIDADES</t>
        </is>
      </c>
      <c r="G828" t="inlineStr">
        <is>
          <t>PORTAL AMAZÔNIA, COM INFORMAÇÕES DA AGÊNCIA BRASIL</t>
        </is>
      </c>
      <c r="H828" t="inlineStr">
        <is>
          <t>COVID-19: VENEZUELA TEM MAIS DE 100 MIL CASOS DA DOENÇA</t>
        </is>
      </c>
      <c r="I828" t="inlineStr">
        <is>
          <t>CARACAS REGISTROU MAIOR NÚMERO DE INFECTADOS.</t>
        </is>
      </c>
      <c r="J828" t="inlineStr">
        <is>
          <t>AMAZÔNIA, AMAZÔNIA INTERNACIONAL, CASOS COVID 19 NA VENEZUELA, CIDADES, COVID 19 NA VENEZUELA, NOTÍCIAS, VENEZUELA CORONAVIRUS</t>
        </is>
      </c>
      <c r="K828" t="n">
        <v>7</v>
      </c>
      <c r="L828" t="n">
        <v>2</v>
      </c>
      <c r="M828" t="n">
        <v>0</v>
      </c>
      <c r="N828" t="n">
        <v>0</v>
      </c>
      <c r="O828" t="n">
        <v>21</v>
      </c>
      <c r="P828">
        <f>HYPERLINK("https://portalamazonia.com/estados/amazonia-internacional/covid-19-venezuela-tem-mais-de-100-mil-casos-da-doenca", "URL")</f>
        <v/>
      </c>
      <c r="Q828">
        <f>HYPERLINK("https://raw.githubusercontent.com/marcosmapl/dataset_imigrantes/main/materias_filtered/portal_amazonia/venezuelanos/2020/10_nov/html/29425.64378_1608.html", "HTML")</f>
        <v/>
      </c>
      <c r="R828">
        <f>HYPERLINK("https://raw.githubusercontent.com/marcosmapl/dataset_imigrantes/main/materias_filtered/portal_amazonia/venezuelanos/2020/10_nov/txt/29425.64378_1608.txt", "TXT")</f>
        <v/>
      </c>
    </row>
    <row r="829">
      <c r="A829" s="1" t="n">
        <v>827</v>
      </c>
      <c r="B829" t="n">
        <v>2020</v>
      </c>
      <c r="C829" s="2" t="n">
        <v>44156.80894766204</v>
      </c>
      <c r="D829" t="inlineStr">
        <is>
          <t>G1</t>
        </is>
      </c>
      <c r="E829" t="inlineStr">
        <is>
          <t>VENEZUELANOS</t>
        </is>
      </c>
      <c r="F829" t="inlineStr">
        <is>
          <t>RORAIMA</t>
        </is>
      </c>
      <c r="G829" t="inlineStr">
        <is>
          <t>G1 RR — BOA VISTA</t>
        </is>
      </c>
      <c r="H829" t="inlineStr">
        <is>
          <t>VENEZUELANOS MORADORES DE RUA SÃO ESFAQUEADOS ENQUANTO DORMIAM EM FEIRA DE BOA VISTA</t>
        </is>
      </c>
      <c r="I829" t="inlineStr">
        <is>
          <t>VÍTIMAS, DE 21 E 32 ANOS, ESTAVAM NA FEIRA DO PRODUTOR, QUANDO FORAM ATACADOS NA MANHÃ DESTE SÁBADO (21). UM DELES LEVOU DUAS FACADAS NA REGIÃO DA NUCA E PRECISOU PASSAR POR CIRURGIA.</t>
        </is>
      </c>
      <c r="J829" t="inlineStr"/>
      <c r="K829" t="n">
        <v>0</v>
      </c>
      <c r="L829" t="n">
        <v>1</v>
      </c>
      <c r="M829" t="n">
        <v>0</v>
      </c>
      <c r="N829" t="n">
        <v>0</v>
      </c>
      <c r="O829" t="n">
        <v>0</v>
      </c>
      <c r="P829">
        <f>HYPERLINK("https://g1.globo.com/rr/roraima/noticia/2020/11/21/moradores-de-rua-sao-esfaqueados-enquanto-dormiam-em-feira-de-boa-vista.ghtml", "URL")</f>
        <v/>
      </c>
      <c r="Q829">
        <f>HYPERLINK("https://raw.githubusercontent.com/marcosmapl/dataset_imigrantes/main/materias_filtered/g1/venezuelanos/2020/10_nov/html/g1_0e59dede-230f-11ed-b24f-6dbe51e79fca_2776.html", "HTML")</f>
        <v/>
      </c>
      <c r="R829">
        <f>HYPERLINK("https://raw.githubusercontent.com/marcosmapl/dataset_imigrantes/main/materias_filtered/g1/venezuelanos/2020/10_nov/txt/g1_0e59dede-230f-11ed-b24f-6dbe51e79fca_2776.txt", "TXT")</f>
        <v/>
      </c>
    </row>
    <row r="830">
      <c r="A830" s="1" t="n">
        <v>828</v>
      </c>
      <c r="B830" t="n">
        <v>2020</v>
      </c>
      <c r="C830" s="2" t="n">
        <v>44156.48037280093</v>
      </c>
      <c r="D830" t="inlineStr">
        <is>
          <t>G1</t>
        </is>
      </c>
      <c r="E830" t="inlineStr">
        <is>
          <t>HAITIANOS</t>
        </is>
      </c>
      <c r="F830" t="inlineStr">
        <is>
          <t>CAMPOS GERAIS E SUL</t>
        </is>
      </c>
      <c r="G830" t="inlineStr">
        <is>
          <t>RPC GUARAPUAVA</t>
        </is>
      </c>
      <c r="H830" t="inlineStr">
        <is>
          <t>MULHER ENTRA EM TRABALHO DE PARTO DURANTE VIAGEM, E BEBÊ NASCE EM PRAÇA DE PEDÁGIO, NO PARANÁ</t>
        </is>
      </c>
      <c r="I830" t="inlineStr">
        <is>
          <t>MÃE É HAITIANA E NÃO SABE FALAR PORTUGUÊS, DE ACORDO COM A CONCESSIONÁRIA QUE ADMINISTRA O TRECHO. MULHER E BEBÊ PASSAM BEM.</t>
        </is>
      </c>
      <c r="J830" t="inlineStr"/>
      <c r="K830" t="n">
        <v>0</v>
      </c>
      <c r="L830" t="n">
        <v>2</v>
      </c>
      <c r="M830" t="n">
        <v>1</v>
      </c>
      <c r="N830" t="n">
        <v>0</v>
      </c>
      <c r="O830" t="n">
        <v>2</v>
      </c>
      <c r="P830">
        <f>HYPERLINK("https://g1.globo.com/pr/campos-gerais-sul/noticia/2020/11/21/mulher-entra-em-trabalho-de-parto-durante-viagem-e-bebe-nasce-em-praca-de-pedagio-no-parana.ghtml", "URL")</f>
        <v/>
      </c>
      <c r="Q830">
        <f>HYPERLINK("https://raw.githubusercontent.com/marcosmapl/dataset_imigrantes/main/materias_filtered/g1/haitianos/2020/10_nov/html/g1_b16cc89c-230b-11ed-b24f-6dbe51e79fca_2581.html", "HTML")</f>
        <v/>
      </c>
      <c r="R830">
        <f>HYPERLINK("https://raw.githubusercontent.com/marcosmapl/dataset_imigrantes/main/materias_filtered/g1/haitianos/2020/10_nov/txt/g1_b16cc89c-230b-11ed-b24f-6dbe51e79fca_2581.txt", "TXT")</f>
        <v/>
      </c>
    </row>
    <row r="831">
      <c r="A831" s="1" t="n">
        <v>829</v>
      </c>
      <c r="B831" t="n">
        <v>2020</v>
      </c>
      <c r="C831" s="2" t="n">
        <v>44154.83150394676</v>
      </c>
      <c r="D831" t="inlineStr">
        <is>
          <t>G1</t>
        </is>
      </c>
      <c r="E831" t="inlineStr">
        <is>
          <t>VENEZUELANOS</t>
        </is>
      </c>
      <c r="F831" t="inlineStr">
        <is>
          <t>MUNDO</t>
        </is>
      </c>
      <c r="G831" t="inlineStr">
        <is>
          <t>MARIELA NAVA E LUC COHEN, REUTERS</t>
        </is>
      </c>
      <c r="H831" t="inlineStr">
        <is>
          <t>DESESPERADOS, VENEZUELANOS ROUBAM PETRÓLEO DA PDVSA E PRODUZEM A PRÓPRIA GASOLINA</t>
        </is>
      </c>
      <c r="I831" t="inlineStr">
        <is>
          <t>ESCASSEZ DO COMBUSTÍVEL NA MAIOR RESERVA DE PETRÓLEO DO MUNDO MOSTRA O TAMANHO DO COLAPSO ECONÔMICO NA VENEZUELA, RETRATA REPORTAGEM DA AGÊNCIA REUTERS.</t>
        </is>
      </c>
      <c r="J831" t="inlineStr"/>
      <c r="K831" t="n">
        <v>0</v>
      </c>
      <c r="L831" t="n">
        <v>2</v>
      </c>
      <c r="M831" t="n">
        <v>0</v>
      </c>
      <c r="N831" t="n">
        <v>0</v>
      </c>
      <c r="O831" t="n">
        <v>6</v>
      </c>
      <c r="P831">
        <f>HYPERLINK("https://g1.globo.com/mundo/noticia/2020/11/19/desesperados-venezuelanos-roubam-petroleo-da-pdvsa-e-produzem-a-propria-gasolina.ghtml", "URL")</f>
        <v/>
      </c>
      <c r="Q831">
        <f>HYPERLINK("https://raw.githubusercontent.com/marcosmapl/dataset_imigrantes/main/materias_filtered/g1/venezuelanos/2020/10_nov/html/g1_7a4c09c2-2329-11ed-b24f-6dbe51e79fca_4119.html", "HTML")</f>
        <v/>
      </c>
      <c r="R831">
        <f>HYPERLINK("https://raw.githubusercontent.com/marcosmapl/dataset_imigrantes/main/materias_filtered/g1/venezuelanos/2020/10_nov/txt/g1_7a4c09c2-2329-11ed-b24f-6dbe51e79fca_4119.txt", "TXT")</f>
        <v/>
      </c>
    </row>
    <row r="832">
      <c r="A832" s="1" t="n">
        <v>830</v>
      </c>
      <c r="B832" t="n">
        <v>2020</v>
      </c>
      <c r="C832" s="2" t="n">
        <v>44153.43798212963</v>
      </c>
      <c r="D832" t="inlineStr">
        <is>
          <t>G1</t>
        </is>
      </c>
      <c r="E832" t="inlineStr">
        <is>
          <t>VENEZUELANOS</t>
        </is>
      </c>
      <c r="F832" t="inlineStr">
        <is>
          <t>RORAIMA</t>
        </is>
      </c>
      <c r="G832" t="inlineStr">
        <is>
          <t>G1 RR — BOA VISTA</t>
        </is>
      </c>
      <c r="H832" t="inlineStr">
        <is>
          <t>CÁRITAS INICIA 2ª ETAPA DE PROJETO PARA ATENDER VENEZUELANOS COM ÁGUA, SANEAMENTO E HIGIENE EM RORAIMA</t>
        </is>
      </c>
      <c r="I832" t="inlineStr">
        <is>
          <t>PROJETO ORINOCO DEVE ATENDER NECESSIDADES URGENTES DE 6.554 MIGRANTES EM AO MENOS 14 OCUPAÇÕES ESPONTÂNEAS, EM BOA VISTA E PACARAIMA.</t>
        </is>
      </c>
      <c r="J832" t="inlineStr"/>
      <c r="K832" t="n">
        <v>0</v>
      </c>
      <c r="L832" t="n">
        <v>1</v>
      </c>
      <c r="M832" t="n">
        <v>0</v>
      </c>
      <c r="N832" t="n">
        <v>0</v>
      </c>
      <c r="O832" t="n">
        <v>1</v>
      </c>
      <c r="P832">
        <f>HYPERLINK("https://g1.globo.com/rr/roraima/noticia/2020/11/18/caritas-inicia-2a-etapa-de-projeto-para-atender-venezuelanos-com-agua-saneamento-e-higiene-em-roraima.ghtml", "URL")</f>
        <v/>
      </c>
      <c r="Q832">
        <f>HYPERLINK("https://raw.githubusercontent.com/marcosmapl/dataset_imigrantes/main/materias_filtered/g1/venezuelanos/2020/10_nov/html/g1_40f05c3e-2322-11ed-b24f-6dbe51e79fca_3743.html", "HTML")</f>
        <v/>
      </c>
      <c r="R832">
        <f>HYPERLINK("https://raw.githubusercontent.com/marcosmapl/dataset_imigrantes/main/materias_filtered/g1/venezuelanos/2020/10_nov/txt/g1_40f05c3e-2322-11ed-b24f-6dbe51e79fca_3743.txt", "TXT")</f>
        <v/>
      </c>
    </row>
    <row r="833">
      <c r="A833" s="1" t="n">
        <v>831</v>
      </c>
      <c r="B833" t="n">
        <v>2020</v>
      </c>
      <c r="C833" s="2" t="n">
        <v>44150.81186293982</v>
      </c>
      <c r="D833" t="inlineStr">
        <is>
          <t>G1</t>
        </is>
      </c>
      <c r="E833" t="inlineStr">
        <is>
          <t>HAITIANOS</t>
        </is>
      </c>
      <c r="F833" t="inlineStr">
        <is>
          <t>SOROCABA E JUNDIAÍ</t>
        </is>
      </c>
      <c r="G833" t="inlineStr">
        <is>
          <t>G1 SOROCABA E JUNDIAÍ</t>
        </is>
      </c>
      <c r="H833" t="inlineStr">
        <is>
          <t>HAITIANO É MORTO APÓS DISCUSSÃO EM FORRÓ EM ITUPEVA</t>
        </is>
      </c>
      <c r="I833" t="inlineStr">
        <is>
          <t>SEGUNDO O BOLETIM DE OCORRÊNCIA, OUTRO HAITIANO É SUSPEITO DO CRIME, QUE TERIA OCORRIDO EM UMA BRIGA POR MULHER.</t>
        </is>
      </c>
      <c r="J833" t="inlineStr"/>
      <c r="K833" t="n">
        <v>0</v>
      </c>
      <c r="L833" t="n">
        <v>0</v>
      </c>
      <c r="M833" t="n">
        <v>0</v>
      </c>
      <c r="N833" t="n">
        <v>0</v>
      </c>
      <c r="O833" t="n">
        <v>1</v>
      </c>
      <c r="P833">
        <f>HYPERLINK("https://g1.globo.com/sp/sorocaba-jundiai/noticia/2020/11/15/haitiano-e-morto-apos-discussao-em-forro-em-itupeva.ghtml", "URL")</f>
        <v/>
      </c>
      <c r="Q833">
        <f>HYPERLINK("https://raw.githubusercontent.com/marcosmapl/dataset_imigrantes/main/materias_filtered/g1/haitianos/2020/10_nov/html/g1_e551e50e-22f5-11ed-b24f-6dbe51e79fca_1979.html", "HTML")</f>
        <v/>
      </c>
      <c r="R833">
        <f>HYPERLINK("https://raw.githubusercontent.com/marcosmapl/dataset_imigrantes/main/materias_filtered/g1/haitianos/2020/10_nov/txt/g1_e551e50e-22f5-11ed-b24f-6dbe51e79fca_1979.txt", "TXT")</f>
        <v/>
      </c>
    </row>
    <row r="834">
      <c r="A834" s="1" t="n">
        <v>832</v>
      </c>
      <c r="B834" t="n">
        <v>2020</v>
      </c>
      <c r="C834" s="2" t="n">
        <v>44148.97146990741</v>
      </c>
      <c r="D834" t="inlineStr">
        <is>
          <t>A CRITICA</t>
        </is>
      </c>
      <c r="E834" t="inlineStr">
        <is>
          <t>VENEZUELANOS</t>
        </is>
      </c>
      <c r="F834" t="inlineStr">
        <is>
          <t>ESPORTES</t>
        </is>
      </c>
      <c r="G834" t="inlineStr">
        <is>
          <t>DANIEL PRESTES</t>
        </is>
      </c>
      <c r="H834" t="inlineStr">
        <is>
          <t>3B GOLEIA REAL ARIQUEMES E VAI COM MORAL PRA FASE DE MATA-MATA DA SÉRIE A2</t>
        </is>
      </c>
      <c r="I834" t="inlineStr">
        <is>
          <t>APÓS TEMPORAL EM RONDÔNIA, A FERA FEZ CHOVER GOLS PRA CIMA DO FURACÃO DO VALE DO JAMARI. O 3B FECHA PRIMEIRA FASE COM 100% DE APROVEITAMENTO E AGUARDA ADVERSÁRIO DA PRÓXIMA FASE</t>
        </is>
      </c>
      <c r="J834" t="inlineStr"/>
      <c r="K834" t="n">
        <v>0</v>
      </c>
      <c r="L834" t="n">
        <v>1</v>
      </c>
      <c r="M834" t="n">
        <v>0</v>
      </c>
      <c r="N834" t="n">
        <v>0</v>
      </c>
      <c r="O834" t="n">
        <v>0</v>
      </c>
      <c r="P834">
        <f>HYPERLINK("https://www.acritica.com/esportes/3b-goleia-real-ariquemes-e-vai-com-moral-pra-fase-de-mata-mata-da-serie-a2-1.29585", "URL")</f>
        <v/>
      </c>
      <c r="Q834">
        <f>HYPERLINK("https://raw.githubusercontent.com/marcosmapl/dataset_imigrantes/main/materias_filtered/a_critica/venezuelanos/2020/10_nov/html/1.29585_1075.html", "HTML")</f>
        <v/>
      </c>
      <c r="R834">
        <f>HYPERLINK("https://raw.githubusercontent.com/marcosmapl/dataset_imigrantes/main/materias_filtered/a_critica/venezuelanos/2020/10_nov/txt/1.29585_1075.txt", "TXT")</f>
        <v/>
      </c>
    </row>
    <row r="835">
      <c r="A835" s="1" t="n">
        <v>833</v>
      </c>
      <c r="B835" t="n">
        <v>2020</v>
      </c>
      <c r="C835" s="2" t="n">
        <v>44148.88130001158</v>
      </c>
      <c r="D835" t="inlineStr">
        <is>
          <t>G1</t>
        </is>
      </c>
      <c r="E835" t="inlineStr">
        <is>
          <t>VENEZUELANOS</t>
        </is>
      </c>
      <c r="F835" t="inlineStr">
        <is>
          <t>MARANHÃO</t>
        </is>
      </c>
      <c r="G835" t="inlineStr">
        <is>
          <t>G1 MA — SÃO LUÍS</t>
        </is>
      </c>
      <c r="H835" t="inlineStr">
        <is>
          <t>VENEZUELANO É ENCONTRADO COM OS ÓRGÃOS GENITAIS ARRANCADOS NA BR-230 NO MARANHÃO</t>
        </is>
      </c>
      <c r="I835" t="inlineStr">
        <is>
          <t>A VÍTIMA FOI ENCONTRADA NA MANHÃ DESTA SEXTA-FEIRA (13), DENTRO DE UM CARRO COM PARTE DOS ÓRGÃOS GENITAIS ARRANCADOS.</t>
        </is>
      </c>
      <c r="J835" t="inlineStr"/>
      <c r="K835" t="n">
        <v>0</v>
      </c>
      <c r="L835" t="n">
        <v>1</v>
      </c>
      <c r="M835" t="n">
        <v>1</v>
      </c>
      <c r="N835" t="n">
        <v>0</v>
      </c>
      <c r="O835" t="n">
        <v>1</v>
      </c>
      <c r="P835">
        <f>HYPERLINK("https://g1.globo.com/ma/maranhao/noticia/2020/11/13/venezuelano-e-encontrado-com-os-orgaos-genitais-arrancados-na-br-230-no-maranhao.ghtml", "URL")</f>
        <v/>
      </c>
      <c r="Q835">
        <f>HYPERLINK("https://raw.githubusercontent.com/marcosmapl/dataset_imigrantes/main/materias_filtered/g1/venezuelanos/2020/10_nov/html/g1_0c21f8fc-2316-11ed-b24f-6dbe51e79fca_3123.html", "HTML")</f>
        <v/>
      </c>
      <c r="R835">
        <f>HYPERLINK("https://raw.githubusercontent.com/marcosmapl/dataset_imigrantes/main/materias_filtered/g1/venezuelanos/2020/10_nov/txt/g1_0c21f8fc-2316-11ed-b24f-6dbe51e79fca_3123.txt", "TXT")</f>
        <v/>
      </c>
    </row>
    <row r="836">
      <c r="A836" s="1" t="n">
        <v>834</v>
      </c>
      <c r="B836" t="n">
        <v>2020</v>
      </c>
      <c r="C836" s="2" t="n">
        <v>44146.93797453704</v>
      </c>
      <c r="D836" t="inlineStr">
        <is>
          <t>A CRITICA</t>
        </is>
      </c>
      <c r="E836" t="inlineStr">
        <is>
          <t>VENEZUELANOS</t>
        </is>
      </c>
      <c r="F836" t="inlineStr">
        <is>
          <t>ESPORTES</t>
        </is>
      </c>
      <c r="G836" t="inlineStr">
        <is>
          <t>PORTAL A CRÍTICA</t>
        </is>
      </c>
      <c r="H836" t="inlineStr">
        <is>
          <t>APÓS PEREGRINAÇÃO NA PANDEMIA, ICES VICTÓRIA QUER TRIUNFO DO 3B</t>
        </is>
      </c>
      <c r="I836" t="inlineStr">
        <is>
          <t>VENEZUELANA CHEGOU A TREINAR PELO REAL ARIQUEMES-RO, MAS O CLUBE DE RONDÔNIA NUNCA CONSEGUIU REGULARIZÁ-LA. RECÉM-CONTRATADA PELA FERA, A LATERAL, ENFIM, ENCONTROU A FELICIDADE EM MANAUS</t>
        </is>
      </c>
      <c r="J836" t="inlineStr"/>
      <c r="K836" t="n">
        <v>0</v>
      </c>
      <c r="L836" t="n">
        <v>1</v>
      </c>
      <c r="M836" t="n">
        <v>0</v>
      </c>
      <c r="N836" t="n">
        <v>0</v>
      </c>
      <c r="O836" t="n">
        <v>0</v>
      </c>
      <c r="P836">
        <f>HYPERLINK("https://www.acritica.com/esportes/apos-peregrinac-o-na-pandemia-ices-victoria-quer-triunfo-do-3b-1.29684", "URL")</f>
        <v/>
      </c>
      <c r="Q836">
        <f>HYPERLINK("https://raw.githubusercontent.com/marcosmapl/dataset_imigrantes/main/materias_filtered/a_critica/venezuelanos/2020/10_nov/html/1.29684_1364.html", "HTML")</f>
        <v/>
      </c>
      <c r="R836">
        <f>HYPERLINK("https://raw.githubusercontent.com/marcosmapl/dataset_imigrantes/main/materias_filtered/a_critica/venezuelanos/2020/10_nov/txt/1.29684_1364.txt", "TXT")</f>
        <v/>
      </c>
    </row>
    <row r="837">
      <c r="A837" s="1" t="n">
        <v>835</v>
      </c>
      <c r="B837" t="n">
        <v>2020</v>
      </c>
      <c r="C837" s="2" t="n">
        <v>44144.87777777778</v>
      </c>
      <c r="D837" t="inlineStr">
        <is>
          <t>A CRITICA</t>
        </is>
      </c>
      <c r="E837" t="inlineStr">
        <is>
          <t>VENEZUELANOS</t>
        </is>
      </c>
      <c r="F837" t="inlineStr">
        <is>
          <t>MANAUS</t>
        </is>
      </c>
      <c r="G837" t="inlineStr">
        <is>
          <t>PORTAL A CRÍTICA</t>
        </is>
      </c>
      <c r="H837" t="inlineStr">
        <is>
          <t>UNICEF SELECIONA 100 JOVENS PARA CRIAREM SOLUÇÕES DESTINADAS A REFUGIADOS E MIGRANTES</t>
        </is>
      </c>
      <c r="I837" t="inlineStr">
        <is>
          <t>MARATONA SOCIAL CHAMA NA SOLUÇÃO É PARTE DA ARTICULAÇÃO NACIONAL “UM MILHÃO DE OPORTUNIDADES”. AS MELHORES PROPOSTAS SERÃO PREMIADAS COM TABLETS E KITS DE APRENDIZAGEM</t>
        </is>
      </c>
      <c r="J837" t="inlineStr"/>
      <c r="K837" t="n">
        <v>0</v>
      </c>
      <c r="L837" t="n">
        <v>1</v>
      </c>
      <c r="M837" t="n">
        <v>0</v>
      </c>
      <c r="N837" t="n">
        <v>0</v>
      </c>
      <c r="O837" t="n">
        <v>3</v>
      </c>
      <c r="P837">
        <f>HYPERLINK("https://www.acritica.com/manaus/unicef-seleciona-100-jovens-para-criarem-soluc-es-destinadas-a-refugiados-e-migrantes-1.28704", "URL")</f>
        <v/>
      </c>
      <c r="Q837">
        <f>HYPERLINK("https://raw.githubusercontent.com/marcosmapl/dataset_imigrantes/main/materias_filtered/a_critica/venezuelanos/2020/10_nov/html/1.28704_1269.html", "HTML")</f>
        <v/>
      </c>
      <c r="R837">
        <f>HYPERLINK("https://raw.githubusercontent.com/marcosmapl/dataset_imigrantes/main/materias_filtered/a_critica/venezuelanos/2020/10_nov/txt/1.28704_1269.txt", "TXT")</f>
        <v/>
      </c>
    </row>
    <row r="838">
      <c r="A838" s="1" t="n">
        <v>836</v>
      </c>
      <c r="B838" t="n">
        <v>2020</v>
      </c>
      <c r="C838" s="2" t="n">
        <v>44144.62222222222</v>
      </c>
      <c r="D838" t="inlineStr">
        <is>
          <t>A CRITICA</t>
        </is>
      </c>
      <c r="E838" t="inlineStr">
        <is>
          <t>VENEZUELANOS</t>
        </is>
      </c>
      <c r="F838" t="inlineStr">
        <is>
          <t>MANAUS</t>
        </is>
      </c>
      <c r="G838" t="inlineStr">
        <is>
          <t>LUCAS VASCONCELOS</t>
        </is>
      </c>
      <c r="H838" t="inlineStr">
        <is>
          <t>PROJETO DA UFAM LEVA AULAS DE PORTUGUÊS PARA CRIANÇAS VENEZUELANAS EM MANAUS</t>
        </is>
      </c>
      <c r="I838" t="inlineStr">
        <is>
          <t>AS CRIANÇAS PARTICIPAM DAS AULAS DE FORMA VIRTUAL, COM TABLETS E AUXÍLIO DE MONITORES DIRETO DOS ABRIGOS LOCALIZADOS NO BAIRRO TARUMÃ E NO CENTRO DE MANAUS</t>
        </is>
      </c>
      <c r="J838" t="inlineStr"/>
      <c r="K838" t="n">
        <v>0</v>
      </c>
      <c r="L838" t="n">
        <v>1</v>
      </c>
      <c r="M838" t="n">
        <v>0</v>
      </c>
      <c r="N838" t="n">
        <v>0</v>
      </c>
      <c r="O838" t="n">
        <v>0</v>
      </c>
      <c r="P838">
        <f>HYPERLINK("https://www.acritica.com/manaus/projeto-da-ufam-leva-aulas-de-portugues-para-criancas-venezuelanas-em-manaus-1.29810", "URL")</f>
        <v/>
      </c>
      <c r="Q838">
        <f>HYPERLINK("https://raw.githubusercontent.com/marcosmapl/dataset_imigrantes/main/materias_filtered/a_critica/venezuelanos/2020/10_nov/html/1.29810_1183.html", "HTML")</f>
        <v/>
      </c>
      <c r="R838">
        <f>HYPERLINK("https://raw.githubusercontent.com/marcosmapl/dataset_imigrantes/main/materias_filtered/a_critica/venezuelanos/2020/10_nov/txt/1.29810_1183.txt", "TXT")</f>
        <v/>
      </c>
    </row>
    <row r="839">
      <c r="A839" s="1" t="n">
        <v>837</v>
      </c>
      <c r="B839" t="n">
        <v>2020</v>
      </c>
      <c r="C839" s="2" t="n">
        <v>44142.88882016204</v>
      </c>
      <c r="D839" t="inlineStr">
        <is>
          <t>G1</t>
        </is>
      </c>
      <c r="E839" t="inlineStr">
        <is>
          <t>VENEZUELANOS</t>
        </is>
      </c>
      <c r="F839" t="inlineStr">
        <is>
          <t>AMAZONAS</t>
        </is>
      </c>
      <c r="G839" t="inlineStr">
        <is>
          <t>REBECA BEATRIZ, G1 AM</t>
        </is>
      </c>
      <c r="H839" t="inlineStr">
        <is>
          <t>SUSPEITO PRESO DIZ QUE MATOU VENEZUELANA APÓS VÍTIMA REAGIR A ASSALTO EM MANAUS</t>
        </is>
      </c>
      <c r="I839" t="inlineStr">
        <is>
          <t>SEGUNDO A POLÍCIA, HOMEM TERIA INVADIDO CASA PARA ROUBAR, MAS MULHER RESISTIU E FOI MORTA. ELE CONFESSOU O CRIME NESTE SÁBADO.</t>
        </is>
      </c>
      <c r="J839" t="inlineStr"/>
      <c r="K839" t="n">
        <v>0</v>
      </c>
      <c r="L839" t="n">
        <v>1</v>
      </c>
      <c r="M839" t="n">
        <v>0</v>
      </c>
      <c r="N839" t="n">
        <v>0</v>
      </c>
      <c r="O839" t="n">
        <v>3</v>
      </c>
      <c r="P839">
        <f>HYPERLINK("https://g1.globo.com/am/amazonas/noticia/2020/11/07/suspeito-preso-diz-que-matou-venezuelana-apos-vitima-reagir-a-assalto-em-manaus.ghtml", "URL")</f>
        <v/>
      </c>
      <c r="Q839">
        <f>HYPERLINK("https://raw.githubusercontent.com/marcosmapl/dataset_imigrantes/main/materias_filtered/g1/venezuelanos/2020/10_nov/html/g1_9c64c9fa-230a-11ed-b24f-6dbe51e79fca_2515.html", "HTML")</f>
        <v/>
      </c>
      <c r="R839">
        <f>HYPERLINK("https://raw.githubusercontent.com/marcosmapl/dataset_imigrantes/main/materias_filtered/g1/venezuelanos/2020/10_nov/txt/g1_9c64c9fa-230a-11ed-b24f-6dbe51e79fca_2515.txt", "TXT")</f>
        <v/>
      </c>
    </row>
    <row r="840">
      <c r="A840" s="1" t="n">
        <v>838</v>
      </c>
      <c r="B840" t="n">
        <v>2020</v>
      </c>
      <c r="C840" s="2" t="n">
        <v>44142.67361111111</v>
      </c>
      <c r="D840" t="inlineStr">
        <is>
          <t>A CRITICA</t>
        </is>
      </c>
      <c r="E840" t="inlineStr">
        <is>
          <t>VENEZUELANOS</t>
        </is>
      </c>
      <c r="F840" t="inlineStr">
        <is>
          <t>POLICIA</t>
        </is>
      </c>
      <c r="G840" t="inlineStr">
        <is>
          <t>JOSEMAR ANTUNES</t>
        </is>
      </c>
      <c r="H840" t="inlineStr">
        <is>
          <t>EM ACAREAÇÃO, HOMEM CONFESSOU QUE MATOU VENEZUELANA PARA ROUBAR</t>
        </is>
      </c>
      <c r="I840" t="inlineStr">
        <is>
          <t>ELE A MATOU COM SETE FACADAS</t>
        </is>
      </c>
      <c r="J840" t="inlineStr"/>
      <c r="K840" t="n">
        <v>0</v>
      </c>
      <c r="L840" t="n">
        <v>1</v>
      </c>
      <c r="M840" t="n">
        <v>0</v>
      </c>
      <c r="N840" t="n">
        <v>0</v>
      </c>
      <c r="O840" t="n">
        <v>0</v>
      </c>
      <c r="P840">
        <f>HYPERLINK("https://www.acritica.com/policia/em-acareac-o-homem-confessou-que-matou-venezuelana-para-roubar-1.29857", "URL")</f>
        <v/>
      </c>
      <c r="Q840">
        <f>HYPERLINK("https://raw.githubusercontent.com/marcosmapl/dataset_imigrantes/main/materias_filtered/a_critica/venezuelanos/2020/10_nov/html/1.29857_1002.html", "HTML")</f>
        <v/>
      </c>
      <c r="R840">
        <f>HYPERLINK("https://raw.githubusercontent.com/marcosmapl/dataset_imigrantes/main/materias_filtered/a_critica/venezuelanos/2020/10_nov/txt/1.29857_1002.txt", "TXT")</f>
        <v/>
      </c>
    </row>
    <row r="841">
      <c r="A841" s="1" t="n">
        <v>839</v>
      </c>
      <c r="B841" t="n">
        <v>2020</v>
      </c>
      <c r="C841" s="2" t="n">
        <v>44141.94015981482</v>
      </c>
      <c r="D841" t="inlineStr">
        <is>
          <t>G1</t>
        </is>
      </c>
      <c r="E841" t="inlineStr">
        <is>
          <t>VENEZUELANOS</t>
        </is>
      </c>
      <c r="F841" t="inlineStr">
        <is>
          <t>AMAZONAS</t>
        </is>
      </c>
      <c r="G841" t="inlineStr">
        <is>
          <t>REBECA BEATRIZ, G1 AM</t>
        </is>
      </c>
      <c r="H841" t="inlineStr">
        <is>
          <t>SUSPEITO DE MATAR VENEZUELANA A FACADAS DENTRO DE CASA É PRESO EM MANAUS</t>
        </is>
      </c>
      <c r="I841" t="inlineStr">
        <is>
          <t>HOMEM SE APRESENTOU À POLÍCIA AO LADO DE ADVOGADO, MAS NÃO CONFESSOU CRIME. VÍTIMA FOI ASSASSINADA NO DOMINGO (1º).</t>
        </is>
      </c>
      <c r="J841" t="inlineStr"/>
      <c r="K841" t="n">
        <v>0</v>
      </c>
      <c r="L841" t="n">
        <v>1</v>
      </c>
      <c r="M841" t="n">
        <v>0</v>
      </c>
      <c r="N841" t="n">
        <v>0</v>
      </c>
      <c r="O841" t="n">
        <v>2</v>
      </c>
      <c r="P841">
        <f>HYPERLINK("https://g1.globo.com/am/amazonas/noticia/2020/11/06/suspeito-de-matar-venezuelana-a-facadas-dentro-de-casa-e-preso-em-manaus.ghtml", "URL")</f>
        <v/>
      </c>
      <c r="Q841">
        <f>HYPERLINK("https://raw.githubusercontent.com/marcosmapl/dataset_imigrantes/main/materias_filtered/g1/venezuelanos/2020/10_nov/html/g1_762d5c74-2306-11ed-b24f-6dbe51e79fca_2260.html", "HTML")</f>
        <v/>
      </c>
      <c r="R841">
        <f>HYPERLINK("https://raw.githubusercontent.com/marcosmapl/dataset_imigrantes/main/materias_filtered/g1/venezuelanos/2020/10_nov/txt/g1_762d5c74-2306-11ed-b24f-6dbe51e79fca_2260.txt", "TXT")</f>
        <v/>
      </c>
    </row>
    <row r="842">
      <c r="A842" s="1" t="n">
        <v>840</v>
      </c>
      <c r="B842" t="n">
        <v>2020</v>
      </c>
      <c r="C842" s="2" t="n">
        <v>44141.87708333333</v>
      </c>
      <c r="D842" t="inlineStr">
        <is>
          <t>A CRITICA</t>
        </is>
      </c>
      <c r="E842" t="inlineStr">
        <is>
          <t>VENEZUELANOS</t>
        </is>
      </c>
      <c r="F842" t="inlineStr">
        <is>
          <t>POLICIA</t>
        </is>
      </c>
      <c r="G842" t="inlineStr">
        <is>
          <t>JOSEMAR ANTUNES</t>
        </is>
      </c>
      <c r="H842" t="inlineStr">
        <is>
          <t>SUSPEITO DE MATAR MULHER COM SETE FACADAS SE ENTREGA À POLÍCIA</t>
        </is>
      </c>
      <c r="I842" t="inlineStr">
        <is>
          <t>FRANYERLIS PASTORA ESCOBAR ALMÃO, 25, FOI MORTA COM SETE FACADAS DENTRO DE CASA, NA MANHÃ DO ÚLTIMO DOMINGO (1°), NA RUA JURUTI, NO BAIRRO ALVORADA, NA ZONA CENTRO-OESTE DE MANAUS</t>
        </is>
      </c>
      <c r="J842" t="inlineStr"/>
      <c r="K842" t="n">
        <v>0</v>
      </c>
      <c r="L842" t="n">
        <v>1</v>
      </c>
      <c r="M842" t="n">
        <v>0</v>
      </c>
      <c r="N842" t="n">
        <v>0</v>
      </c>
      <c r="O842" t="n">
        <v>0</v>
      </c>
      <c r="P842">
        <f>HYPERLINK("https://www.acritica.com/policia/suspeito-de-matar-mulher-com-sete-facadas-se-entrega-a-policia-1.28776", "URL")</f>
        <v/>
      </c>
      <c r="Q842">
        <f>HYPERLINK("https://raw.githubusercontent.com/marcosmapl/dataset_imigrantes/main/materias_filtered/a_critica/venezuelanos/2020/10_nov/html/1.28776_70.html", "HTML")</f>
        <v/>
      </c>
      <c r="R842">
        <f>HYPERLINK("https://raw.githubusercontent.com/marcosmapl/dataset_imigrantes/main/materias_filtered/a_critica/venezuelanos/2020/10_nov/txt/1.28776_70.txt", "TXT")</f>
        <v/>
      </c>
    </row>
    <row r="843">
      <c r="A843" s="1" t="n">
        <v>841</v>
      </c>
      <c r="B843" t="n">
        <v>2020</v>
      </c>
      <c r="C843" s="2" t="n">
        <v>44141.82570946759</v>
      </c>
      <c r="D843" t="inlineStr">
        <is>
          <t>G1</t>
        </is>
      </c>
      <c r="E843" t="inlineStr">
        <is>
          <t>HAITIANOS</t>
        </is>
      </c>
      <c r="F843" t="inlineStr">
        <is>
          <t>RIO GRANDE DO SUL</t>
        </is>
      </c>
      <c r="G843" t="inlineStr">
        <is>
          <t>G1 RS</t>
        </is>
      </c>
      <c r="H843" t="inlineStr">
        <is>
          <t>HAITIANA É PRESA POR SUSPEITA DE MATAR ENTEADO EM CANOAS</t>
        </is>
      </c>
      <c r="I843" t="inlineStr">
        <is>
          <t>CRIANÇA DE 1 ANO E MEIO FOI HOSPITALIZADO COM FERIMENTOS. SEGUNDO DELEGADO, VIZINHOS E FILHA DA SUSPEITA, DE SEIS ANOS, RELATARAM TER PRESENCIADO O ESPANCAMENTO.</t>
        </is>
      </c>
      <c r="J843" t="inlineStr"/>
      <c r="K843" t="n">
        <v>0</v>
      </c>
      <c r="L843" t="n">
        <v>3</v>
      </c>
      <c r="M843" t="n">
        <v>0</v>
      </c>
      <c r="N843" t="n">
        <v>0</v>
      </c>
      <c r="O843" t="n">
        <v>1</v>
      </c>
      <c r="P843">
        <f>HYPERLINK("https://g1.globo.com/rs/rio-grande-do-sul/noticia/2020/11/06/haitiana-e-presa-por-suspeita-de-matar-enteado-em-canoas.ghtml", "URL")</f>
        <v/>
      </c>
      <c r="Q843">
        <f>HYPERLINK("https://raw.githubusercontent.com/marcosmapl/dataset_imigrantes/main/materias_filtered/g1/haitianos/2020/10_nov/html/g1_a7ca9ca0-2311-11ed-b24f-6dbe51e79fca_2928.html", "HTML")</f>
        <v/>
      </c>
      <c r="R843">
        <f>HYPERLINK("https://raw.githubusercontent.com/marcosmapl/dataset_imigrantes/main/materias_filtered/g1/haitianos/2020/10_nov/txt/g1_a7ca9ca0-2311-11ed-b24f-6dbe51e79fca_2928.txt", "TXT")</f>
        <v/>
      </c>
    </row>
    <row r="844">
      <c r="A844" s="1" t="n">
        <v>842</v>
      </c>
      <c r="B844" t="n">
        <v>2020</v>
      </c>
      <c r="C844" s="2" t="n">
        <v>44139.85347222222</v>
      </c>
      <c r="D844" t="inlineStr">
        <is>
          <t>A CRITICA</t>
        </is>
      </c>
      <c r="E844" t="inlineStr">
        <is>
          <t>VENEZUELANOS</t>
        </is>
      </c>
      <c r="F844" t="inlineStr"/>
      <c r="G844" t="inlineStr">
        <is>
          <t>PORTAL A CRÍTICA</t>
        </is>
      </c>
      <c r="H844" t="inlineStr">
        <is>
          <t>MINISTÉRIO DA ECONOMIA ABSOLVE DILMA ROUSSEFF EM CASO DA PETROBRAS</t>
        </is>
      </c>
      <c r="I844" t="inlineStr">
        <is>
          <t>ALÉM DISSO, A CVM RECONHECEU A PRESCRIÇÃO DAS ACUSAÇÕES CONTRA A PETISTA EM PROCESSO SOBRE COMPLEXO PETROQUÍMICO DO RIO DE JANEIRO (COMPERJ)</t>
        </is>
      </c>
      <c r="J844" t="inlineStr"/>
      <c r="K844" t="n">
        <v>0</v>
      </c>
      <c r="L844" t="n">
        <v>1</v>
      </c>
      <c r="M844" t="n">
        <v>0</v>
      </c>
      <c r="N844" t="n">
        <v>0</v>
      </c>
      <c r="O844" t="n">
        <v>0</v>
      </c>
      <c r="P844">
        <f>HYPERLINK("https://www.acritica.com/ministerio-da-economia-absolve-dilma-rousseff-em-caso-da-petrobras-1.30041", "URL")</f>
        <v/>
      </c>
      <c r="Q844">
        <f>HYPERLINK("https://raw.githubusercontent.com/marcosmapl/dataset_imigrantes/main/materias_filtered/a_critica/venezuelanos/2020/10_nov/html/1.30041_1086.html", "HTML")</f>
        <v/>
      </c>
      <c r="R844">
        <f>HYPERLINK("https://raw.githubusercontent.com/marcosmapl/dataset_imigrantes/main/materias_filtered/a_critica/venezuelanos/2020/10_nov/txt/1.30041_1086.txt", "TXT")</f>
        <v/>
      </c>
    </row>
    <row r="845">
      <c r="A845" s="1" t="n">
        <v>843</v>
      </c>
      <c r="B845" t="n">
        <v>2020</v>
      </c>
      <c r="C845" s="2" t="n">
        <v>44139.82797453704</v>
      </c>
      <c r="D845" t="inlineStr">
        <is>
          <t>A CRITICA</t>
        </is>
      </c>
      <c r="E845" t="inlineStr">
        <is>
          <t>VENEZUELANOS</t>
        </is>
      </c>
      <c r="F845" t="inlineStr"/>
      <c r="G845" t="inlineStr">
        <is>
          <t>PORTAL A CRÍTICA</t>
        </is>
      </c>
      <c r="H845" t="inlineStr">
        <is>
          <t>UNICEF REALIZA PROJETO DE CIDADANIA COM CRIANÇAS VENEZUELANAS EM MANAUS</t>
        </is>
      </c>
      <c r="I845" t="inlineStr">
        <is>
          <t>A INICIATIVA OFERECE AULAS VIRTUAIS A CRIANÇAS E ADOLESCENTES MIGRANTES E REFUGIADOS, EM MANAUS, COM OBJETIVO DE APROXIMÁ-LOS DA LÍNGUA PORTUGUESA E DA CULTURA BRASILEIRA E VENEZUELANA, COMO AINDA INFORMÁ-LOS SOBRE A PREVENÇÃO À COVID-19</t>
        </is>
      </c>
      <c r="J845" t="inlineStr"/>
      <c r="K845" t="n">
        <v>0</v>
      </c>
      <c r="L845" t="n">
        <v>1</v>
      </c>
      <c r="M845" t="n">
        <v>0</v>
      </c>
      <c r="N845" t="n">
        <v>0</v>
      </c>
      <c r="O845" t="n">
        <v>0</v>
      </c>
      <c r="P845">
        <f>HYPERLINK("https://www.acritica.com/unicef-realiza-projeto-de-cidadania-com-criancas-venezuelanas-em-manaus-1.30043", "URL")</f>
        <v/>
      </c>
      <c r="Q845">
        <f>HYPERLINK("https://raw.githubusercontent.com/marcosmapl/dataset_imigrantes/main/materias_filtered/a_critica/venezuelanos/2020/10_nov/html/1.30043_923.html", "HTML")</f>
        <v/>
      </c>
      <c r="R845">
        <f>HYPERLINK("https://raw.githubusercontent.com/marcosmapl/dataset_imigrantes/main/materias_filtered/a_critica/venezuelanos/2020/10_nov/txt/1.30043_923.txt", "TXT")</f>
        <v/>
      </c>
    </row>
    <row r="846">
      <c r="A846" s="1" t="n">
        <v>844</v>
      </c>
      <c r="B846" t="n">
        <v>2020</v>
      </c>
      <c r="C846" s="2" t="n">
        <v>44139.625</v>
      </c>
      <c r="D846" t="inlineStr">
        <is>
          <t>PORTAL AMAZONIA</t>
        </is>
      </c>
      <c r="E846" t="inlineStr">
        <is>
          <t>VENEZUELANOS</t>
        </is>
      </c>
      <c r="F846" t="inlineStr">
        <is>
          <t>AMAZONAS,NOTÍCIAS,CIDADANIA,CIDADES</t>
        </is>
      </c>
      <c r="G846" t="inlineStr">
        <is>
          <t>REDAÇÃO - JORNALISMO@PORTALAMAZONIA.COM</t>
        </is>
      </c>
      <c r="H846" t="inlineStr">
        <is>
          <t>ONG EM MANAUS ESTÁ COM VAGAS ABERTAS PARA CURSOS DE CAPACITAÇÃO GRATUITOS PARA VENEZUELANOS</t>
        </is>
      </c>
      <c r="I846" t="inlineStr">
        <is>
          <t>INICIATIVA É VOLTADA PARA IMIGRANTES VENEZUELANOS RESIDENTES EM MANAUS. ENTRE OS CURSOS OFERECIDOS, ESTÃO DESIGN DE SOBRANCELHA, MAQUIAGEM PARA FESTAS, UNHAS ARTÍSTICAS E PORTUGUÊS PARA ESTRANGEIROS.</t>
        </is>
      </c>
      <c r="J846" t="inlineStr">
        <is>
          <t>AMAZONAS, CIDADANIA, CIDADES, CURSO GRATUITO DE PORTUGUES, NOTÍCIAS, ONG HERMANITOS, SENAC, SENAC AM, SENAC AMAZONAS, VENEZUELANAS CURSOS, VENEZUELANOS</t>
        </is>
      </c>
      <c r="K846" t="n">
        <v>11</v>
      </c>
      <c r="L846" t="n">
        <v>1</v>
      </c>
      <c r="M846" t="n">
        <v>0</v>
      </c>
      <c r="N846" t="n">
        <v>0</v>
      </c>
      <c r="O846" t="n">
        <v>19</v>
      </c>
      <c r="P846">
        <f>HYPERLINK("https://portalamazonia.com/noticias/cidadania/ong-em-manuas-esta-com-vagas-abertas-para-cursos-de-capacitacao-gratuitos-para-venezuelanos", "URL")</f>
        <v/>
      </c>
      <c r="Q846">
        <f>HYPERLINK("https://raw.githubusercontent.com/marcosmapl/dataset_imigrantes/main/materias_filtered/portal_amazonia/venezuelanos/2020/10_nov/html/29128.62509_1582.html", "HTML")</f>
        <v/>
      </c>
      <c r="R846">
        <f>HYPERLINK("https://raw.githubusercontent.com/marcosmapl/dataset_imigrantes/main/materias_filtered/portal_amazonia/venezuelanos/2020/10_nov/txt/29128.62509_1582.txt", "TXT")</f>
        <v/>
      </c>
    </row>
    <row r="847">
      <c r="A847" s="1" t="n">
        <v>845</v>
      </c>
      <c r="B847" t="n">
        <v>2020</v>
      </c>
      <c r="C847" s="2" t="n">
        <v>44139.51394887731</v>
      </c>
      <c r="D847" t="inlineStr">
        <is>
          <t>G1</t>
        </is>
      </c>
      <c r="E847" t="inlineStr">
        <is>
          <t>HAITIANOS</t>
        </is>
      </c>
      <c r="F847" t="inlineStr">
        <is>
          <t>SOROCABA E JUNDIAÍ</t>
        </is>
      </c>
      <c r="G847" t="inlineStr">
        <is>
          <t>WILSON GONÇALVES JR., TV TEM</t>
        </is>
      </c>
      <c r="H847" t="inlineStr">
        <is>
          <t>COM 70% DA POPULAÇÃO NA MISÉRIA, MULHERES HAITIANAS TENTAM NOVA VIDA NO BRASIL</t>
        </is>
      </c>
      <c r="I847" t="inlineStr">
        <is>
          <t>EM SOROCABA (SP), HÁ QUASE 200 FAMÍLIAS, QUE, COM MUITO TRABALHO, ESTÃO RESGATANDO A PRÓPRIA DIGNIDADE. WISELANDE MONDESTIN E OUTRAS 10 HAITIANAS TRABALHAM NA COOPERATIVA DE RECICLAGEM DE SOROCABA (CORESO).</t>
        </is>
      </c>
      <c r="J847" t="inlineStr"/>
      <c r="K847" t="n">
        <v>0</v>
      </c>
      <c r="L847" t="n">
        <v>3</v>
      </c>
      <c r="M847" t="n">
        <v>1</v>
      </c>
      <c r="N847" t="n">
        <v>0</v>
      </c>
      <c r="O847" t="n">
        <v>1</v>
      </c>
      <c r="P847">
        <f>HYPERLINK("https://g1.globo.com/sp/sorocaba-jundiai/noticia/2020/11/04/com-70percent-da-populacao-na-miseria-mulheres-haitianas-tentam-nova-vida-no-brasil.ghtml", "URL")</f>
        <v/>
      </c>
      <c r="Q847">
        <f>HYPERLINK("https://raw.githubusercontent.com/marcosmapl/dataset_imigrantes/main/materias_filtered/g1/haitianos/2020/10_nov/html/g1_e26dfdf6-2312-11ed-b24f-6dbe51e79fca_2981.html", "HTML")</f>
        <v/>
      </c>
      <c r="R847">
        <f>HYPERLINK("https://raw.githubusercontent.com/marcosmapl/dataset_imigrantes/main/materias_filtered/g1/haitianos/2020/10_nov/txt/g1_e26dfdf6-2312-11ed-b24f-6dbe51e79fca_2981.txt", "TXT")</f>
        <v/>
      </c>
    </row>
    <row r="848">
      <c r="A848" s="1" t="n">
        <v>846</v>
      </c>
      <c r="B848" t="n">
        <v>2020</v>
      </c>
      <c r="C848" s="2" t="n">
        <v>44138.60839984954</v>
      </c>
      <c r="D848" t="inlineStr">
        <is>
          <t>G1</t>
        </is>
      </c>
      <c r="E848" t="inlineStr">
        <is>
          <t>VENEZUELANOS</t>
        </is>
      </c>
      <c r="F848" t="inlineStr">
        <is>
          <t>RORAIMA</t>
        </is>
      </c>
      <c r="G848" t="inlineStr">
        <is>
          <t>G1 RR — BOA VISTA</t>
        </is>
      </c>
      <c r="H848" t="inlineStr">
        <is>
          <t>OPERAÇÃO ACOLHIDA TRANSFERE 300 IMIGRANTES VENEZUELANOS PARA NOVO ABRIGO EM BOA VISTA</t>
        </is>
      </c>
      <c r="I848" t="inlineStr">
        <is>
          <t>ESPAÇO TEM CAPACIDADE PARA 850 PESSOAS, SEGUNDO A ACOLHIDA. O NOVO ABRIGO FICA NO MESMO TERRENO DO HOSPITAL DE CAMPANHA, INAUGURADO EM JUNHO DESTE ANO PARA RECEBER CASOS DA COVID-19 EM RORAIMA.</t>
        </is>
      </c>
      <c r="J848" t="inlineStr"/>
      <c r="K848" t="n">
        <v>0</v>
      </c>
      <c r="L848" t="n">
        <v>2</v>
      </c>
      <c r="M848" t="n">
        <v>0</v>
      </c>
      <c r="N848" t="n">
        <v>0</v>
      </c>
      <c r="O848" t="n">
        <v>2</v>
      </c>
      <c r="P848">
        <f>HYPERLINK("https://g1.globo.com/rr/roraima/noticia/2020/11/03/operacao-acolhida-transfere-300-imigrantes-venezuelanos-para-novo-abrigo-em-boa-vista.ghtml", "URL")</f>
        <v/>
      </c>
      <c r="Q848">
        <f>HYPERLINK("https://raw.githubusercontent.com/marcosmapl/dataset_imigrantes/main/materias_filtered/g1/venezuelanos/2020/10_nov/html/g1_addeb4c2-2308-11ed-b24f-6dbe51e79fca_2397.html", "HTML")</f>
        <v/>
      </c>
      <c r="R848">
        <f>HYPERLINK("https://raw.githubusercontent.com/marcosmapl/dataset_imigrantes/main/materias_filtered/g1/venezuelanos/2020/10_nov/txt/g1_addeb4c2-2308-11ed-b24f-6dbe51e79fca_2397.txt", "TXT")</f>
        <v/>
      </c>
    </row>
    <row r="849">
      <c r="A849" s="1" t="n">
        <v>847</v>
      </c>
      <c r="B849" t="n">
        <v>2020</v>
      </c>
      <c r="C849" s="2" t="n">
        <v>44138.37083333333</v>
      </c>
      <c r="D849" t="inlineStr">
        <is>
          <t>PORTAL AMAZONIA</t>
        </is>
      </c>
      <c r="E849" t="inlineStr">
        <is>
          <t>VENEZUELANOS</t>
        </is>
      </c>
      <c r="F849" t="inlineStr">
        <is>
          <t>CULTURA,ARTE,TURISMO,RORAIMA,NOTÍCIAS</t>
        </is>
      </c>
      <c r="G849" t="inlineStr">
        <is>
          <t>PORTAL AMAZÔNIA, COM INFORMAÇÕES DA AGÊNCIA ONU ACNUR</t>
        </is>
      </c>
      <c r="H849" t="inlineStr">
        <is>
          <t>ESPAÇO PARA VENDA DE ARTESANATO DE INDÍGENAS VENEZUELANOS É INAUGURADO EM BOA VISTA</t>
        </is>
      </c>
      <c r="I849" t="inlineStr">
        <is>
          <t>RECURSOS OBTIDOS COM A VENDA SERÃO REVERTIDOS PARA A POPULAÇÃO INDÍGENA ABRIGADA PELA OPERAÇÃO ACOLHIDA EM RORAIMA.</t>
        </is>
      </c>
      <c r="J849" t="inlineStr">
        <is>
          <t>ABRIGO PINTOLÂNDIA, ARTE, ARTESANADO EM BOA VISTA, ARTESANATO INDIGENA, ARTESANATO VENEZUELANO, CENTRO DE ARTESANATO, CENTRO DO ARTESANATO DE BOA VISTA, CULTURA, INDÍGENAS DA ETNIA E'ÑEPA, INDÍGENAS DA ETNIA WARAO, JANAKOIDA, NOTÍCIAS, OPERAÇÃO ACOLHIDA EM RORAIMA, RORAIMA, TURISMO</t>
        </is>
      </c>
      <c r="K849" t="n">
        <v>15</v>
      </c>
      <c r="L849" t="n">
        <v>4</v>
      </c>
      <c r="M849" t="n">
        <v>0</v>
      </c>
      <c r="N849" t="n">
        <v>0</v>
      </c>
      <c r="O849" t="n">
        <v>25</v>
      </c>
      <c r="P849">
        <f>HYPERLINK("https://portalamazonia.com/cultura/arte/espaco-para-venda-de-artesanato-de-indigenas-venezuelanos-e-inaugurado-em-boa-vista-1", "URL")</f>
        <v/>
      </c>
      <c r="Q849">
        <f>HYPERLINK("https://raw.githubusercontent.com/marcosmapl/dataset_imigrantes/main/materias_filtered/portal_amazonia/venezuelanos/2020/10_nov/html/29096.62440_1467.html", "HTML")</f>
        <v/>
      </c>
      <c r="R849">
        <f>HYPERLINK("https://raw.githubusercontent.com/marcosmapl/dataset_imigrantes/main/materias_filtered/portal_amazonia/venezuelanos/2020/10_nov/txt/29096.62440_1467.txt", "TXT")</f>
        <v/>
      </c>
    </row>
    <row r="850">
      <c r="A850" s="1" t="n">
        <v>848</v>
      </c>
      <c r="B850" t="n">
        <v>2020</v>
      </c>
      <c r="C850" s="2" t="n">
        <v>44136.75076474537</v>
      </c>
      <c r="D850" t="inlineStr">
        <is>
          <t>G1</t>
        </is>
      </c>
      <c r="E850" t="inlineStr">
        <is>
          <t>VENEZUELANOS</t>
        </is>
      </c>
      <c r="F850" t="inlineStr">
        <is>
          <t>MUNDO</t>
        </is>
      </c>
      <c r="G850" t="inlineStr">
        <is>
          <t>REUTERS</t>
        </is>
      </c>
      <c r="H850" t="inlineStr">
        <is>
          <t>APESAR DE FRONTEIRAS FECHADAS E PANDEMIA, VENEZUELANOS TENTAM RETORNAR À COLÔMBIA</t>
        </is>
      </c>
      <c r="I850" t="inlineStr">
        <is>
          <t>AUTORIDADES COLOMBIANAS ESTIMAM QUE 100 MIL IMIGRANTES RETORNARAM À VENEZUELA NO INÍCIO DA PANDEMIA. AGORA, CENTENAS DELES CRUZAM ILEGALMENTE A FRONTEIRA DE VOLTA À COLÔMBIA.</t>
        </is>
      </c>
      <c r="J850" t="inlineStr"/>
      <c r="K850" t="n">
        <v>0</v>
      </c>
      <c r="L850" t="n">
        <v>2</v>
      </c>
      <c r="M850" t="n">
        <v>0</v>
      </c>
      <c r="N850" t="n">
        <v>0</v>
      </c>
      <c r="O850" t="n">
        <v>5</v>
      </c>
      <c r="P850">
        <f>HYPERLINK("https://g1.globo.com/mundo/noticia/2020/11/01/apesar-de-fronteiras-fechadas-e-pandemia-venezuelanos-tentam-retornar-a-colombia.ghtml", "URL")</f>
        <v/>
      </c>
      <c r="Q850">
        <f>HYPERLINK("https://raw.githubusercontent.com/marcosmapl/dataset_imigrantes/main/materias_filtered/g1/venezuelanos/2020/10_nov/html/g1_81ea3d4a-232c-11ed-b24f-6dbe51e79fca_4309.html", "HTML")</f>
        <v/>
      </c>
      <c r="R850">
        <f>HYPERLINK("https://raw.githubusercontent.com/marcosmapl/dataset_imigrantes/main/materias_filtered/g1/venezuelanos/2020/10_nov/txt/g1_81ea3d4a-232c-11ed-b24f-6dbe51e79fca_4309.txt", "TXT")</f>
        <v/>
      </c>
    </row>
    <row r="851">
      <c r="A851" s="1" t="n">
        <v>849</v>
      </c>
      <c r="B851" t="n">
        <v>2020</v>
      </c>
      <c r="C851" s="2" t="n">
        <v>44136.58724537037</v>
      </c>
      <c r="D851" t="inlineStr">
        <is>
          <t>A CRITICA</t>
        </is>
      </c>
      <c r="E851" t="inlineStr">
        <is>
          <t>VENEZUELANOS</t>
        </is>
      </c>
      <c r="F851" t="inlineStr">
        <is>
          <t>POLICIA</t>
        </is>
      </c>
      <c r="G851" t="inlineStr">
        <is>
          <t>FILIPE TÁVORA</t>
        </is>
      </c>
      <c r="H851" t="inlineStr">
        <is>
          <t>VENEZUELANA É MORTA A FACADAS EM MANAUS; SUSPEITO É O COMPANHEIRO</t>
        </is>
      </c>
      <c r="I851" t="inlineStr">
        <is>
          <t>FRANYERLIS PASTOR ESCOBAR, 25, FOI MORTA COM DUAS FACADAS NA MANHÃ DE HOJE (1º). O CRIME ACONTECEU NO BAIRRO ALVORADA. O COMPANHEIRO DA VÍTIMA, ALFONZO MENDOZA, 39, FOI DETIDO COMO PRINCIPAL SUSPEITO</t>
        </is>
      </c>
      <c r="J851" t="inlineStr"/>
      <c r="K851" t="n">
        <v>0</v>
      </c>
      <c r="L851" t="n">
        <v>1</v>
      </c>
      <c r="M851" t="n">
        <v>0</v>
      </c>
      <c r="N851" t="n">
        <v>0</v>
      </c>
      <c r="O851" t="n">
        <v>0</v>
      </c>
      <c r="P851">
        <f>HYPERLINK("https://www.acritica.com/policia/venezuelana-e-morta-a-facadas-em-manaus-suspeito-e-o-companheiro-1.30313", "URL")</f>
        <v/>
      </c>
      <c r="Q851">
        <f>HYPERLINK("https://raw.githubusercontent.com/marcosmapl/dataset_imigrantes/main/materias_filtered/a_critica/venezuelanos/2020/10_nov/html/1.30313_739.html", "HTML")</f>
        <v/>
      </c>
      <c r="R851">
        <f>HYPERLINK("https://raw.githubusercontent.com/marcosmapl/dataset_imigrantes/main/materias_filtered/a_critica/venezuelanos/2020/10_nov/txt/1.30313_739.txt", "TXT")</f>
        <v/>
      </c>
    </row>
    <row r="852">
      <c r="A852" s="1" t="n">
        <v>850</v>
      </c>
      <c r="B852" t="n">
        <v>2020</v>
      </c>
      <c r="C852" s="2" t="n">
        <v>44134.5625</v>
      </c>
      <c r="D852" t="inlineStr">
        <is>
          <t>PORTAL AMAZONIA</t>
        </is>
      </c>
      <c r="E852" t="inlineStr">
        <is>
          <t>VENEZUELANOS</t>
        </is>
      </c>
      <c r="F852" t="inlineStr">
        <is>
          <t>CULTURA,ARTE,RORAIMA,NOTÍCIAS,CIDADES</t>
        </is>
      </c>
      <c r="G852" t="inlineStr">
        <is>
          <t>PORTAL AMAZÔNIA, COM INFORMAÇÕES DA AGÊNCIA ONU PARA REFUGIADOS</t>
        </is>
      </c>
      <c r="H852" t="inlineStr">
        <is>
          <t>ESPAÇO PARA VENDA DE ARTESANATO DE INDÍGENAS VENEZUELANOS É INAUGURADO EM BOA VISTA</t>
        </is>
      </c>
      <c r="I852" t="inlineStr">
        <is>
          <t>RECURSOS OBTIDOS COM A VENDA SERÃO REVERTIDOS PARA A POPULAÇÃO INDÍGENA ABRIGADA PELA OPERAÇÃO ACOLHIDA EM RORAIMA</t>
        </is>
      </c>
      <c r="J852" t="inlineStr">
        <is>
          <t>ACNUR, ARTE, BOA VISTA, CIDADES, CULTURA, ESPAÇO DE ARTESANATO WARAO E E'ÑEPAA, FEDERAÇÃO HUMANITÁRIA INTERNACIONAL, JANAKOIDA, MIGRANTES, NOTÍCIAS, ONU, ONU AMAZONIA, OPERAÇÃO ACOLHIDA, PACARAIMA, PINTOLÂNDIA, REFUGIADAS, RORAIMA, SINDICATO DE ARTESÃOS DE RORAIMA, VENEZUELA</t>
        </is>
      </c>
      <c r="K852" t="n">
        <v>19</v>
      </c>
      <c r="L852" t="n">
        <v>3</v>
      </c>
      <c r="M852" t="n">
        <v>0</v>
      </c>
      <c r="N852" t="n">
        <v>0</v>
      </c>
      <c r="O852" t="n">
        <v>33</v>
      </c>
      <c r="P852">
        <f>HYPERLINK("https://portalamazonia.com/estados/roraima/espaco-para-venda-de-artesanato-de-indigenas-venezuelanos-e-inaugurado-em-boa-vista", "URL")</f>
        <v/>
      </c>
      <c r="Q852">
        <f>HYPERLINK("https://raw.githubusercontent.com/marcosmapl/dataset_imigrantes/main/materias_filtered/portal_amazonia/venezuelanos/2020/09_out/html/29050.62274_1388.html", "HTML")</f>
        <v/>
      </c>
      <c r="R852">
        <f>HYPERLINK("https://raw.githubusercontent.com/marcosmapl/dataset_imigrantes/main/materias_filtered/portal_amazonia/venezuelanos/2020/09_out/txt/29050.62274_1388.txt", "TXT")</f>
        <v/>
      </c>
    </row>
    <row r="853">
      <c r="A853" s="1" t="n">
        <v>851</v>
      </c>
      <c r="B853" t="n">
        <v>2020</v>
      </c>
      <c r="C853" s="2" t="n">
        <v>44132.7453459838</v>
      </c>
      <c r="D853" t="inlineStr">
        <is>
          <t>G1</t>
        </is>
      </c>
      <c r="E853" t="inlineStr">
        <is>
          <t>VENEZUELANOS</t>
        </is>
      </c>
      <c r="F853" t="inlineStr">
        <is>
          <t>RIO GRANDE DO NORTE</t>
        </is>
      </c>
      <c r="G853" t="inlineStr">
        <is>
          <t>ANNA ALYNE CUNHA, INTER TV CABUGI</t>
        </is>
      </c>
      <c r="H853" t="inlineStr">
        <is>
          <t>OITENTA VENEZUELANOS REFUGIADOS VIVEM EM ABRIGO SEM CHUVEIRO E COM APENAS UM VASO SANITÁRIO EM NATAL</t>
        </is>
      </c>
      <c r="I853" t="inlineStr">
        <is>
          <t>GOVERNO DO RN ANUNCIOU QUE VAI PAGAR ALUGUEL SOCIAL PELOS PRÓXIMOS CINCO MESES PARA REFUGIADOS. 'NÓS NÃO SOMOS ANIMAIS, SOMOS SERES HUMANOS', DIZ UM MORADOR.</t>
        </is>
      </c>
      <c r="J853" t="inlineStr"/>
      <c r="K853" t="n">
        <v>0</v>
      </c>
      <c r="L853" t="n">
        <v>2</v>
      </c>
      <c r="M853" t="n">
        <v>1</v>
      </c>
      <c r="N853" t="n">
        <v>0</v>
      </c>
      <c r="O853" t="n">
        <v>0</v>
      </c>
      <c r="P853">
        <f>HYPERLINK("https://g1.globo.com/rn/rio-grande-do-norte/noticia/2020/10/28/oitenta-venezuelanos-refugiados-vivem-em-abrigo-sem-chuveiro-e-com-apenas-um-vaso-sanitario-em-natal.ghtml", "URL")</f>
        <v/>
      </c>
      <c r="Q853">
        <f>HYPERLINK("https://raw.githubusercontent.com/marcosmapl/dataset_imigrantes/main/materias_filtered/g1/venezuelanos/2020/09_out/html/g1_e4abf0ba-230c-11ed-b24f-6dbe51e79fca_2655.html", "HTML")</f>
        <v/>
      </c>
      <c r="R853">
        <f>HYPERLINK("https://raw.githubusercontent.com/marcosmapl/dataset_imigrantes/main/materias_filtered/g1/venezuelanos/2020/09_out/txt/g1_e4abf0ba-230c-11ed-b24f-6dbe51e79fca_2655.txt", "TXT")</f>
        <v/>
      </c>
    </row>
    <row r="854">
      <c r="A854" s="1" t="n">
        <v>852</v>
      </c>
      <c r="B854" t="n">
        <v>2020</v>
      </c>
      <c r="C854" s="2" t="n">
        <v>44129.91288194444</v>
      </c>
      <c r="D854" t="inlineStr">
        <is>
          <t>A CRITICA</t>
        </is>
      </c>
      <c r="E854" t="inlineStr">
        <is>
          <t>VENEZUELANOS</t>
        </is>
      </c>
      <c r="F854" t="inlineStr">
        <is>
          <t>ESPORTES</t>
        </is>
      </c>
      <c r="G854" t="inlineStr">
        <is>
          <t>PORTAL A CRÍTICA</t>
        </is>
      </c>
      <c r="H854" t="inlineStr">
        <is>
          <t>FULMINANTE,  3B GOLEIA SÃO VALÉRIO-TO POR 10 A 0 E RETOMA PONTA NA SÉRIE A2</t>
        </is>
      </c>
      <c r="I854" t="inlineStr">
        <is>
          <t>NA PARTIDA QUE MARCOU A RETOMADA DO BRASILEIRO DA SÉRIE A2 PARA O TIME AMAZONENSE, TEVE HAT TRICK DE PAULINHA E SHOW DE ASSISTÊNCIAS DA ESTREANTE MAYARA VAZ</t>
        </is>
      </c>
      <c r="J854" t="inlineStr"/>
      <c r="K854" t="n">
        <v>0</v>
      </c>
      <c r="L854" t="n">
        <v>1</v>
      </c>
      <c r="M854" t="n">
        <v>0</v>
      </c>
      <c r="N854" t="n">
        <v>0</v>
      </c>
      <c r="O854" t="n">
        <v>0</v>
      </c>
      <c r="P854">
        <f>HYPERLINK("https://www.acritica.com/esportes/fulminante-3b-goleia-s-o-valerio-to-por-10-a-0-e-retoma-ponta-na-serie-a2-1.30764", "URL")</f>
        <v/>
      </c>
      <c r="Q854">
        <f>HYPERLINK("https://raw.githubusercontent.com/marcosmapl/dataset_imigrantes/main/materias_filtered/a_critica/venezuelanos/2020/09_out/html/1.30764_1036.html", "HTML")</f>
        <v/>
      </c>
      <c r="R854">
        <f>HYPERLINK("https://raw.githubusercontent.com/marcosmapl/dataset_imigrantes/main/materias_filtered/a_critica/venezuelanos/2020/09_out/txt/1.30764_1036.txt", "TXT")</f>
        <v/>
      </c>
    </row>
    <row r="855">
      <c r="A855" s="1" t="n">
        <v>853</v>
      </c>
      <c r="B855" t="n">
        <v>2020</v>
      </c>
      <c r="C855" s="2" t="n">
        <v>44129.73718105324</v>
      </c>
      <c r="D855" t="inlineStr">
        <is>
          <t>G1</t>
        </is>
      </c>
      <c r="E855" t="inlineStr">
        <is>
          <t>VENEZUELANOS</t>
        </is>
      </c>
      <c r="F855" t="inlineStr">
        <is>
          <t>MUNDO</t>
        </is>
      </c>
      <c r="G855" t="inlineStr">
        <is>
          <t>G1</t>
        </is>
      </c>
      <c r="H855" t="inlineStr">
        <is>
          <t>LÍDER DA OPOSIÇÃO VENEZUELANA, LEOPOLDO LÓPEZ CHEGA À ESPANHA APÓS FUGA</t>
        </is>
      </c>
      <c r="I855" t="inlineStr">
        <is>
          <t>A INFORMAÇÃO FOI CONFIRMADA PELO MINISTÉRIO DAS RELAÇÕES EXTERIORES ESPANHOL, EM COMUNICADO. O POLÍTICO FICOU REFUGIADO UM ANO E MEIO NA RESIDÊNCIA DO EMBAIXADOR DA VENEZUELA.</t>
        </is>
      </c>
      <c r="J855" t="inlineStr"/>
      <c r="K855" t="n">
        <v>0</v>
      </c>
      <c r="L855" t="n">
        <v>2</v>
      </c>
      <c r="M855" t="n">
        <v>1</v>
      </c>
      <c r="N855" t="n">
        <v>0</v>
      </c>
      <c r="O855" t="n">
        <v>5</v>
      </c>
      <c r="P855">
        <f>HYPERLINK("https://g1.globo.com/mundo/noticia/2020/10/25/lider-da-oposicao-venezuelana-leopoldo-lopez-chega-a-espanha-apos-fuga.ghtml", "URL")</f>
        <v/>
      </c>
      <c r="Q855">
        <f>HYPERLINK("https://raw.githubusercontent.com/marcosmapl/dataset_imigrantes/main/materias_filtered/g1/venezuelanos/2020/09_out/html/g1_b9d0e8c2-2317-11ed-b24f-6dbe51e79fca_3226.html", "HTML")</f>
        <v/>
      </c>
      <c r="R855">
        <f>HYPERLINK("https://raw.githubusercontent.com/marcosmapl/dataset_imigrantes/main/materias_filtered/g1/venezuelanos/2020/09_out/txt/g1_b9d0e8c2-2317-11ed-b24f-6dbe51e79fca_3226.txt", "TXT")</f>
        <v/>
      </c>
    </row>
    <row r="856">
      <c r="A856" s="1" t="n">
        <v>854</v>
      </c>
      <c r="B856" t="n">
        <v>2020</v>
      </c>
      <c r="C856" s="2" t="n">
        <v>44128.76109508102</v>
      </c>
      <c r="D856" t="inlineStr">
        <is>
          <t>G1</t>
        </is>
      </c>
      <c r="E856" t="inlineStr">
        <is>
          <t>VENEZUELANOS</t>
        </is>
      </c>
      <c r="F856" t="inlineStr">
        <is>
          <t>MUNDO</t>
        </is>
      </c>
      <c r="G856" t="inlineStr">
        <is>
          <t>RFI</t>
        </is>
      </c>
      <c r="H856" t="inlineStr">
        <is>
          <t>MENTOR DE GUAIDÓ, OPOSITOR VENEZUELANO LEOPOLDO LÓPEZ FOGE EM DIREÇÃO À ESPANHA</t>
        </is>
      </c>
      <c r="I856" t="inlineStr">
        <is>
          <t>FONTES INDICAM QUE LEOPOLDO LÓPEZ SE DIRIGE PARA A COLÔMBIA E DE LÁ IRIA PARA A EUROPA.</t>
        </is>
      </c>
      <c r="J856" t="inlineStr"/>
      <c r="K856" t="n">
        <v>0</v>
      </c>
      <c r="L856" t="n">
        <v>3</v>
      </c>
      <c r="M856" t="n">
        <v>2</v>
      </c>
      <c r="N856" t="n">
        <v>0</v>
      </c>
      <c r="O856" t="n">
        <v>1</v>
      </c>
      <c r="P856">
        <f>HYPERLINK("https://g1.globo.com/mundo/noticia/2020/10/24/mentor-de-guaido-opositor-venezuelano-leopoldo-lopez-foge-em-direcao-a-espanha.ghtml", "URL")</f>
        <v/>
      </c>
      <c r="Q856">
        <f>HYPERLINK("https://raw.githubusercontent.com/marcosmapl/dataset_imigrantes/main/materias_filtered/g1/venezuelanos/2020/09_out/html/g1_2492016a-2312-11ed-b24f-6dbe51e79fca_2951.html", "HTML")</f>
        <v/>
      </c>
      <c r="R856">
        <f>HYPERLINK("https://raw.githubusercontent.com/marcosmapl/dataset_imigrantes/main/materias_filtered/g1/venezuelanos/2020/09_out/txt/g1_2492016a-2312-11ed-b24f-6dbe51e79fca_2951.txt", "TXT")</f>
        <v/>
      </c>
    </row>
    <row r="857">
      <c r="A857" s="1" t="n">
        <v>855</v>
      </c>
      <c r="B857" t="n">
        <v>2020</v>
      </c>
      <c r="C857" s="2" t="n">
        <v>44126.38819444444</v>
      </c>
      <c r="D857" t="inlineStr">
        <is>
          <t>PORTAL AMAZONIA</t>
        </is>
      </c>
      <c r="E857" t="inlineStr">
        <is>
          <t>VENEZUELANOS</t>
        </is>
      </c>
      <c r="F857" t="inlineStr">
        <is>
          <t>RORAIMA,NOTÍCIAS,CIDADES</t>
        </is>
      </c>
      <c r="G857" t="inlineStr">
        <is>
          <t>PORTAL AMAZÔNIA, COM INFORMAÇÕES DA RADIOAGÊNCIA NACIONAL</t>
        </is>
      </c>
      <c r="H857" t="inlineStr">
        <is>
          <t>GOVERNO FEDERAL E DE RORAIMA DISCUTEM SITUAÇÃO DE VENEZUELANOS NO PAÍS</t>
        </is>
      </c>
      <c r="I857" t="inlineStr">
        <is>
          <t>RESSARCIMENTO DOS GASTOS NOS ÚLTIMOS ANOS ESTÁ ENTRE OS TEMAS.</t>
        </is>
      </c>
      <c r="J857" t="inlineStr">
        <is>
          <t>CIDADES, NOTÍCIAS, RORAIMA, VENEZUELANOS NO BRASIL</t>
        </is>
      </c>
      <c r="K857" t="n">
        <v>4</v>
      </c>
      <c r="L857" t="n">
        <v>2</v>
      </c>
      <c r="M857" t="n">
        <v>0</v>
      </c>
      <c r="N857" t="n">
        <v>0</v>
      </c>
      <c r="O857" t="n">
        <v>14</v>
      </c>
      <c r="P857">
        <f>HYPERLINK("https://portalamazonia.com/noticias/governo-federal-e-de-roraima-discutem-situacao-de-venezuelanos-no-pais", "URL")</f>
        <v/>
      </c>
      <c r="Q857">
        <f>HYPERLINK("https://raw.githubusercontent.com/marcosmapl/dataset_imigrantes/main/materias_filtered/portal_amazonia/venezuelanos/2020/09_out/html/28914.61724_1592.html", "HTML")</f>
        <v/>
      </c>
      <c r="R857">
        <f>HYPERLINK("https://raw.githubusercontent.com/marcosmapl/dataset_imigrantes/main/materias_filtered/portal_amazonia/venezuelanos/2020/09_out/txt/28914.61724_1592.txt", "TXT")</f>
        <v/>
      </c>
    </row>
    <row r="858">
      <c r="A858" s="1" t="n">
        <v>856</v>
      </c>
      <c r="B858" t="n">
        <v>2020</v>
      </c>
      <c r="C858" s="2" t="n">
        <v>44126.00818287037</v>
      </c>
      <c r="D858" t="inlineStr">
        <is>
          <t>A CRITICA</t>
        </is>
      </c>
      <c r="E858" t="inlineStr">
        <is>
          <t>VENEZUELANOS</t>
        </is>
      </c>
      <c r="F858" t="inlineStr">
        <is>
          <t>POLICIA</t>
        </is>
      </c>
      <c r="G858" t="inlineStr">
        <is>
          <t>JOSEMAR ANTUNES</t>
        </is>
      </c>
      <c r="H858" t="inlineStr">
        <is>
          <t>IDOSO É PRESO POR ESTUPRO APÓS SEQUESTRAR CRIANÇA VENEZUELANA</t>
        </is>
      </c>
      <c r="I858" t="inlineStr">
        <is>
          <t>A MENINA FOI LOCALIZADA COM HEMATOMAS E DORES NAS COSTAS POR UM PRIMO EM VIA PÚBLICA, NO BAIRRO DA GLÓRIA</t>
        </is>
      </c>
      <c r="J858" t="inlineStr"/>
      <c r="K858" t="n">
        <v>0</v>
      </c>
      <c r="L858" t="n">
        <v>1</v>
      </c>
      <c r="M858" t="n">
        <v>0</v>
      </c>
      <c r="N858" t="n">
        <v>0</v>
      </c>
      <c r="O858" t="n">
        <v>0</v>
      </c>
      <c r="P858">
        <f>HYPERLINK("https://www.acritica.com/policia/idoso-e-preso-por-estupro-apos-sequestrar-crianca-venezuelana-1.30844", "URL")</f>
        <v/>
      </c>
      <c r="Q858">
        <f>HYPERLINK("https://raw.githubusercontent.com/marcosmapl/dataset_imigrantes/main/materias_filtered/a_critica/venezuelanos/2020/09_out/html/1.30844_326.html", "HTML")</f>
        <v/>
      </c>
      <c r="R858">
        <f>HYPERLINK("https://raw.githubusercontent.com/marcosmapl/dataset_imigrantes/main/materias_filtered/a_critica/venezuelanos/2020/09_out/txt/1.30844_326.txt", "TXT")</f>
        <v/>
      </c>
    </row>
    <row r="859">
      <c r="A859" s="1" t="n">
        <v>857</v>
      </c>
      <c r="B859" t="n">
        <v>2020</v>
      </c>
      <c r="C859" s="2" t="n">
        <v>44123.84825231481</v>
      </c>
      <c r="D859" t="inlineStr">
        <is>
          <t>A CRITICA</t>
        </is>
      </c>
      <c r="E859" t="inlineStr">
        <is>
          <t>VENEZUELANOS</t>
        </is>
      </c>
      <c r="F859" t="inlineStr">
        <is>
          <t>POLITICA</t>
        </is>
      </c>
      <c r="G859" t="inlineStr">
        <is>
          <t>AGÊNCIA BRASIL</t>
        </is>
      </c>
      <c r="H859" t="inlineStr">
        <is>
          <t>TSE REBATE NOTÍCIAS FALSAS SOBRE URNA DE 2018 QUE VOLTARAM A CIRCULAR</t>
        </is>
      </c>
      <c r="I859" t="inlineStr">
        <is>
          <t>UMA DAS MENSAGENS, QUE CIRCULA EM VÍDEO, DIZ QUE O TSE RECUSOU CONSULTORIA DO INSTITUTO DE TECNOLOGIA DA AERONÁUTICA (ITA) E DO INSTITUTO MILITAR DE ENGENHARIA (IME) PARA O DESENVOLVIMENTO DE UMA URNA ELETRÔNICA CAPAZ DE IMPRIMIR O VOTO</t>
        </is>
      </c>
      <c r="J859" t="inlineStr"/>
      <c r="K859" t="n">
        <v>0</v>
      </c>
      <c r="L859" t="n">
        <v>1</v>
      </c>
      <c r="M859" t="n">
        <v>0</v>
      </c>
      <c r="N859" t="n">
        <v>0</v>
      </c>
      <c r="O859" t="n">
        <v>0</v>
      </c>
      <c r="P859">
        <f>HYPERLINK("https://www.acritica.com/politica/tse-rebate-noticias-falsas-sobre-urna-de-2018-que-voltaram-a-circular-1.32030", "URL")</f>
        <v/>
      </c>
      <c r="Q859">
        <f>HYPERLINK("https://raw.githubusercontent.com/marcosmapl/dataset_imigrantes/main/materias_filtered/a_critica/venezuelanos/2020/09_out/html/1.32030_1082.html", "HTML")</f>
        <v/>
      </c>
      <c r="R859">
        <f>HYPERLINK("https://raw.githubusercontent.com/marcosmapl/dataset_imigrantes/main/materias_filtered/a_critica/venezuelanos/2020/09_out/txt/1.32030_1082.txt", "TXT")</f>
        <v/>
      </c>
    </row>
    <row r="860">
      <c r="A860" s="1" t="n">
        <v>858</v>
      </c>
      <c r="B860" t="n">
        <v>2020</v>
      </c>
      <c r="C860" s="2" t="n">
        <v>44123.77168981481</v>
      </c>
      <c r="D860" t="inlineStr">
        <is>
          <t>A CRITICA</t>
        </is>
      </c>
      <c r="E860" t="inlineStr">
        <is>
          <t>VENEZUELANOS</t>
        </is>
      </c>
      <c r="F860" t="inlineStr">
        <is>
          <t>SAUDE</t>
        </is>
      </c>
      <c r="G860" t="inlineStr">
        <is>
          <t>PORTAL A CRÍTICA</t>
        </is>
      </c>
      <c r="H860" t="inlineStr">
        <is>
          <t>MÉDICOS SEM FRONTEIRAS ENCERRAM AÇÕES DE COMBATE À COVID NO AM</t>
        </is>
      </c>
      <c r="I860" t="inlineStr">
        <is>
          <t>O ENCERRAMENTO, CONFORME EXPLICOU A ORGANIZAÇÃO INTERNACIONAL, ESTÁ RELACIONADO À CURVA EPIDEMIOLÓGICA DA DOENÇA NO ESTADO.</t>
        </is>
      </c>
      <c r="J860" t="inlineStr"/>
      <c r="K860" t="n">
        <v>0</v>
      </c>
      <c r="L860" t="n">
        <v>1</v>
      </c>
      <c r="M860" t="n">
        <v>0</v>
      </c>
      <c r="N860" t="n">
        <v>0</v>
      </c>
      <c r="O860" t="n">
        <v>0</v>
      </c>
      <c r="P860">
        <f>HYPERLINK("https://www.acritica.com/saude/medicos-sem-fronteiras-encerram-ac-es-de-combate-a-covid-no-am-1.32033", "URL")</f>
        <v/>
      </c>
      <c r="Q860">
        <f>HYPERLINK("https://raw.githubusercontent.com/marcosmapl/dataset_imigrantes/main/materias_filtered/a_critica/venezuelanos/2020/09_out/html/1.32033_1332.html", "HTML")</f>
        <v/>
      </c>
      <c r="R860">
        <f>HYPERLINK("https://raw.githubusercontent.com/marcosmapl/dataset_imigrantes/main/materias_filtered/a_critica/venezuelanos/2020/09_out/txt/1.32033_1332.txt", "TXT")</f>
        <v/>
      </c>
    </row>
    <row r="861">
      <c r="A861" s="1" t="n">
        <v>859</v>
      </c>
      <c r="B861" t="n">
        <v>2020</v>
      </c>
      <c r="C861" s="2" t="n">
        <v>44123.72916666666</v>
      </c>
      <c r="D861" t="inlineStr">
        <is>
          <t>PORTAL AMAZONIA</t>
        </is>
      </c>
      <c r="E861" t="inlineStr">
        <is>
          <t>AMBOS</t>
        </is>
      </c>
      <c r="F861" t="inlineStr">
        <is>
          <t>NOTÍCIAS,EDUCAÇÃO,AMAZON SAT</t>
        </is>
      </c>
      <c r="G861" t="inlineStr">
        <is>
          <t>WILLIAM COSTA - WILLIAM.COSTA@PORTALAMAZONIA.COM</t>
        </is>
      </c>
      <c r="H861" t="inlineStr">
        <is>
          <t>PROFESSORA DO AMAZONAS É FINALISTA DO PRÊMIO EDUCADOR NOTA 10; VOTE</t>
        </is>
      </c>
      <c r="I861" t="inlineStr">
        <is>
          <t>LÚCIA CRISTINA É DIRETORA DA ESCOLA MUNICIPAL WALDIR GARCIA E AO MUDAR A METODOLOGIA DE ENSINO E RESSIGNIFICAR O SENTIDO DE EDUCAÇÃO, CHEGOU À NOTA 7,4 NO ÍNDICE DE DESENVOLVIMENTO DA EDUCAÇÃO BÁSICA (IDEB-2019), COMO UMA DAS MELHORES ESCOLAS DE MANAUS.</t>
        </is>
      </c>
      <c r="J861" t="inlineStr">
        <is>
          <t>EDUCAÇÃO, EDUCADOR NOTA 10, EDUCADOR NOTA 10 AMAZONAS, EDUCADOR NOTA DEZ 2020, ESCOLA MUNICIPAL WALDIR GARCIA, LÚCIA CRISTINA CORTEZ, NOTÍCIAS, PREMIO EDUCADOR NOTA DEZ, VÍDEOS, VOTACAO EDUCADOR NOTA 10</t>
        </is>
      </c>
      <c r="K861" t="n">
        <v>10</v>
      </c>
      <c r="L861" t="n">
        <v>3</v>
      </c>
      <c r="M861" t="n">
        <v>2</v>
      </c>
      <c r="N861" t="n">
        <v>0</v>
      </c>
      <c r="O861" t="n">
        <v>19</v>
      </c>
      <c r="P861">
        <f>HYPERLINK("https://portalamazonia.com/noticias/educacao/professora-do-amazonas-e-finalista-do-premio-educador-nota-10-vote", "URL")</f>
        <v/>
      </c>
      <c r="Q861">
        <f>HYPERLINK("https://raw.githubusercontent.com/marcosmapl/dataset_imigrantes/main/materias_filtered/portal_amazonia/ambos/2020/09_out/html/28869.61748_1536.html", "HTML")</f>
        <v/>
      </c>
      <c r="R861">
        <f>HYPERLINK("https://raw.githubusercontent.com/marcosmapl/dataset_imigrantes/main/materias_filtered/portal_amazonia/ambos/2020/09_out/txt/28869.61748_1536.txt", "TXT")</f>
        <v/>
      </c>
    </row>
    <row r="862">
      <c r="A862" s="1" t="n">
        <v>860</v>
      </c>
      <c r="B862" t="n">
        <v>2020</v>
      </c>
      <c r="C862" s="2" t="n">
        <v>44122.64903935185</v>
      </c>
      <c r="D862" t="inlineStr">
        <is>
          <t>A CRITICA</t>
        </is>
      </c>
      <c r="E862" t="inlineStr">
        <is>
          <t>VENEZUELANOS</t>
        </is>
      </c>
      <c r="F862" t="inlineStr">
        <is>
          <t>ESPORTES</t>
        </is>
      </c>
      <c r="G862" t="inlineStr">
        <is>
          <t>AGÊNCIA BRASIL</t>
        </is>
      </c>
      <c r="H862" t="inlineStr">
        <is>
          <t>ENCONTRO DAS NAÇÕES: CORINTHIANS E FLAMENGO SE ENFRENTAM NO ITAQUERÃO</t>
        </is>
      </c>
      <c r="I862" t="inlineStr">
        <is>
          <t>DUELO COM MAIORES TORCIDAS DO PAÍS SERÁ SEM PÚBLICO DEVIDO À PANDEMIA. O JOGO TERÁ TRANSMISSÃO DA REDE GLOBO A PARTIR DAS 15H, HORÁRIO DE MANAUS</t>
        </is>
      </c>
      <c r="J862" t="inlineStr"/>
      <c r="K862" t="n">
        <v>0</v>
      </c>
      <c r="L862" t="n">
        <v>1</v>
      </c>
      <c r="M862" t="n">
        <v>0</v>
      </c>
      <c r="N862" t="n">
        <v>0</v>
      </c>
      <c r="O862" t="n">
        <v>0</v>
      </c>
      <c r="P862">
        <f>HYPERLINK("https://www.acritica.com/esportes/encontro-das-nac-es-corinthians-e-flamengo-se-enfrentam-no-itaquer-o-1.30955", "URL")</f>
        <v/>
      </c>
      <c r="Q862">
        <f>HYPERLINK("https://raw.githubusercontent.com/marcosmapl/dataset_imigrantes/main/materias_filtered/a_critica/venezuelanos/2020/09_out/html/1.30955_1259.html", "HTML")</f>
        <v/>
      </c>
      <c r="R862">
        <f>HYPERLINK("https://raw.githubusercontent.com/marcosmapl/dataset_imigrantes/main/materias_filtered/a_critica/venezuelanos/2020/09_out/txt/1.30955_1259.txt", "TXT")</f>
        <v/>
      </c>
    </row>
    <row r="863">
      <c r="A863" s="1" t="n">
        <v>861</v>
      </c>
      <c r="B863" t="n">
        <v>2020</v>
      </c>
      <c r="C863" s="2" t="n">
        <v>44120.52993530092</v>
      </c>
      <c r="D863" t="inlineStr">
        <is>
          <t>G1</t>
        </is>
      </c>
      <c r="E863" t="inlineStr">
        <is>
          <t>VENEZUELANOS</t>
        </is>
      </c>
      <c r="F863" t="inlineStr">
        <is>
          <t>CARUARU E REGIÃO</t>
        </is>
      </c>
      <c r="G863" t="inlineStr">
        <is>
          <t>DIOGO FRANCO, TV ASA BRANCA</t>
        </is>
      </c>
      <c r="H863" t="inlineStr">
        <is>
          <t>VENEZUELANOS PEDEM COMIDA E REMÉDIOS HÁ UMA SEMANA NAS RUAS DE GARANHUNS</t>
        </is>
      </c>
      <c r="I863" t="inlineStr">
        <is>
          <t>IMIGRANTES VIERAM DO RECIFE E ESTÃO ALOJADOS EM UM HOTEL, UMA POUSADA E UMA CASA. SECRETARIA DE ASSISTÊNCIA SOCIAL E DIREITOS HUMANOS DO MUNICÍPIO DISSE QUE FEZ UM MAPEAMENTO DO GRUPO.</t>
        </is>
      </c>
      <c r="J863" t="inlineStr"/>
      <c r="K863" t="n">
        <v>0</v>
      </c>
      <c r="L863" t="n">
        <v>2</v>
      </c>
      <c r="M863" t="n">
        <v>0</v>
      </c>
      <c r="N863" t="n">
        <v>0</v>
      </c>
      <c r="O863" t="n">
        <v>1</v>
      </c>
      <c r="P863">
        <f>HYPERLINK("https://g1.globo.com/pe/caruaru-regiao/noticia/2020/10/16/venezuelanos-pedem-comida-e-remedios-ha-uma-semana-nas-ruas-de-garanhuns.ghtml", "URL")</f>
        <v/>
      </c>
      <c r="Q863">
        <f>HYPERLINK("https://raw.githubusercontent.com/marcosmapl/dataset_imigrantes/main/materias_filtered/g1/venezuelanos/2020/09_out/html/g1_c2453d24-231b-11ed-b24f-6dbe51e79fca_3405.html", "HTML")</f>
        <v/>
      </c>
      <c r="R863">
        <f>HYPERLINK("https://raw.githubusercontent.com/marcosmapl/dataset_imigrantes/main/materias_filtered/g1/venezuelanos/2020/09_out/txt/g1_c2453d24-231b-11ed-b24f-6dbe51e79fca_3405.txt", "TXT")</f>
        <v/>
      </c>
    </row>
    <row r="864">
      <c r="A864" s="1" t="n">
        <v>862</v>
      </c>
      <c r="B864" t="n">
        <v>2020</v>
      </c>
      <c r="C864" s="2" t="n">
        <v>44119.69027777778</v>
      </c>
      <c r="D864" t="inlineStr">
        <is>
          <t>PORTAL AMAZONIA</t>
        </is>
      </c>
      <c r="E864" t="inlineStr">
        <is>
          <t>VENEZUELANOS</t>
        </is>
      </c>
      <c r="F864" t="inlineStr">
        <is>
          <t>EDUCAÇÃO</t>
        </is>
      </c>
      <c r="G864" t="inlineStr">
        <is>
          <t>REDAÇÃO - JORNALSIMO@PORTALAMAZONIA.COM</t>
        </is>
      </c>
      <c r="H864" t="inlineStr">
        <is>
          <t>CURSOS GRATUITOS PARA IMIGRANTES VENEZUELANOS SÃO OFERECIDOS PELO SENAC AMAZONAS</t>
        </is>
      </c>
      <c r="I864" t="inlineStr">
        <is>
          <t>OS CURSOS INICIAM A PARTIR DA PRÓXIMA SEGUNDA-FEIRA, DIA 19 DE OUTUBRO, COM INSCRIÇÕES GRATUITAS QUE PODEM SER FEITAS POR MEIO DO SITE DO SENAC</t>
        </is>
      </c>
      <c r="J864" t="inlineStr">
        <is>
          <t>CURSOS GRATUITOS, EDUCAÇÃO, SENAC, SENAC AM</t>
        </is>
      </c>
      <c r="K864" t="n">
        <v>4</v>
      </c>
      <c r="L864" t="n">
        <v>1</v>
      </c>
      <c r="M864" t="n">
        <v>0</v>
      </c>
      <c r="N864" t="n">
        <v>0</v>
      </c>
      <c r="O864" t="n">
        <v>9</v>
      </c>
      <c r="P864">
        <f>HYPERLINK("https://portalamazonia.com/noticias/educacao/hermanitos-e-senac-amazonas-oferecem-cursos-gratuitos-para-imigrantes-venezuelanos", "URL")</f>
        <v/>
      </c>
      <c r="Q864">
        <f>HYPERLINK("https://raw.githubusercontent.com/marcosmapl/dataset_imigrantes/main/materias_filtered/portal_amazonia/venezuelanos/2020/09_out/html/28824.61484_1423.html", "HTML")</f>
        <v/>
      </c>
      <c r="R864">
        <f>HYPERLINK("https://raw.githubusercontent.com/marcosmapl/dataset_imigrantes/main/materias_filtered/portal_amazonia/venezuelanos/2020/09_out/txt/28824.61484_1423.txt", "TXT")</f>
        <v/>
      </c>
    </row>
    <row r="865">
      <c r="A865" s="1" t="n">
        <v>863</v>
      </c>
      <c r="B865" t="n">
        <v>2020</v>
      </c>
      <c r="C865" s="2" t="n">
        <v>44118.92743440972</v>
      </c>
      <c r="D865" t="inlineStr">
        <is>
          <t>G1</t>
        </is>
      </c>
      <c r="E865" t="inlineStr">
        <is>
          <t>VENEZUELANOS</t>
        </is>
      </c>
      <c r="F865" t="inlineStr">
        <is>
          <t>RORAIMA</t>
        </is>
      </c>
      <c r="G865" t="inlineStr">
        <is>
          <t>JULIANA DAMA, G1 RR — BOA VISTA</t>
        </is>
      </c>
      <c r="H865" t="inlineStr">
        <is>
          <t>STF DETERMINA QUE UNIÃO REEMBOLSE A RORAIMA METADE DO QUE FOI GASTO COM VENEZUELANOS</t>
        </is>
      </c>
      <c r="I865" t="inlineStr">
        <is>
          <t>DECISÃO FOI TOMADA POR SETE DOS 11 MINISTROS DO SUPREMO TRIBUNAL FEDERAL (STF). VALOR DO REEMBOLSO AINDA DEVE SER ACORDADO. AÇÃO FOI MOVIDA EM ABRIL DE 2018</t>
        </is>
      </c>
      <c r="J865" t="inlineStr"/>
      <c r="K865" t="n">
        <v>0</v>
      </c>
      <c r="L865" t="n">
        <v>1</v>
      </c>
      <c r="M865" t="n">
        <v>0</v>
      </c>
      <c r="N865" t="n">
        <v>0</v>
      </c>
      <c r="O865" t="n">
        <v>6</v>
      </c>
      <c r="P865">
        <f>HYPERLINK("https://g1.globo.com/rr/roraima/noticia/2020/10/14/stf-determina-que-uniao-reembolse-a-roraima-metade-do-que-foi-gasto-com-venezuelanos.ghtml", "URL")</f>
        <v/>
      </c>
      <c r="Q865">
        <f>HYPERLINK("https://raw.githubusercontent.com/marcosmapl/dataset_imigrantes/main/materias_filtered/g1/venezuelanos/2020/09_out/html/g1_5fecc79e-232c-11ed-b24f-6dbe51e79fca_4301.html", "HTML")</f>
        <v/>
      </c>
      <c r="R865">
        <f>HYPERLINK("https://raw.githubusercontent.com/marcosmapl/dataset_imigrantes/main/materias_filtered/g1/venezuelanos/2020/09_out/txt/g1_5fecc79e-232c-11ed-b24f-6dbe51e79fca_4301.txt", "TXT")</f>
        <v/>
      </c>
    </row>
    <row r="866">
      <c r="A866" s="1" t="n">
        <v>864</v>
      </c>
      <c r="B866" t="n">
        <v>2020</v>
      </c>
      <c r="C866" s="2" t="n">
        <v>44117.54375</v>
      </c>
      <c r="D866" t="inlineStr">
        <is>
          <t>A CRITICA</t>
        </is>
      </c>
      <c r="E866" t="inlineStr">
        <is>
          <t>VENEZUELANOS</t>
        </is>
      </c>
      <c r="F866" t="inlineStr">
        <is>
          <t>OPINIAO</t>
        </is>
      </c>
      <c r="G866" t="inlineStr">
        <is>
          <t>DULCE RODRIGUEZ</t>
        </is>
      </c>
      <c r="H866" t="inlineStr">
        <is>
          <t>MILIONÁRIOS SEM ALIMENTAÇÃO ADEQUADA</t>
        </is>
      </c>
      <c r="I866" t="inlineStr">
        <is>
          <t>JAMAIS ACHEI QUE PRECISARIA SER MILIONÁRIA PARA COMPRAR UM QUILO DE CARNE O QUEIJO</t>
        </is>
      </c>
      <c r="J866" t="inlineStr">
        <is>
          <t>VIDA-DE-IMIGRANTE</t>
        </is>
      </c>
      <c r="K866" t="n">
        <v>1</v>
      </c>
      <c r="L866" t="n">
        <v>1</v>
      </c>
      <c r="M866" t="n">
        <v>0</v>
      </c>
      <c r="N866" t="n">
        <v>0</v>
      </c>
      <c r="O866" t="n">
        <v>1</v>
      </c>
      <c r="P866">
        <f>HYPERLINK("https://www.acritica.com/opiniao/milionarios-sem-alimentac-o-adequada-1.216185", "URL")</f>
        <v/>
      </c>
      <c r="Q866">
        <f>HYPERLINK("https://raw.githubusercontent.com/marcosmapl/dataset_imigrantes/main/materias_filtered/a_critica/venezuelanos/2020/09_out/html/1.216185_1260.html", "HTML")</f>
        <v/>
      </c>
      <c r="R866">
        <f>HYPERLINK("https://raw.githubusercontent.com/marcosmapl/dataset_imigrantes/main/materias_filtered/a_critica/venezuelanos/2020/09_out/txt/1.216185_1260.txt", "TXT")</f>
        <v/>
      </c>
    </row>
    <row r="867">
      <c r="A867" s="1" t="n">
        <v>865</v>
      </c>
      <c r="B867" t="n">
        <v>2020</v>
      </c>
      <c r="C867" s="2" t="n">
        <v>44117.45848466435</v>
      </c>
      <c r="D867" t="inlineStr">
        <is>
          <t>G1</t>
        </is>
      </c>
      <c r="E867" t="inlineStr">
        <is>
          <t>VENEZUELANOS</t>
        </is>
      </c>
      <c r="F867" t="inlineStr">
        <is>
          <t>RORAIMA</t>
        </is>
      </c>
      <c r="G867" t="inlineStr">
        <is>
          <t>G1 RR — BOA VISTA</t>
        </is>
      </c>
      <c r="H867" t="inlineStr">
        <is>
          <t>MPF VISITA ABRIGOS DA OPERAÇÃO ACOLHIDA E DISCUTE REALOCAÇÃO DE IMIGRANTES VENEZUELANOS EM RR</t>
        </is>
      </c>
      <c r="I867" t="inlineStr">
        <is>
          <t>VISITAS LIDERADAS PELO PROCURADOR FEDERAL DOS DIREITOS DO CIDADÃO, CARLOS ALBERTO VILHENA E PELO PROCURADOR DA REPÚBLICA, ALISSON MARUGAL, LOTADO EM BOA VISTA, SE ENCERRAM NA QUINTA-FEIRA (15).</t>
        </is>
      </c>
      <c r="J867" t="inlineStr"/>
      <c r="K867" t="n">
        <v>0</v>
      </c>
      <c r="L867" t="n">
        <v>1</v>
      </c>
      <c r="M867" t="n">
        <v>0</v>
      </c>
      <c r="N867" t="n">
        <v>0</v>
      </c>
      <c r="O867" t="n">
        <v>1</v>
      </c>
      <c r="P867">
        <f>HYPERLINK("https://g1.globo.com/rr/roraima/noticia/2020/10/13/mpf-visita-abrigos-da-operacao-acolhida-e-discute-realocacao-de-imigrantes-venezuelanos-em-rr.ghtml", "URL")</f>
        <v/>
      </c>
      <c r="Q867">
        <f>HYPERLINK("https://raw.githubusercontent.com/marcosmapl/dataset_imigrantes/main/materias_filtered/g1/venezuelanos/2020/09_out/html/g1_489a5588-232d-11ed-b24f-6dbe51e79fca_4349.html", "HTML")</f>
        <v/>
      </c>
      <c r="R867">
        <f>HYPERLINK("https://raw.githubusercontent.com/marcosmapl/dataset_imigrantes/main/materias_filtered/g1/venezuelanos/2020/09_out/txt/g1_489a5588-232d-11ed-b24f-6dbe51e79fca_4349.txt", "TXT")</f>
        <v/>
      </c>
    </row>
    <row r="868">
      <c r="A868" s="1" t="n">
        <v>866</v>
      </c>
      <c r="B868" t="n">
        <v>2020</v>
      </c>
      <c r="C868" s="2" t="n">
        <v>44113.88541666666</v>
      </c>
      <c r="D868" t="inlineStr">
        <is>
          <t>A CRITICA</t>
        </is>
      </c>
      <c r="E868" t="inlineStr">
        <is>
          <t>VENEZUELANOS</t>
        </is>
      </c>
      <c r="F868" t="inlineStr">
        <is>
          <t>POLICIA</t>
        </is>
      </c>
      <c r="G868" t="inlineStr">
        <is>
          <t>JOSEMAR ANTUNES</t>
        </is>
      </c>
      <c r="H868" t="inlineStr">
        <is>
          <t>ABRIGO DE VENEZUELANOS DESABA APÓS FORTE CHUVA EM MANAUS</t>
        </is>
      </c>
      <c r="I868" t="inlineStr">
        <is>
          <t>SEGUNDO A SEJUSC,  ESTRUTURA LOCALIZADA NO BAIRRO FLORES, NA ZONA CENTRO-SUL DA CAPITAL, ABRIGAVA 30 FAMÍLIAS VENEZUELANAS</t>
        </is>
      </c>
      <c r="J868" t="inlineStr"/>
      <c r="K868" t="n">
        <v>0</v>
      </c>
      <c r="L868" t="n">
        <v>1</v>
      </c>
      <c r="M868" t="n">
        <v>0</v>
      </c>
      <c r="N868" t="n">
        <v>0</v>
      </c>
      <c r="O868" t="n">
        <v>0</v>
      </c>
      <c r="P868">
        <f>HYPERLINK("https://www.acritica.com/policia/abrigo-de-venezuelanos-desaba-apos-forte-chuva-em-manaus-1.31148", "URL")</f>
        <v/>
      </c>
      <c r="Q868">
        <f>HYPERLINK("https://raw.githubusercontent.com/marcosmapl/dataset_imigrantes/main/materias_filtered/a_critica/venezuelanos/2020/09_out/html/1.31148_154.html", "HTML")</f>
        <v/>
      </c>
      <c r="R868">
        <f>HYPERLINK("https://raw.githubusercontent.com/marcosmapl/dataset_imigrantes/main/materias_filtered/a_critica/venezuelanos/2020/09_out/txt/1.31148_154.txt", "TXT")</f>
        <v/>
      </c>
    </row>
    <row r="869">
      <c r="A869" s="1" t="n">
        <v>867</v>
      </c>
      <c r="B869" t="n">
        <v>2020</v>
      </c>
      <c r="C869" s="2" t="n">
        <v>44113.81676171297</v>
      </c>
      <c r="D869" t="inlineStr">
        <is>
          <t>G1</t>
        </is>
      </c>
      <c r="E869" t="inlineStr">
        <is>
          <t>VENEZUELANOS</t>
        </is>
      </c>
      <c r="F869" t="inlineStr">
        <is>
          <t>AMAZONAS</t>
        </is>
      </c>
      <c r="G869" t="inlineStr">
        <is>
          <t>MATHEUS CASTRO, G1 AM</t>
        </is>
      </c>
      <c r="H869" t="inlineStr">
        <is>
          <t>FORTE CHUVA DESTRÓI PARTE DE ABRIGO PARA VENEZUELANOS EM MANAUS</t>
        </is>
      </c>
      <c r="I869" t="inlineStr">
        <is>
          <t>CORPO DE BOMBEIROS FOI ACIONADO PARA A OCORRÊNCIA. NINGUÉM FICOU FERIDO.</t>
        </is>
      </c>
      <c r="J869" t="inlineStr"/>
      <c r="K869" t="n">
        <v>0</v>
      </c>
      <c r="L869" t="n">
        <v>3</v>
      </c>
      <c r="M869" t="n">
        <v>0</v>
      </c>
      <c r="N869" t="n">
        <v>0</v>
      </c>
      <c r="O869" t="n">
        <v>1</v>
      </c>
      <c r="P869">
        <f>HYPERLINK("https://g1.globo.com/am/amazonas/noticia/2020/10/09/forte-chuva-destroi-parte-de-abrigo-para-venezuelanos-em-manaus.ghtml", "URL")</f>
        <v/>
      </c>
      <c r="Q869">
        <f>HYPERLINK("https://raw.githubusercontent.com/marcosmapl/dataset_imigrantes/main/materias_filtered/g1/venezuelanos/2020/09_out/html/g1_4e16fc1a-232c-11ed-b24f-6dbe51e79fca_4296.html", "HTML")</f>
        <v/>
      </c>
      <c r="R869">
        <f>HYPERLINK("https://raw.githubusercontent.com/marcosmapl/dataset_imigrantes/main/materias_filtered/g1/venezuelanos/2020/09_out/txt/g1_4e16fc1a-232c-11ed-b24f-6dbe51e79fca_4296.txt", "TXT")</f>
        <v/>
      </c>
    </row>
    <row r="870">
      <c r="A870" s="1" t="n">
        <v>868</v>
      </c>
      <c r="B870" t="n">
        <v>2020</v>
      </c>
      <c r="C870" s="2" t="n">
        <v>44111.61041944444</v>
      </c>
      <c r="D870" t="inlineStr">
        <is>
          <t>G1</t>
        </is>
      </c>
      <c r="E870" t="inlineStr">
        <is>
          <t>VENEZUELANOS</t>
        </is>
      </c>
      <c r="F870" t="inlineStr">
        <is>
          <t>SANTA CATARINA</t>
        </is>
      </c>
      <c r="G870" t="inlineStr">
        <is>
          <t>KAROLLAYNE ROSA, G1 SC</t>
        </is>
      </c>
      <c r="H870" t="inlineStr">
        <is>
          <t>VENEZUELANOS CHEGAM A SC PARA TRABALHAR EM INDÚSTRIA DE ALIMENTOS NO OESTE</t>
        </is>
      </c>
      <c r="I870" t="inlineStr">
        <is>
          <t>QUASE 50 IMIGRANTES DESEMBARCARAM NO AEROPORTO SERAFIM ENOSS BERTASO, EM CHAPECÓ, EM DOIS VOOS NA MANHÃ E NA TARDE DESTA QUARTA.</t>
        </is>
      </c>
      <c r="J870" t="inlineStr"/>
      <c r="K870" t="n">
        <v>0</v>
      </c>
      <c r="L870" t="n">
        <v>3</v>
      </c>
      <c r="M870" t="n">
        <v>1</v>
      </c>
      <c r="N870" t="n">
        <v>0</v>
      </c>
      <c r="O870" t="n">
        <v>4</v>
      </c>
      <c r="P870">
        <f>HYPERLINK("https://g1.globo.com/sc/santa-catarina/noticia/2020/10/07/venezuelanos-chegam-a-sc-para-trabalhar-em-industria-de-alimentos-no-oeste-e-encontrar-familiares.ghtml", "URL")</f>
        <v/>
      </c>
      <c r="Q870">
        <f>HYPERLINK("https://raw.githubusercontent.com/marcosmapl/dataset_imigrantes/main/materias_filtered/g1/venezuelanos/2020/09_out/html/g1_acade71e-231f-11ed-b24f-6dbe51e79fca_3637.html", "HTML")</f>
        <v/>
      </c>
      <c r="R870">
        <f>HYPERLINK("https://raw.githubusercontent.com/marcosmapl/dataset_imigrantes/main/materias_filtered/g1/venezuelanos/2020/09_out/txt/g1_acade71e-231f-11ed-b24f-6dbe51e79fca_3637.txt", "TXT")</f>
        <v/>
      </c>
    </row>
    <row r="871">
      <c r="A871" s="1" t="n">
        <v>869</v>
      </c>
      <c r="B871" t="n">
        <v>2020</v>
      </c>
      <c r="C871" s="2" t="n">
        <v>44110.71744212963</v>
      </c>
      <c r="D871" t="inlineStr">
        <is>
          <t>A CRITICA</t>
        </is>
      </c>
      <c r="E871" t="inlineStr">
        <is>
          <t>VENEZUELANOS</t>
        </is>
      </c>
      <c r="F871" t="inlineStr">
        <is>
          <t>MANAUS</t>
        </is>
      </c>
      <c r="G871" t="inlineStr">
        <is>
          <t>JEFFERSON RAMOS</t>
        </is>
      </c>
      <c r="H871" t="inlineStr">
        <is>
          <t>GENERAL PAZUELLO SERÁ 'CIDADÃO DO AMAZONAS' E VAI RECEBER MEDALHA DE DEPUTADOS</t>
        </is>
      </c>
      <c r="I871" t="inlineStr">
        <is>
          <t>MINISTRO DA SAÚDE ESCOLHIDO POR BOLSONARO PARA O COMBATE À PANDEMIA DO CORONAVÍRUS RECEBERÁ AS DUAS PRINCIPAIS CONDECORAÇÕES DO LEGISLATIVO AMAZONENSE</t>
        </is>
      </c>
      <c r="J871" t="inlineStr"/>
      <c r="K871" t="n">
        <v>0</v>
      </c>
      <c r="L871" t="n">
        <v>1</v>
      </c>
      <c r="M871" t="n">
        <v>0</v>
      </c>
      <c r="N871" t="n">
        <v>0</v>
      </c>
      <c r="O871" t="n">
        <v>0</v>
      </c>
      <c r="P871">
        <f>HYPERLINK("https://www.acritica.com/manaus/general-pazuello-sera-cidad-o-do-amazonas-e-vai-receber-medalha-de-deputados-1.31372", "URL")</f>
        <v/>
      </c>
      <c r="Q871">
        <f>HYPERLINK("https://raw.githubusercontent.com/marcosmapl/dataset_imigrantes/main/materias_filtered/a_critica/venezuelanos/2020/09_out/html/1.31372_837.html", "HTML")</f>
        <v/>
      </c>
      <c r="R871">
        <f>HYPERLINK("https://raw.githubusercontent.com/marcosmapl/dataset_imigrantes/main/materias_filtered/a_critica/venezuelanos/2020/09_out/txt/1.31372_837.txt", "TXT")</f>
        <v/>
      </c>
    </row>
    <row r="872">
      <c r="A872" s="1" t="n">
        <v>870</v>
      </c>
      <c r="B872" t="n">
        <v>2020</v>
      </c>
      <c r="C872" s="2" t="n">
        <v>44108.81976851852</v>
      </c>
      <c r="D872" t="inlineStr">
        <is>
          <t>A CRITICA</t>
        </is>
      </c>
      <c r="E872" t="inlineStr">
        <is>
          <t>VENEZUELANOS</t>
        </is>
      </c>
      <c r="F872" t="inlineStr">
        <is>
          <t>ESPORTES</t>
        </is>
      </c>
      <c r="G872" t="inlineStr">
        <is>
          <t>DANIEL PRESTES</t>
        </is>
      </c>
      <c r="H872" t="inlineStr">
        <is>
          <t>EM JOGO DE SEIS PONTOS, IRANDUBA RECEBE MINAS ICESP-DF PELA SÉRIE A1</t>
        </is>
      </c>
      <c r="I872" t="inlineStr">
        <is>
          <t>COM OS DOIS TIMES SEPARADOS POR UM PONTO, HULK SAIRÁ DA ZONA DE REBAIXAMENTO CASO VENÇA A EQUIPE DE BRASÍLIA EM CONFRONTO NA ARENA DA AMAZÔNIA</t>
        </is>
      </c>
      <c r="J872" t="inlineStr"/>
      <c r="K872" t="n">
        <v>0</v>
      </c>
      <c r="L872" t="n">
        <v>1</v>
      </c>
      <c r="M872" t="n">
        <v>0</v>
      </c>
      <c r="N872" t="n">
        <v>0</v>
      </c>
      <c r="O872" t="n">
        <v>0</v>
      </c>
      <c r="P872">
        <f>HYPERLINK("https://www.acritica.com/esportes/em-jogo-de-seis-pontos-iranduba-recebe-minas-icesp-df-pela-serie-a1-1.32465", "URL")</f>
        <v/>
      </c>
      <c r="Q872">
        <f>HYPERLINK("https://raw.githubusercontent.com/marcosmapl/dataset_imigrantes/main/materias_filtered/a_critica/venezuelanos/2020/09_out/html/1.32465_283.html", "HTML")</f>
        <v/>
      </c>
      <c r="R872">
        <f>HYPERLINK("https://raw.githubusercontent.com/marcosmapl/dataset_imigrantes/main/materias_filtered/a_critica/venezuelanos/2020/09_out/txt/1.32465_283.txt", "TXT")</f>
        <v/>
      </c>
    </row>
    <row r="873">
      <c r="A873" s="1" t="n">
        <v>871</v>
      </c>
      <c r="B873" t="n">
        <v>2020</v>
      </c>
      <c r="C873" s="2" t="n">
        <v>44108.76041666666</v>
      </c>
      <c r="D873" t="inlineStr">
        <is>
          <t>A CRITICA</t>
        </is>
      </c>
      <c r="E873" t="inlineStr">
        <is>
          <t>VENEZUELANOS</t>
        </is>
      </c>
      <c r="F873" t="inlineStr">
        <is>
          <t>ESPORTES</t>
        </is>
      </c>
      <c r="G873" t="inlineStr">
        <is>
          <t>CAMILA LEONEL</t>
        </is>
      </c>
      <c r="H873" t="inlineStr">
        <is>
          <t>GOLEIRA DO IRANDUBA ELOGIA 3B POR ABRIR PORTAS PARA O BRASILEIRO</t>
        </is>
      </c>
      <c r="I873" t="inlineStr">
        <is>
          <t>GOLEIRA DO IRANDUBA FALA AO CRAQUE COMO O 3B ABRIU AS PORTAS PARA QUE ELA PUDESSE BRILHAR NO CAMPEONATO BRASILEIRO</t>
        </is>
      </c>
      <c r="J873" t="inlineStr"/>
      <c r="K873" t="n">
        <v>0</v>
      </c>
      <c r="L873" t="n">
        <v>1</v>
      </c>
      <c r="M873" t="n">
        <v>0</v>
      </c>
      <c r="N873" t="n">
        <v>0</v>
      </c>
      <c r="O873" t="n">
        <v>0</v>
      </c>
      <c r="P873">
        <f>HYPERLINK("https://www.acritica.com/esportes/goleira-do-iranduba-elogia-3b-por-abrir-portas-para-o-brasileiro-1.32479", "URL")</f>
        <v/>
      </c>
      <c r="Q873">
        <f>HYPERLINK("https://raw.githubusercontent.com/marcosmapl/dataset_imigrantes/main/materias_filtered/a_critica/venezuelanos/2020/09_out/html/1.32479_414.html", "HTML")</f>
        <v/>
      </c>
      <c r="R873">
        <f>HYPERLINK("https://raw.githubusercontent.com/marcosmapl/dataset_imigrantes/main/materias_filtered/a_critica/venezuelanos/2020/09_out/txt/1.32479_414.txt", "TXT")</f>
        <v/>
      </c>
    </row>
    <row r="874">
      <c r="A874" s="1" t="n">
        <v>872</v>
      </c>
      <c r="B874" t="n">
        <v>2020</v>
      </c>
      <c r="C874" s="2" t="n">
        <v>44105.58743086806</v>
      </c>
      <c r="D874" t="inlineStr">
        <is>
          <t>G1</t>
        </is>
      </c>
      <c r="E874" t="inlineStr">
        <is>
          <t>VENEZUELANOS</t>
        </is>
      </c>
      <c r="F874" t="inlineStr">
        <is>
          <t>ACRE</t>
        </is>
      </c>
      <c r="G874" t="inlineStr">
        <is>
          <t>ALCINETE GADELHA, G1 AC — RIO BRANCO</t>
        </is>
      </c>
      <c r="H874" t="inlineStr">
        <is>
          <t>APÓS 15 DIAS DE REABERTURA DAS FRONTEIRAS NO AC, GRUPO COM 22 VENEZUELANOS CHEGA EM ABRIGO NA CAPITAL</t>
        </is>
      </c>
      <c r="I874" t="inlineStr">
        <is>
          <t>GRUPO, QUE ESTAVA EM ASSIS BRASIL, CHEGOU NA CAPITAL EM UMA VAN DISPONIBILIZADA PELA SECRETARIA DE ASSISTÊNCIA SOCIAL, DOS DIREITOS HUMANOS E DE POLÍTICAS PARA MULHERES.</t>
        </is>
      </c>
      <c r="J874" t="inlineStr"/>
      <c r="K874" t="n">
        <v>0</v>
      </c>
      <c r="L874" t="n">
        <v>1</v>
      </c>
      <c r="M874" t="n">
        <v>0</v>
      </c>
      <c r="N874" t="n">
        <v>0</v>
      </c>
      <c r="O874" t="n">
        <v>6</v>
      </c>
      <c r="P874">
        <f>HYPERLINK("https://g1.globo.com/ac/acre/noticia/2020/10/01/apos-15-dias-de-reabertura-das-fronteiras-no-ac-grupo-com-22-venezuelanos-chega-em-abrigo-na-capital.ghtml", "URL")</f>
        <v/>
      </c>
      <c r="Q874">
        <f>HYPERLINK("https://raw.githubusercontent.com/marcosmapl/dataset_imigrantes/main/materias_filtered/g1/venezuelanos/2020/09_out/html/g1_6dd3957c-2327-11ed-b24f-6dbe51e79fca_4034.html", "HTML")</f>
        <v/>
      </c>
      <c r="R874">
        <f>HYPERLINK("https://raw.githubusercontent.com/marcosmapl/dataset_imigrantes/main/materias_filtered/g1/venezuelanos/2020/09_out/txt/g1_6dd3957c-2327-11ed-b24f-6dbe51e79fca_4034.txt", "TXT")</f>
        <v/>
      </c>
    </row>
    <row r="875">
      <c r="A875" s="1" t="n">
        <v>873</v>
      </c>
      <c r="B875" t="n">
        <v>2020</v>
      </c>
      <c r="C875" s="2" t="n">
        <v>44105.57876295139</v>
      </c>
      <c r="D875" t="inlineStr">
        <is>
          <t>G1</t>
        </is>
      </c>
      <c r="E875" t="inlineStr">
        <is>
          <t>VENEZUELANOS</t>
        </is>
      </c>
      <c r="F875" t="inlineStr">
        <is>
          <t>MATO GROSSO</t>
        </is>
      </c>
      <c r="G875" t="inlineStr">
        <is>
          <t>G1 MT</t>
        </is>
      </c>
      <c r="H875" t="inlineStr">
        <is>
          <t>REFUGIADOS VENEZUELANOS CHEGAM EM MT COM VAGAS DE TRABALHO GARANTIDAS EM COZINHAS DE FAZENDAS</t>
        </is>
      </c>
      <c r="I875" t="inlineStr">
        <is>
          <t>ELES ESTAVAM ABRIGADOS EM CENTROS DE ACOLHIMENTO, JUNTAMENTE COM SUAS FAMÍLIAS EM BOA VISTA (RR), E FORAM CONTRATADOS PARA TRABALHAR COMO COZINHEIROS E OFICIAIS DE COZINHA EM DUAS UNIDADES DE PRODUÇÃO AGRÍCOLA NA REGIÃO.</t>
        </is>
      </c>
      <c r="J875" t="inlineStr"/>
      <c r="K875" t="n">
        <v>0</v>
      </c>
      <c r="L875" t="n">
        <v>1</v>
      </c>
      <c r="M875" t="n">
        <v>0</v>
      </c>
      <c r="N875" t="n">
        <v>0</v>
      </c>
      <c r="O875" t="n">
        <v>0</v>
      </c>
      <c r="P875">
        <f>HYPERLINK("https://g1.globo.com/mt/mato-grosso/noticia/2020/10/01/refugiados-venezuelanos-chegam-em-mt-para-trabalhar-em-cozinhas-de-fazendas-no-interior.ghtml", "URL")</f>
        <v/>
      </c>
      <c r="Q875">
        <f>HYPERLINK("https://raw.githubusercontent.com/marcosmapl/dataset_imigrantes/main/materias_filtered/g1/venezuelanos/2020/09_out/html/g1_9a13261c-2312-11ed-b24f-6dbe51e79fca_2973.html", "HTML")</f>
        <v/>
      </c>
      <c r="R875">
        <f>HYPERLINK("https://raw.githubusercontent.com/marcosmapl/dataset_imigrantes/main/materias_filtered/g1/venezuelanos/2020/09_out/txt/g1_9a13261c-2312-11ed-b24f-6dbe51e79fca_2973.txt", "TXT")</f>
        <v/>
      </c>
    </row>
    <row r="876">
      <c r="A876" s="1" t="n">
        <v>874</v>
      </c>
      <c r="B876" t="n">
        <v>2020</v>
      </c>
      <c r="C876" s="2" t="n">
        <v>44104.88340277778</v>
      </c>
      <c r="D876" t="inlineStr">
        <is>
          <t>A CRITICA</t>
        </is>
      </c>
      <c r="E876" t="inlineStr">
        <is>
          <t>AMBOS</t>
        </is>
      </c>
      <c r="F876" t="inlineStr"/>
      <c r="G876" t="inlineStr">
        <is>
          <t>PORTAL A CRÍTICA</t>
        </is>
      </c>
      <c r="H876" t="inlineStr">
        <is>
          <t>DIA DO PROFESSOR MARCA ABERTURA DA VOTAÇÃO DO PRÊMIO EDUCADOR NOTA 10</t>
        </is>
      </c>
      <c r="I876" t="inlineStr">
        <is>
          <t>O PÚBLICO PODERÁ ACESSAR O SITE DO PRÊMIO, CONHECER CADA UM DOS DEZ PROJETOS FINALISTAS E ELEGER SEU FAVORITO</t>
        </is>
      </c>
      <c r="J876" t="inlineStr"/>
      <c r="K876" t="n">
        <v>0</v>
      </c>
      <c r="L876" t="n">
        <v>1</v>
      </c>
      <c r="M876" t="n">
        <v>0</v>
      </c>
      <c r="N876" t="n">
        <v>0</v>
      </c>
      <c r="O876" t="n">
        <v>4</v>
      </c>
      <c r="P876">
        <f>HYPERLINK("https://www.acritica.com/dia-do-professor-marca-abertura-da-votac-o-do-premio-educador-nota-10-1.32632", "URL")</f>
        <v/>
      </c>
      <c r="Q876">
        <f>HYPERLINK("https://raw.githubusercontent.com/marcosmapl/dataset_imigrantes/main/materias_filtered/a_critica/ambos/2020/08_set/html/1.32632_149.html", "HTML")</f>
        <v/>
      </c>
      <c r="R876">
        <f>HYPERLINK("https://raw.githubusercontent.com/marcosmapl/dataset_imigrantes/main/materias_filtered/a_critica/ambos/2020/08_set/txt/1.32632_149.txt", "TXT")</f>
        <v/>
      </c>
    </row>
    <row r="877">
      <c r="A877" s="1" t="n">
        <v>875</v>
      </c>
      <c r="B877" t="n">
        <v>2020</v>
      </c>
      <c r="C877" s="2" t="n">
        <v>44104.81597222222</v>
      </c>
      <c r="D877" t="inlineStr">
        <is>
          <t>PORTAL AMAZONIA</t>
        </is>
      </c>
      <c r="E877" t="inlineStr">
        <is>
          <t>VENEZUELANOS</t>
        </is>
      </c>
      <c r="F877" t="inlineStr">
        <is>
          <t>NOTÍCIAS</t>
        </is>
      </c>
      <c r="G877" t="inlineStr">
        <is>
          <t>REDAÇÃO - JORNALISMO@PORTALAMAZONIA.COM</t>
        </is>
      </c>
      <c r="H877" t="inlineStr">
        <is>
          <t>CURSO UNE ECONOMIA SOLIDÁRIA COM EMPREENDEDORISMO PARA CAPACITAR GRUPOS DE COSTUREIRAS EM MANAUS</t>
        </is>
      </c>
      <c r="I877" t="inlineStr">
        <is>
          <t>AÇÃO FAZ PARTE DE PROJETO DESENVOLVIDO PELA FAS EM PARCERIA COM A KLABIN. OBJETIVO É CAPACITAR OITO GRUPOS DE COSTUREIRAS EM SITUAÇÃO DE VULNERABILIDADE SOCIAL.</t>
        </is>
      </c>
      <c r="J877" t="inlineStr">
        <is>
          <t>CAPACITAÇÃO, COSTUREIRAS, CURSO, EMPREENDEDORISMO, MANAUS, NOTÍCIAS</t>
        </is>
      </c>
      <c r="K877" t="n">
        <v>6</v>
      </c>
      <c r="L877" t="n">
        <v>2</v>
      </c>
      <c r="M877" t="n">
        <v>0</v>
      </c>
      <c r="N877" t="n">
        <v>0</v>
      </c>
      <c r="O877" t="n">
        <v>13</v>
      </c>
      <c r="P877">
        <f>HYPERLINK("https://portalamazonia.com/noticias/curso-une-economia-solidaria-com-empreendedorismo-para-capacitar-grupos-de-costureiras-em-manaus", "URL")</f>
        <v/>
      </c>
      <c r="Q877">
        <f>HYPERLINK("https://raw.githubusercontent.com/marcosmapl/dataset_imigrantes/main/materias_filtered/portal_amazonia/venezuelanos/2020/08_set/html/28587.50077_1485.html", "HTML")</f>
        <v/>
      </c>
      <c r="R877">
        <f>HYPERLINK("https://raw.githubusercontent.com/marcosmapl/dataset_imigrantes/main/materias_filtered/portal_amazonia/venezuelanos/2020/08_set/txt/28587.50077_1485.txt", "TXT")</f>
        <v/>
      </c>
    </row>
    <row r="878">
      <c r="A878" s="1" t="n">
        <v>876</v>
      </c>
      <c r="B878" t="n">
        <v>2020</v>
      </c>
      <c r="C878" s="2" t="n">
        <v>44101.89930555555</v>
      </c>
      <c r="D878" t="inlineStr">
        <is>
          <t>A CRITICA</t>
        </is>
      </c>
      <c r="E878" t="inlineStr">
        <is>
          <t>VENEZUELANOS</t>
        </is>
      </c>
      <c r="F878" t="inlineStr">
        <is>
          <t>ESPORTES</t>
        </is>
      </c>
      <c r="G878" t="inlineStr">
        <is>
          <t>CAMILA LEONEL</t>
        </is>
      </c>
      <c r="H878" t="inlineStr">
        <is>
          <t>IRANDUBA SAI NA FRENTE, CEDE O EMPATE E SEGUE NA ZONA DE REBAIXAMENTO</t>
        </is>
      </c>
      <c r="I878" t="inlineStr">
        <is>
          <t>NESTA SEGUNDA-FEIRA (28), O TIME AMAZONENSE SEGUE PARA A CAPITAL PAULISTA E JÁ SE PREPARA PARA O PRÓXIMO JOGO, CONTRA O SÃO PAULO</t>
        </is>
      </c>
      <c r="J878" t="inlineStr"/>
      <c r="K878" t="n">
        <v>0</v>
      </c>
      <c r="L878" t="n">
        <v>1</v>
      </c>
      <c r="M878" t="n">
        <v>0</v>
      </c>
      <c r="N878" t="n">
        <v>0</v>
      </c>
      <c r="O878" t="n">
        <v>0</v>
      </c>
      <c r="P878">
        <f>HYPERLINK("https://www.acritica.com/esportes/iranduba-sai-na-frente-cede-o-empate-e-segue-na-zona-de-rebaixamento-1.32726", "URL")</f>
        <v/>
      </c>
      <c r="Q878">
        <f>HYPERLINK("https://raw.githubusercontent.com/marcosmapl/dataset_imigrantes/main/materias_filtered/a_critica/venezuelanos/2020/08_set/html/1.32726_1196.html", "HTML")</f>
        <v/>
      </c>
      <c r="R878">
        <f>HYPERLINK("https://raw.githubusercontent.com/marcosmapl/dataset_imigrantes/main/materias_filtered/a_critica/venezuelanos/2020/08_set/txt/1.32726_1196.txt", "TXT")</f>
        <v/>
      </c>
    </row>
    <row r="879">
      <c r="A879" s="1" t="n">
        <v>877</v>
      </c>
      <c r="B879" t="n">
        <v>2020</v>
      </c>
      <c r="C879" s="2" t="n">
        <v>44097.39583333334</v>
      </c>
      <c r="D879" t="inlineStr">
        <is>
          <t>PORTAL AMAZONIA</t>
        </is>
      </c>
      <c r="E879" t="inlineStr">
        <is>
          <t>VENEZUELANOS</t>
        </is>
      </c>
      <c r="F879" t="inlineStr">
        <is>
          <t>AMAZÔNIA INTERNACIONAL,NOTÍCIAS,CIDADES,ECONOMIA</t>
        </is>
      </c>
      <c r="G879" t="inlineStr">
        <is>
          <t>PORTAL AMAZÔNIA, COM INFORMAÇÕES DA AGÊNCIA BRASIL</t>
        </is>
      </c>
      <c r="H879" t="inlineStr">
        <is>
          <t>REFUGIADOS VENEZUELANOS PODEM CONTRIBUIR PARA DESENVOLVIMENTO DO PAÍS, APONTA ESTUDO</t>
        </is>
      </c>
      <c r="I879" t="inlineStr">
        <is>
          <t>SEGUNDO AS AUTORIDADES BRASILEIRAS, CERCA DE 260 MIL VENEZUELANOS VIVEM NO BRASIL ATUALMENTE. DE ACORDO COM A ACNUR, ATÉ JULHO DE 2020, MAIS DE 130 MIL VENEZUELANOS TINHAM PEDIDO REFÚGIO NO PAÍS.</t>
        </is>
      </c>
      <c r="J879" t="inlineStr">
        <is>
          <t>AMAZÔNIA, AMAZÔNIA INTERNACIONAL, CIDADES, ECONOMIA, NOTÍCIAS, REFUGIADOS VENEZUELANOS</t>
        </is>
      </c>
      <c r="K879" t="n">
        <v>6</v>
      </c>
      <c r="L879" t="n">
        <v>2</v>
      </c>
      <c r="M879" t="n">
        <v>0</v>
      </c>
      <c r="N879" t="n">
        <v>0</v>
      </c>
      <c r="O879" t="n">
        <v>15</v>
      </c>
      <c r="P879">
        <f>HYPERLINK("https://portalamazonia.com/noticias/cidades/refugiados-venezuelanos-podem-contribuir-para-desenvolvimento-do-pais-aponta-estudo", "URL")</f>
        <v/>
      </c>
      <c r="Q879">
        <f>HYPERLINK("https://raw.githubusercontent.com/marcosmapl/dataset_imigrantes/main/materias_filtered/portal_amazonia/venezuelanos/2020/08_set/html/28442.47369_1523.html", "HTML")</f>
        <v/>
      </c>
      <c r="R879">
        <f>HYPERLINK("https://raw.githubusercontent.com/marcosmapl/dataset_imigrantes/main/materias_filtered/portal_amazonia/venezuelanos/2020/08_set/txt/28442.47369_1523.txt", "TXT")</f>
        <v/>
      </c>
    </row>
    <row r="880">
      <c r="A880" s="1" t="n">
        <v>878</v>
      </c>
      <c r="B880" t="n">
        <v>2020</v>
      </c>
      <c r="C880" s="2" t="n">
        <v>44095.94456018518</v>
      </c>
      <c r="D880" t="inlineStr">
        <is>
          <t>A CRITICA</t>
        </is>
      </c>
      <c r="E880" t="inlineStr">
        <is>
          <t>VENEZUELANOS</t>
        </is>
      </c>
      <c r="F880" t="inlineStr">
        <is>
          <t>OPINIAO</t>
        </is>
      </c>
      <c r="G880" t="inlineStr">
        <is>
          <t>DULCE RODRIGUEZ</t>
        </is>
      </c>
      <c r="H880" t="inlineStr">
        <is>
          <t>ESTOU DE SACO CHEIO DA DIPLOMACIA!</t>
        </is>
      </c>
      <c r="I880" t="inlineStr">
        <is>
          <t>É PRECISO ROMPER UMA ESPIRAL DE INÉRCIA IRRESPONSÁVEL E SILÊNCIO CÚMPLICE COM A DITADURA NA VENEZUELA</t>
        </is>
      </c>
      <c r="J880" t="inlineStr">
        <is>
          <t>VIDA-DE-IMIGRANTE</t>
        </is>
      </c>
      <c r="K880" t="n">
        <v>1</v>
      </c>
      <c r="L880" t="n">
        <v>1</v>
      </c>
      <c r="M880" t="n">
        <v>0</v>
      </c>
      <c r="N880" t="n">
        <v>0</v>
      </c>
      <c r="O880" t="n">
        <v>1</v>
      </c>
      <c r="P880">
        <f>HYPERLINK("https://www.acritica.com/opiniao/estou-de-saco-cheio-da-diplomacia-1.216276", "URL")</f>
        <v/>
      </c>
      <c r="Q880">
        <f>HYPERLINK("https://raw.githubusercontent.com/marcosmapl/dataset_imigrantes/main/materias_filtered/a_critica/venezuelanos/2020/08_set/html/1.216276_906.html", "HTML")</f>
        <v/>
      </c>
      <c r="R880">
        <f>HYPERLINK("https://raw.githubusercontent.com/marcosmapl/dataset_imigrantes/main/materias_filtered/a_critica/venezuelanos/2020/08_set/txt/1.216276_906.txt", "TXT")</f>
        <v/>
      </c>
    </row>
    <row r="881">
      <c r="A881" s="1" t="n">
        <v>879</v>
      </c>
      <c r="B881" t="n">
        <v>2020</v>
      </c>
      <c r="C881" s="2" t="n">
        <v>44093.65555555555</v>
      </c>
      <c r="D881" t="inlineStr">
        <is>
          <t>A CRITICA</t>
        </is>
      </c>
      <c r="E881" t="inlineStr">
        <is>
          <t>VENEZUELANOS</t>
        </is>
      </c>
      <c r="F881" t="inlineStr">
        <is>
          <t>MANAUS</t>
        </is>
      </c>
      <c r="G881" t="inlineStr">
        <is>
          <t>JEFFERSON RAMOS</t>
        </is>
      </c>
      <c r="H881" t="inlineStr">
        <is>
          <t>PRESIDENTE DA ALE-AM PARABENIZA EDUARDO PAUZELLO POR TRABALHO À FRENTE DE MINISTÉRIO</t>
        </is>
      </c>
      <c r="I881" t="inlineStr">
        <is>
          <t>SOB OS MAIS DE QUATRO MESES DE INTERINIDADE DE PAZUELLO NO MINISTÉRIO DA SAÚDE, OS NÚMEROS DA PANDEMIA ACELERARAM</t>
        </is>
      </c>
      <c r="J881" t="inlineStr"/>
      <c r="K881" t="n">
        <v>0</v>
      </c>
      <c r="L881" t="n">
        <v>1</v>
      </c>
      <c r="M881" t="n">
        <v>0</v>
      </c>
      <c r="N881" t="n">
        <v>0</v>
      </c>
      <c r="O881" t="n">
        <v>0</v>
      </c>
      <c r="P881">
        <f>HYPERLINK("https://www.acritica.com/manaus/presidente-da-ale-am-parabeniza-eduardo-pauzello-por-trabalho-a-frente-de-ministerio-1.32945", "URL")</f>
        <v/>
      </c>
      <c r="Q881">
        <f>HYPERLINK("https://raw.githubusercontent.com/marcosmapl/dataset_imigrantes/main/materias_filtered/a_critica/venezuelanos/2020/08_set/html/1.32945_789.html", "HTML")</f>
        <v/>
      </c>
      <c r="R881">
        <f>HYPERLINK("https://raw.githubusercontent.com/marcosmapl/dataset_imigrantes/main/materias_filtered/a_critica/venezuelanos/2020/08_set/txt/1.32945_789.txt", "TXT")</f>
        <v/>
      </c>
    </row>
    <row r="882">
      <c r="A882" s="1" t="n">
        <v>880</v>
      </c>
      <c r="B882" t="n">
        <v>2020</v>
      </c>
      <c r="C882" s="2" t="n">
        <v>44092.8950462963</v>
      </c>
      <c r="D882" t="inlineStr">
        <is>
          <t>A CRITICA</t>
        </is>
      </c>
      <c r="E882" t="inlineStr">
        <is>
          <t>VENEZUELANOS</t>
        </is>
      </c>
      <c r="F882" t="inlineStr"/>
      <c r="G882" t="inlineStr">
        <is>
          <t>REUTERS</t>
        </is>
      </c>
      <c r="H882" t="inlineStr">
        <is>
          <t>PARA MAIA, VISITA DE POMPEO NÃO CONDIZ COM BOA PRÁTICA DIPLOMÁTICA</t>
        </is>
      </c>
      <c r="I882" t="inlineStr">
        <is>
          <t>PARA O PRESIDENTE DA CÂMARA, A PRESENÇA DE POMPEO EM INSTALAÇÕES DE OPERAÇÃO DE ACOLHIMENTO A MIGRANTES VENEZUELANOS EM RORAIMA AFRONTA A HERANÇA DA DIPLOMACIA BRASILEIRA DE “ALTIVEZ” E CONVÍVIO PACÍFICO COM OS PAÍSES VIZINHOS</t>
        </is>
      </c>
      <c r="J882" t="inlineStr"/>
      <c r="K882" t="n">
        <v>0</v>
      </c>
      <c r="L882" t="n">
        <v>1</v>
      </c>
      <c r="M882" t="n">
        <v>0</v>
      </c>
      <c r="N882" t="n">
        <v>0</v>
      </c>
      <c r="O882" t="n">
        <v>0</v>
      </c>
      <c r="P882">
        <f>HYPERLINK("https://www.acritica.com/para-maia-visita-de-pompeo-n-o-condiz-com-boa-pratica-diplomatica-1.32979", "URL")</f>
        <v/>
      </c>
      <c r="Q882">
        <f>HYPERLINK("https://raw.githubusercontent.com/marcosmapl/dataset_imigrantes/main/materias_filtered/a_critica/venezuelanos/2020/08_set/html/1.32979_466.html", "HTML")</f>
        <v/>
      </c>
      <c r="R882">
        <f>HYPERLINK("https://raw.githubusercontent.com/marcosmapl/dataset_imigrantes/main/materias_filtered/a_critica/venezuelanos/2020/08_set/txt/1.32979_466.txt", "TXT")</f>
        <v/>
      </c>
    </row>
    <row r="883">
      <c r="A883" s="1" t="n">
        <v>881</v>
      </c>
      <c r="B883" t="n">
        <v>2020</v>
      </c>
      <c r="C883" s="2" t="n">
        <v>44091.43125</v>
      </c>
      <c r="D883" t="inlineStr">
        <is>
          <t>A CRITICA</t>
        </is>
      </c>
      <c r="E883" t="inlineStr">
        <is>
          <t>VENEZUELANOS</t>
        </is>
      </c>
      <c r="F883" t="inlineStr">
        <is>
          <t>ENTRETENIMENTO</t>
        </is>
      </c>
      <c r="G883" t="inlineStr">
        <is>
          <t>LUANA GOMES</t>
        </is>
      </c>
      <c r="H883" t="inlineStr">
        <is>
          <t>FOTO DE AMAZONENSE INTEGRA ACERVO DO MUSEU DO AMANHÃ</t>
        </is>
      </c>
      <c r="I883" t="inlineStr">
        <is>
          <t>IMAGEM DO FOTÓGRAFO AMAZONENSE MICHAEL DANTAS FAZ PARTE DA EXPOSIÇÃO DE LONGA DURAÇÃO</t>
        </is>
      </c>
      <c r="J883" t="inlineStr"/>
      <c r="K883" t="n">
        <v>0</v>
      </c>
      <c r="L883" t="n">
        <v>1</v>
      </c>
      <c r="M883" t="n">
        <v>0</v>
      </c>
      <c r="N883" t="n">
        <v>0</v>
      </c>
      <c r="O883" t="n">
        <v>0</v>
      </c>
      <c r="P883">
        <f>HYPERLINK("https://www.acritica.com/entretenimento/foto-de-amazonense-integra-acervo-do-museu-do-amanh-1.33125", "URL")</f>
        <v/>
      </c>
      <c r="Q883">
        <f>HYPERLINK("https://raw.githubusercontent.com/marcosmapl/dataset_imigrantes/main/materias_filtered/a_critica/venezuelanos/2020/08_set/html/1.33125_583.html", "HTML")</f>
        <v/>
      </c>
      <c r="R883">
        <f>HYPERLINK("https://raw.githubusercontent.com/marcosmapl/dataset_imigrantes/main/materias_filtered/a_critica/venezuelanos/2020/08_set/txt/1.33125_583.txt", "TXT")</f>
        <v/>
      </c>
    </row>
    <row r="884">
      <c r="A884" s="1" t="n">
        <v>882</v>
      </c>
      <c r="B884" t="n">
        <v>2020</v>
      </c>
      <c r="C884" s="2" t="n">
        <v>44090.75973584491</v>
      </c>
      <c r="D884" t="inlineStr">
        <is>
          <t>G1</t>
        </is>
      </c>
      <c r="E884" t="inlineStr">
        <is>
          <t>VENEZUELANOS</t>
        </is>
      </c>
      <c r="F884" t="inlineStr">
        <is>
          <t>RORAIMA</t>
        </is>
      </c>
      <c r="G884" t="inlineStr">
        <is>
          <t>G1 RR — BOA VISTA</t>
        </is>
      </c>
      <c r="H884" t="inlineStr">
        <is>
          <t>LÍDER DE ORGANIZAÇÃO CRIMINOSA VENEZUELANA É PRESO EM BOA VISTA</t>
        </is>
      </c>
      <c r="I884" t="inlineStr">
        <is>
          <t>JOSÉ JESUS, CONHECIDO COMO 'EL CHUCHU', DE 30 ANOS, ERA CONSIDERADO UM DOS CRIMINOSOS MAIS PROCURADOS DA VENEZUELA E ESTAVA FORAGIDO HÁ CERCA DE TRÊS MESES.</t>
        </is>
      </c>
      <c r="J884" t="inlineStr"/>
      <c r="K884" t="n">
        <v>0</v>
      </c>
      <c r="L884" t="n">
        <v>1</v>
      </c>
      <c r="M884" t="n">
        <v>0</v>
      </c>
      <c r="N884" t="n">
        <v>0</v>
      </c>
      <c r="O884" t="n">
        <v>0</v>
      </c>
      <c r="P884">
        <f>HYPERLINK("https://g1.globo.com/rr/roraima/noticia/2020/09/16/lider-de-organizacao-criminosa-venezuelana-e-preso-em-boa-vista.ghtml", "URL")</f>
        <v/>
      </c>
      <c r="Q884">
        <f>HYPERLINK("https://raw.githubusercontent.com/marcosmapl/dataset_imigrantes/main/materias_filtered/g1/venezuelanos/2020/08_set/html/g1_f50da2a6-2329-11ed-b24f-6dbe51e79fca_4149.html", "HTML")</f>
        <v/>
      </c>
      <c r="R884">
        <f>HYPERLINK("https://raw.githubusercontent.com/marcosmapl/dataset_imigrantes/main/materias_filtered/g1/venezuelanos/2020/08_set/txt/g1_f50da2a6-2329-11ed-b24f-6dbe51e79fca_4149.txt", "TXT")</f>
        <v/>
      </c>
    </row>
    <row r="885">
      <c r="A885" s="1" t="n">
        <v>883</v>
      </c>
      <c r="B885" t="n">
        <v>2020</v>
      </c>
      <c r="C885" s="2" t="n">
        <v>44090.61694444445</v>
      </c>
      <c r="D885" t="inlineStr">
        <is>
          <t>A CRITICA</t>
        </is>
      </c>
      <c r="E885" t="inlineStr">
        <is>
          <t>VENEZUELANOS</t>
        </is>
      </c>
      <c r="F885" t="inlineStr">
        <is>
          <t>POLICIA</t>
        </is>
      </c>
      <c r="G885" t="inlineStr">
        <is>
          <t>FILIPE TÁVORA</t>
        </is>
      </c>
      <c r="H885" t="inlineStr">
        <is>
          <t>LÍDER DE ORGANIZAÇÃO CRIMINOSA DA VENEZUELA É PRESO EM CONDOMÍNIO DE LUXO</t>
        </is>
      </c>
      <c r="I885" t="inlineStr">
        <is>
          <t>CONHECIDO COMO ‘EL CHUCHU’, JOSÉ JESUS ALCALA FOI PRESO EM BOA VISTA, DURANTE OPERAÇÃO QUE ACONTECEU DE FORMA SIMULTÂNEA EM MANAUS</t>
        </is>
      </c>
      <c r="J885" t="inlineStr"/>
      <c r="K885" t="n">
        <v>0</v>
      </c>
      <c r="L885" t="n">
        <v>1</v>
      </c>
      <c r="M885" t="n">
        <v>0</v>
      </c>
      <c r="N885" t="n">
        <v>0</v>
      </c>
      <c r="O885" t="n">
        <v>0</v>
      </c>
      <c r="P885">
        <f>HYPERLINK("https://www.acritica.com/policia/lider-de-organizac-o-criminosa-da-venezuela-e-preso-em-condominio-de-luxo-1.33153", "URL")</f>
        <v/>
      </c>
      <c r="Q885">
        <f>HYPERLINK("https://raw.githubusercontent.com/marcosmapl/dataset_imigrantes/main/materias_filtered/a_critica/venezuelanos/2020/08_set/html/1.33153_919.html", "HTML")</f>
        <v/>
      </c>
      <c r="R885">
        <f>HYPERLINK("https://raw.githubusercontent.com/marcosmapl/dataset_imigrantes/main/materias_filtered/a_critica/venezuelanos/2020/08_set/txt/1.33153_919.txt", "TXT")</f>
        <v/>
      </c>
    </row>
    <row r="886">
      <c r="A886" s="1" t="n">
        <v>884</v>
      </c>
      <c r="B886" t="n">
        <v>2020</v>
      </c>
      <c r="C886" s="2" t="n">
        <v>44090.55796253472</v>
      </c>
      <c r="D886" t="inlineStr">
        <is>
          <t>G1</t>
        </is>
      </c>
      <c r="E886" t="inlineStr">
        <is>
          <t>VENEZUELANOS</t>
        </is>
      </c>
      <c r="F886" t="inlineStr">
        <is>
          <t>MUNDO</t>
        </is>
      </c>
      <c r="G886" t="inlineStr">
        <is>
          <t>FRANCE PRESSE</t>
        </is>
      </c>
      <c r="H886" t="inlineStr">
        <is>
          <t>MISSÃO DA ONU VINCULA MADURO E GOVERNO VENEZUELANO A CRIMES CONTRA A HUMANIDADE</t>
        </is>
      </c>
      <c r="I886" t="inlineStr">
        <is>
          <t>A MISSÃO INTERNACIONAL DA ONU SOBRE A VENEZUELA INVESTIGOU 223 CASOS DE POSSÍVEIS VIOLAÇÕES DOS DIREITOS HUMANOS NO PAÍS. O PRÓPRIO MADURO DAVA ORDENS PARA QUE O SERVIÇO DE INTELIGÊNCIA DETIVESSEM PESSOAS, DISSERAM OS INVESTIGADORES.</t>
        </is>
      </c>
      <c r="J886" t="inlineStr"/>
      <c r="K886" t="n">
        <v>0</v>
      </c>
      <c r="L886" t="n">
        <v>2</v>
      </c>
      <c r="M886" t="n">
        <v>1</v>
      </c>
      <c r="N886" t="n">
        <v>0</v>
      </c>
      <c r="O886" t="n">
        <v>2</v>
      </c>
      <c r="P886">
        <f>HYPERLINK("https://g1.globo.com/mundo/noticia/2020/09/16/missao-da-onu-vincula-maduro-e-governo-venezuelano-a-crimes-contra-a-humanidade.ghtml", "URL")</f>
        <v/>
      </c>
      <c r="Q886">
        <f>HYPERLINK("https://raw.githubusercontent.com/marcosmapl/dataset_imigrantes/main/materias_filtered/g1/venezuelanos/2020/08_set/html/g1_4353e4ba-2317-11ed-b24f-6dbe51e79fca_3197.html", "HTML")</f>
        <v/>
      </c>
      <c r="R886">
        <f>HYPERLINK("https://raw.githubusercontent.com/marcosmapl/dataset_imigrantes/main/materias_filtered/g1/venezuelanos/2020/08_set/txt/g1_4353e4ba-2317-11ed-b24f-6dbe51e79fca_3197.txt", "TXT")</f>
        <v/>
      </c>
    </row>
    <row r="887">
      <c r="A887" s="1" t="n">
        <v>885</v>
      </c>
      <c r="B887" t="n">
        <v>2020</v>
      </c>
      <c r="C887" s="2" t="n">
        <v>44088.98063877315</v>
      </c>
      <c r="D887" t="inlineStr">
        <is>
          <t>G1</t>
        </is>
      </c>
      <c r="E887" t="inlineStr">
        <is>
          <t>VENEZUELANOS</t>
        </is>
      </c>
      <c r="F887" t="inlineStr">
        <is>
          <t>MUNDO</t>
        </is>
      </c>
      <c r="G887" t="inlineStr">
        <is>
          <t>FRANCE PRESSE</t>
        </is>
      </c>
      <c r="H887" t="inlineStr">
        <is>
          <t>AMERICANO PRESO NA VENEZUELA RESPONDERÁ POR TERRORISMO, DIZ PROCURADOR-GERAL VENEZUELANO</t>
        </is>
      </c>
      <c r="I887" t="inlineStr">
        <is>
          <t>REGIME CHAVISTA ACUSA CIDADÃO DOS EUA DE PLANEJAR ATAQUE A REFINARIA DE PETRÓLEO.</t>
        </is>
      </c>
      <c r="J887" t="inlineStr"/>
      <c r="K887" t="n">
        <v>0</v>
      </c>
      <c r="L887" t="n">
        <v>2</v>
      </c>
      <c r="M887" t="n">
        <v>0</v>
      </c>
      <c r="N887" t="n">
        <v>0</v>
      </c>
      <c r="O887" t="n">
        <v>5</v>
      </c>
      <c r="P887">
        <f>HYPERLINK("https://g1.globo.com/mundo/noticia/2020/09/14/americano-preso-na-venezuela-respondera-por-terrorismo-diz-procurador-geral-venezuelano.ghtml", "URL")</f>
        <v/>
      </c>
      <c r="Q887">
        <f>HYPERLINK("https://raw.githubusercontent.com/marcosmapl/dataset_imigrantes/main/materias_filtered/g1/venezuelanos/2020/08_set/html/g1_3160bba4-2324-11ed-b24f-6dbe51e79fca_3854.html", "HTML")</f>
        <v/>
      </c>
      <c r="R887">
        <f>HYPERLINK("https://raw.githubusercontent.com/marcosmapl/dataset_imigrantes/main/materias_filtered/g1/venezuelanos/2020/08_set/txt/g1_3160bba4-2324-11ed-b24f-6dbe51e79fca_3854.txt", "TXT")</f>
        <v/>
      </c>
    </row>
    <row r="888">
      <c r="A888" s="1" t="n">
        <v>886</v>
      </c>
      <c r="B888" t="n">
        <v>2020</v>
      </c>
      <c r="C888" s="2" t="n">
        <v>44087.86828703704</v>
      </c>
      <c r="D888" t="inlineStr">
        <is>
          <t>A CRITICA</t>
        </is>
      </c>
      <c r="E888" t="inlineStr">
        <is>
          <t>VENEZUELANOS</t>
        </is>
      </c>
      <c r="F888" t="inlineStr">
        <is>
          <t>ESPORTES</t>
        </is>
      </c>
      <c r="G888" t="inlineStr">
        <is>
          <t>AGÊNCIA BRASIL</t>
        </is>
      </c>
      <c r="H888" t="inlineStr">
        <is>
          <t>NENÊ MARCA DUAS VEZES E FLUMINENSE BATE O CORINTHIANS</t>
        </is>
      </c>
      <c r="I888" t="inlineStr">
        <is>
          <t>COM O TRIUNFO, O TRICOLOR DAS LARANJEIRAS VOLTOU A SE APROXIMAR DO G4. JÁ O CORINTHIANS, DEPENDENDO DOS RESULTADOS DESTA RODADA, PODE AMARGAR A ZONA DE REBAIXAMENTO.</t>
        </is>
      </c>
      <c r="J888" t="inlineStr"/>
      <c r="K888" t="n">
        <v>0</v>
      </c>
      <c r="L888" t="n">
        <v>1</v>
      </c>
      <c r="M888" t="n">
        <v>0</v>
      </c>
      <c r="N888" t="n">
        <v>0</v>
      </c>
      <c r="O888" t="n">
        <v>0</v>
      </c>
      <c r="P888">
        <f>HYPERLINK("https://www.acritica.com/esportes/nene-marca-duas-vezes-e-fluminense-bate-o-corinthians-1.33321", "URL")</f>
        <v/>
      </c>
      <c r="Q888">
        <f>HYPERLINK("https://raw.githubusercontent.com/marcosmapl/dataset_imigrantes/main/materias_filtered/a_critica/venezuelanos/2020/08_set/html/1.33321_845.html", "HTML")</f>
        <v/>
      </c>
      <c r="R888">
        <f>HYPERLINK("https://raw.githubusercontent.com/marcosmapl/dataset_imigrantes/main/materias_filtered/a_critica/venezuelanos/2020/08_set/txt/1.33321_845.txt", "TXT")</f>
        <v/>
      </c>
    </row>
    <row r="889">
      <c r="A889" s="1" t="n">
        <v>887</v>
      </c>
      <c r="B889" t="n">
        <v>2020</v>
      </c>
      <c r="C889" s="2" t="n">
        <v>44087.58870424768</v>
      </c>
      <c r="D889" t="inlineStr">
        <is>
          <t>G1</t>
        </is>
      </c>
      <c r="E889" t="inlineStr">
        <is>
          <t>VENEZUELANOS</t>
        </is>
      </c>
      <c r="F889" t="inlineStr">
        <is>
          <t>MUNDO</t>
        </is>
      </c>
      <c r="G889" t="inlineStr">
        <is>
          <t>FRANCE PRESSE</t>
        </is>
      </c>
      <c r="H889" t="inlineStr">
        <is>
          <t>VAZAMENTO DE PETRÓLEO AFETA A COSTA DA VENEZUELA</t>
        </is>
      </c>
      <c r="I889" t="inlineStr">
        <is>
          <t>PROBLEMA OCORRE EM UMA TUBULAÇÃO LIGADA AO PRINCIPAL CENTRO DE REFINO DO PAÍS, SEGUNDO A ESTATAL VENEZUELANA.</t>
        </is>
      </c>
      <c r="J889" t="inlineStr"/>
      <c r="K889" t="n">
        <v>0</v>
      </c>
      <c r="L889" t="n">
        <v>0</v>
      </c>
      <c r="M889" t="n">
        <v>0</v>
      </c>
      <c r="N889" t="n">
        <v>0</v>
      </c>
      <c r="O889" t="n">
        <v>0</v>
      </c>
      <c r="P889">
        <f>HYPERLINK("https://g1.globo.com/mundo/noticia/2020/09/13/vazamento-de-petroleo-afeta-a-costa-da-venezuela.ghtml", "URL")</f>
        <v/>
      </c>
      <c r="Q889">
        <f>HYPERLINK("https://raw.githubusercontent.com/marcosmapl/dataset_imigrantes/main/materias_filtered/g1/venezuelanos/2020/08_set/html/g1_2fd0b2d0-2310-11ed-b24f-6dbe51e79fca_2844.html", "HTML")</f>
        <v/>
      </c>
      <c r="R889">
        <f>HYPERLINK("https://raw.githubusercontent.com/marcosmapl/dataset_imigrantes/main/materias_filtered/g1/venezuelanos/2020/08_set/txt/g1_2fd0b2d0-2310-11ed-b24f-6dbe51e79fca_2844.txt", "TXT")</f>
        <v/>
      </c>
    </row>
    <row r="890">
      <c r="A890" s="1" t="n">
        <v>888</v>
      </c>
      <c r="B890" t="n">
        <v>2020</v>
      </c>
      <c r="C890" s="2" t="n">
        <v>44086.08810442129</v>
      </c>
      <c r="D890" t="inlineStr">
        <is>
          <t>G1</t>
        </is>
      </c>
      <c r="E890" t="inlineStr">
        <is>
          <t>VENEZUELANOS</t>
        </is>
      </c>
      <c r="F890" t="inlineStr">
        <is>
          <t>MUNDO</t>
        </is>
      </c>
      <c r="G890" t="inlineStr">
        <is>
          <t>DEISY BUITRAGO E VIVIAN SEQUERA, REUTERS</t>
        </is>
      </c>
      <c r="H890" t="inlineStr">
        <is>
          <t>MADURO DIZ QUE 'ESPIÃO DOS EUA' FOI DETIDO PERTO DE REFINARIA VENEZUELANA</t>
        </is>
      </c>
      <c r="I890" t="inlineStr">
        <is>
          <t>PRESIDENTE DO GOVERNO CHAVISTA DIZ QUE HAVIA PLANO PARA PROVOCAR A EXPLOSÃO DE UMA DAS REFINARIAS DO PAÍS, QUE SOFRE COM A FALTA DE COMBUSTÍVEIS.</t>
        </is>
      </c>
      <c r="J890" t="inlineStr"/>
      <c r="K890" t="n">
        <v>0</v>
      </c>
      <c r="L890" t="n">
        <v>3</v>
      </c>
      <c r="M890" t="n">
        <v>0</v>
      </c>
      <c r="N890" t="n">
        <v>0</v>
      </c>
      <c r="O890" t="n">
        <v>6</v>
      </c>
      <c r="P890">
        <f>HYPERLINK("https://g1.globo.com/mundo/noticia/2020/09/11/maduro-diz-que-espiao-dos-eua-foi-detido-perto-de-refinaria-venezuelana.ghtml", "URL")</f>
        <v/>
      </c>
      <c r="Q890">
        <f>HYPERLINK("https://raw.githubusercontent.com/marcosmapl/dataset_imigrantes/main/materias_filtered/g1/venezuelanos/2020/08_set/html/g1_ea2a0386-2327-11ed-b24f-6dbe51e79fca_4055.html", "HTML")</f>
        <v/>
      </c>
      <c r="R890">
        <f>HYPERLINK("https://raw.githubusercontent.com/marcosmapl/dataset_imigrantes/main/materias_filtered/g1/venezuelanos/2020/08_set/txt/g1_ea2a0386-2327-11ed-b24f-6dbe51e79fca_4055.txt", "TXT")</f>
        <v/>
      </c>
    </row>
    <row r="891">
      <c r="A891" s="1" t="n">
        <v>889</v>
      </c>
      <c r="B891" t="n">
        <v>2020</v>
      </c>
      <c r="C891" s="2" t="n">
        <v>44086.0358449074</v>
      </c>
      <c r="D891" t="inlineStr">
        <is>
          <t>A CRITICA</t>
        </is>
      </c>
      <c r="E891" t="inlineStr">
        <is>
          <t>VENEZUELANOS</t>
        </is>
      </c>
      <c r="F891" t="inlineStr"/>
      <c r="G891" t="inlineStr">
        <is>
          <t>REUTERS</t>
        </is>
      </c>
      <c r="H891" t="inlineStr">
        <is>
          <t>MADURO DIZ QUE 'ESPIÃO DOS EUA' FOI DETIDO PERTO DE REFINARIA VENEZUELANA</t>
        </is>
      </c>
      <c r="I891" t="inlineStr">
        <is>
          <t>MADURO DISSE QUE SE TRATAVA DE “UM MARINE, QUE SERVIU COMO MARINE EM BASES DA CIA NO IRAQUE</t>
        </is>
      </c>
      <c r="J891" t="inlineStr"/>
      <c r="K891" t="n">
        <v>0</v>
      </c>
      <c r="L891" t="n">
        <v>1</v>
      </c>
      <c r="M891" t="n">
        <v>0</v>
      </c>
      <c r="N891" t="n">
        <v>0</v>
      </c>
      <c r="O891" t="n">
        <v>0</v>
      </c>
      <c r="P891">
        <f>HYPERLINK("https://www.acritica.com/maduro-diz-que-espi-o-dos-eua-foi-detido-perto-de-refinaria-venezuelana-1.33381", "URL")</f>
        <v/>
      </c>
      <c r="Q891">
        <f>HYPERLINK("https://raw.githubusercontent.com/marcosmapl/dataset_imigrantes/main/materias_filtered/a_critica/venezuelanos/2020/08_set/html/1.33381_1099.html", "HTML")</f>
        <v/>
      </c>
      <c r="R891">
        <f>HYPERLINK("https://raw.githubusercontent.com/marcosmapl/dataset_imigrantes/main/materias_filtered/a_critica/venezuelanos/2020/08_set/txt/1.33381_1099.txt", "TXT")</f>
        <v/>
      </c>
    </row>
    <row r="892">
      <c r="A892" s="1" t="n">
        <v>890</v>
      </c>
      <c r="B892" t="n">
        <v>2020</v>
      </c>
      <c r="C892" s="2" t="n">
        <v>44084.72018518519</v>
      </c>
      <c r="D892" t="inlineStr">
        <is>
          <t>A CRITICA</t>
        </is>
      </c>
      <c r="E892" t="inlineStr">
        <is>
          <t>VENEZUELANOS</t>
        </is>
      </c>
      <c r="F892" t="inlineStr"/>
      <c r="G892" t="inlineStr">
        <is>
          <t>PORTAL A CRÍTICA</t>
        </is>
      </c>
      <c r="H892" t="inlineStr">
        <is>
          <t>ONG HERMANITOS ABRE VAGAS PARA VOLUNTÁRIOS EM DIVERSAS ÁREAS</t>
        </is>
      </c>
      <c r="I892" t="inlineStr">
        <is>
          <t>EM MANAUS, A ONG PROMOVE INICIATIVAS DE ACOLHIMENTO E MELHORIA DA QUALIDADE DE VIDA DE IMIGRANTES VENEZUELANOS</t>
        </is>
      </c>
      <c r="J892" t="inlineStr"/>
      <c r="K892" t="n">
        <v>0</v>
      </c>
      <c r="L892" t="n">
        <v>1</v>
      </c>
      <c r="M892" t="n">
        <v>0</v>
      </c>
      <c r="N892" t="n">
        <v>0</v>
      </c>
      <c r="O892" t="n">
        <v>2</v>
      </c>
      <c r="P892">
        <f>HYPERLINK("https://www.acritica.com/ong-hermanitos-abre-vagas-para-voluntarios-em-diversas-areas-1.33448", "URL")</f>
        <v/>
      </c>
      <c r="Q892">
        <f>HYPERLINK("https://raw.githubusercontent.com/marcosmapl/dataset_imigrantes/main/materias_filtered/a_critica/venezuelanos/2020/08_set/html/1.33448_60.html", "HTML")</f>
        <v/>
      </c>
      <c r="R892">
        <f>HYPERLINK("https://raw.githubusercontent.com/marcosmapl/dataset_imigrantes/main/materias_filtered/a_critica/venezuelanos/2020/08_set/txt/1.33448_60.txt", "TXT")</f>
        <v/>
      </c>
    </row>
    <row r="893">
      <c r="A893" s="1" t="n">
        <v>891</v>
      </c>
      <c r="B893" t="n">
        <v>2020</v>
      </c>
      <c r="C893" s="2" t="n">
        <v>44084.41180555556</v>
      </c>
      <c r="D893" t="inlineStr">
        <is>
          <t>PORTAL AMAZONIA</t>
        </is>
      </c>
      <c r="E893" t="inlineStr">
        <is>
          <t>VENEZUELANOS</t>
        </is>
      </c>
      <c r="F893" t="inlineStr">
        <is>
          <t>PARÁ,NOTÍCIAS,CIDADES,SAÚDE</t>
        </is>
      </c>
      <c r="G893" t="inlineStr">
        <is>
          <t>PORTAL AMAZÔNIA, COM INFORMAÇÕES DO MPF-PA</t>
        </is>
      </c>
      <c r="H893" t="inlineStr">
        <is>
          <t>JUSTIÇA DETERMINA DISTRIBUIÇÃO DE CESTAS BÁSICAS E PRODUTOS DE HIGIENE A INDÍGENAS NO PARÁ</t>
        </is>
      </c>
      <c r="I893" t="inlineStr">
        <is>
          <t>O FORNECIMENTO DEVE OCORRER ENQUANTO DURAR A PANDEMIA DA COVID-19.</t>
        </is>
      </c>
      <c r="J893" t="inlineStr">
        <is>
          <t>CIDADES, INDIGENAS DO MEDIO XINGU, INDIGENAS DO PARÁ, NOTÍCIAS, PARÁ, SAÚDE</t>
        </is>
      </c>
      <c r="K893" t="n">
        <v>6</v>
      </c>
      <c r="L893" t="n">
        <v>2</v>
      </c>
      <c r="M893" t="n">
        <v>0</v>
      </c>
      <c r="N893" t="n">
        <v>0</v>
      </c>
      <c r="O893" t="n">
        <v>17</v>
      </c>
      <c r="P893">
        <f>HYPERLINK("https://portalamazonia.com/noticias/justica-determina-distribuicao-de-cestas-basicas-e-produtos-de-higiene-a-indigenas-no-para", "URL")</f>
        <v/>
      </c>
      <c r="Q893">
        <f>HYPERLINK("https://raw.githubusercontent.com/marcosmapl/dataset_imigrantes/main/materias_filtered/portal_amazonia/venezuelanos/2020/08_set/html/28201.42117_1414.html", "HTML")</f>
        <v/>
      </c>
      <c r="R893">
        <f>HYPERLINK("https://raw.githubusercontent.com/marcosmapl/dataset_imigrantes/main/materias_filtered/portal_amazonia/venezuelanos/2020/08_set/txt/28201.42117_1414.txt", "TXT")</f>
        <v/>
      </c>
    </row>
    <row r="894">
      <c r="A894" s="1" t="n">
        <v>892</v>
      </c>
      <c r="B894" t="n">
        <v>2020</v>
      </c>
      <c r="C894" s="2" t="n">
        <v>44082.8935462963</v>
      </c>
      <c r="D894" t="inlineStr">
        <is>
          <t>G1</t>
        </is>
      </c>
      <c r="E894" t="inlineStr">
        <is>
          <t>HAITIANOS</t>
        </is>
      </c>
      <c r="F894" t="inlineStr">
        <is>
          <t>RIO GRANDE DO SUL</t>
        </is>
      </c>
      <c r="G894" t="inlineStr">
        <is>
          <t>G1 RS</t>
        </is>
      </c>
      <c r="H894" t="inlineStr">
        <is>
          <t>JUSTIÇA DO TRABALHO DETERMINA INDENIZAÇÃO DE R$ 15 MIL A HAITIANO POR OFENSAS RACISTAS DE EX-CHEFE EM PORTO ALEGRE</t>
        </is>
      </c>
      <c r="I894" t="inlineStr">
        <is>
          <t>TRABALHADOR RELATOU OUVIR TERMOS COMO 'PRETO' E 'MACACO'. EMPRESA ALEGA QUE DEMISSÃO FOI CAUSADA POR FALTA AO TRABALHO. CABE RECURSO DA DECISÃO AO TST.</t>
        </is>
      </c>
      <c r="J894" t="inlineStr"/>
      <c r="K894" t="n">
        <v>0</v>
      </c>
      <c r="L894" t="n">
        <v>1</v>
      </c>
      <c r="M894" t="n">
        <v>0</v>
      </c>
      <c r="N894" t="n">
        <v>0</v>
      </c>
      <c r="O894" t="n">
        <v>6</v>
      </c>
      <c r="P894">
        <f>HYPERLINK("https://g1.globo.com/rs/rio-grande-do-sul/noticia/2020/09/08/haitiano-e-indenizado-em-r-15-mil-por-sofrer-ofensas-racistas-de-ex-chefe-em-porto-alegre.ghtml", "URL")</f>
        <v/>
      </c>
      <c r="Q894">
        <f>HYPERLINK("https://raw.githubusercontent.com/marcosmapl/dataset_imigrantes/main/materias_filtered/g1/haitianos/2020/08_set/html/g1_535e410c-7eff-47dd-bbf5-c400805d7f65_1627.html", "HTML")</f>
        <v/>
      </c>
      <c r="R894">
        <f>HYPERLINK("https://raw.githubusercontent.com/marcosmapl/dataset_imigrantes/main/materias_filtered/g1/haitianos/2020/08_set/txt/g1_535e410c-7eff-47dd-bbf5-c400805d7f65_1627.txt", "TXT")</f>
        <v/>
      </c>
    </row>
    <row r="895">
      <c r="A895" s="1" t="n">
        <v>893</v>
      </c>
      <c r="B895" t="n">
        <v>2020</v>
      </c>
      <c r="C895" s="2" t="n">
        <v>44080.8917984838</v>
      </c>
      <c r="D895" t="inlineStr">
        <is>
          <t>G1</t>
        </is>
      </c>
      <c r="E895" t="inlineStr">
        <is>
          <t>VENEZUELANOS</t>
        </is>
      </c>
      <c r="F895" t="inlineStr">
        <is>
          <t>RORAIMA</t>
        </is>
      </c>
      <c r="G895" t="inlineStr">
        <is>
          <t>G1 RR — BOA VISTA</t>
        </is>
      </c>
      <c r="H895" t="inlineStr">
        <is>
          <t>HOMEM É PRESO POR DIRIGIR EMBRIAGADO E CAUSAR ACIDENTE EM BOA VISTA</t>
        </is>
      </c>
      <c r="I895" t="inlineStr">
        <is>
          <t>SEGUNDO A PM, O SUSPEITO É DE ORIGEM VENEZUELANA E NÃO POSSUI LICENÇA PARA DIRIGIR NO BRASIL.</t>
        </is>
      </c>
      <c r="J895" t="inlineStr"/>
      <c r="K895" t="n">
        <v>0</v>
      </c>
      <c r="L895" t="n">
        <v>1</v>
      </c>
      <c r="M895" t="n">
        <v>0</v>
      </c>
      <c r="N895" t="n">
        <v>0</v>
      </c>
      <c r="O895" t="n">
        <v>0</v>
      </c>
      <c r="P895">
        <f>HYPERLINK("https://g1.globo.com/rr/roraima/noticia/2020/09/06/homem-e-preso-por-dirigir-embriagado-e-causar-acidente-em-boa-vista.ghtml", "URL")</f>
        <v/>
      </c>
      <c r="Q895">
        <f>HYPERLINK("https://raw.githubusercontent.com/marcosmapl/dataset_imigrantes/main/materias_filtered/g1/venezuelanos/2020/08_set/html/g1_6c399810-2309-11ed-b24f-6dbe51e79fca_2443.html", "HTML")</f>
        <v/>
      </c>
      <c r="R895">
        <f>HYPERLINK("https://raw.githubusercontent.com/marcosmapl/dataset_imigrantes/main/materias_filtered/g1/venezuelanos/2020/08_set/txt/g1_6c399810-2309-11ed-b24f-6dbe51e79fca_2443.txt", "TXT")</f>
        <v/>
      </c>
    </row>
    <row r="896">
      <c r="A896" s="1" t="n">
        <v>894</v>
      </c>
      <c r="B896" t="n">
        <v>2020</v>
      </c>
      <c r="C896" s="2" t="n">
        <v>44078.97678240741</v>
      </c>
      <c r="D896" t="inlineStr">
        <is>
          <t>A CRITICA</t>
        </is>
      </c>
      <c r="E896" t="inlineStr">
        <is>
          <t>VENEZUELANOS</t>
        </is>
      </c>
      <c r="F896" t="inlineStr"/>
      <c r="G896" t="inlineStr">
        <is>
          <t>AGÊNCIA BRASIL</t>
        </is>
      </c>
      <c r="H896" t="inlineStr">
        <is>
          <t>BRASIL DECLARA DIPLOMATAS DO GOVERNO MADURO 'PERSONAE NON GRATAE'</t>
        </is>
      </c>
      <c r="I896" t="inlineStr">
        <is>
          <t>O ITAMARATY INFORMOU AINDA QUE A DECLARAÇÃO DE “PERSONA NON GRATA” NÃO EQUIVALE, PORTANTO, À EXPULSÃO OU QUALQUER OUTRA MEDIDA DE RETIRADA COMPULSÓRIA DO TERRITÓRIO NACIONAL</t>
        </is>
      </c>
      <c r="J896" t="inlineStr"/>
      <c r="K896" t="n">
        <v>0</v>
      </c>
      <c r="L896" t="n">
        <v>1</v>
      </c>
      <c r="M896" t="n">
        <v>0</v>
      </c>
      <c r="N896" t="n">
        <v>0</v>
      </c>
      <c r="O896" t="n">
        <v>0</v>
      </c>
      <c r="P896">
        <f>HYPERLINK("https://www.acritica.com/brasil-declara-diplomatas-do-governo-maduro-personae-non-gratae-1.33816", "URL")</f>
        <v/>
      </c>
      <c r="Q896">
        <f>HYPERLINK("https://raw.githubusercontent.com/marcosmapl/dataset_imigrantes/main/materias_filtered/a_critica/venezuelanos/2020/08_set/html/1.33816_570.html", "HTML")</f>
        <v/>
      </c>
      <c r="R896">
        <f>HYPERLINK("https://raw.githubusercontent.com/marcosmapl/dataset_imigrantes/main/materias_filtered/a_critica/venezuelanos/2020/08_set/txt/1.33816_570.txt", "TXT")</f>
        <v/>
      </c>
    </row>
    <row r="897">
      <c r="A897" s="1" t="n">
        <v>895</v>
      </c>
      <c r="B897" t="n">
        <v>2020</v>
      </c>
      <c r="C897" s="2" t="n">
        <v>44078.51423092592</v>
      </c>
      <c r="D897" t="inlineStr">
        <is>
          <t>G1</t>
        </is>
      </c>
      <c r="E897" t="inlineStr">
        <is>
          <t>VENEZUELANOS</t>
        </is>
      </c>
      <c r="F897" t="inlineStr">
        <is>
          <t>ECONOMIA</t>
        </is>
      </c>
      <c r="G897" t="inlineStr">
        <is>
          <t>FRANCE PRESSE</t>
        </is>
      </c>
      <c r="H897" t="inlineStr">
        <is>
          <t>VENEZUELANOS LIDAM COM HIPERINFLAÇÃO EM MEIO À PANDEMIA</t>
        </is>
      </c>
      <c r="I897" t="inlineStr">
        <is>
          <t>COM DINHEIRO ESCASSO E MOEDAS INEXISTENTES, POPULAÇÃO DEPENDE DOS CARTÕES DE DÉBITO PARA PAGAR O CAFÉ E DE MOEDAS ESTRANGEIRAS, ESPECIALMENTE O DÓLAR.</t>
        </is>
      </c>
      <c r="J897" t="inlineStr"/>
      <c r="K897" t="n">
        <v>0</v>
      </c>
      <c r="L897" t="n">
        <v>1</v>
      </c>
      <c r="M897" t="n">
        <v>1</v>
      </c>
      <c r="N897" t="n">
        <v>0</v>
      </c>
      <c r="O897" t="n">
        <v>2</v>
      </c>
      <c r="P897">
        <f>HYPERLINK("https://g1.globo.com/economia/noticia/2020/09/04/venezuelanos-lidam-com-hiperinflacao-em-meio-a-pandemia.ghtml", "URL")</f>
        <v/>
      </c>
      <c r="Q897">
        <f>HYPERLINK("https://raw.githubusercontent.com/marcosmapl/dataset_imigrantes/main/materias_filtered/g1/venezuelanos/2020/08_set/html/g1_7748c7a8-232c-11ed-b24f-6dbe51e79fca_4306.html", "HTML")</f>
        <v/>
      </c>
      <c r="R897">
        <f>HYPERLINK("https://raw.githubusercontent.com/marcosmapl/dataset_imigrantes/main/materias_filtered/g1/venezuelanos/2020/08_set/txt/g1_7748c7a8-232c-11ed-b24f-6dbe51e79fca_4306.txt", "TXT")</f>
        <v/>
      </c>
    </row>
    <row r="898">
      <c r="A898" s="1" t="n">
        <v>896</v>
      </c>
      <c r="B898" t="n">
        <v>2020</v>
      </c>
      <c r="C898" s="2" t="n">
        <v>44076.57409047454</v>
      </c>
      <c r="D898" t="inlineStr">
        <is>
          <t>G1</t>
        </is>
      </c>
      <c r="E898" t="inlineStr">
        <is>
          <t>VENEZUELANOS</t>
        </is>
      </c>
      <c r="F898" t="inlineStr">
        <is>
          <t>RORAIMA</t>
        </is>
      </c>
      <c r="G898" t="inlineStr">
        <is>
          <t>G1 RR — BOA VISTA</t>
        </is>
      </c>
      <c r="H898" t="inlineStr">
        <is>
          <t>VENEZUELANO É ASSASSINADO COM CINCO TIROS NA ZONA OESTE DE BOA VISTA</t>
        </is>
      </c>
      <c r="I898" t="inlineStr">
        <is>
          <t>TESTEMUNHAS RELATARAM QUE SUSPEITO DISPAROU APÓS DISCUSSÃO COM A VÍTIMA.</t>
        </is>
      </c>
      <c r="J898" t="inlineStr"/>
      <c r="K898" t="n">
        <v>0</v>
      </c>
      <c r="L898" t="n">
        <v>1</v>
      </c>
      <c r="M898" t="n">
        <v>0</v>
      </c>
      <c r="N898" t="n">
        <v>0</v>
      </c>
      <c r="O898" t="n">
        <v>0</v>
      </c>
      <c r="P898">
        <f>HYPERLINK("https://g1.globo.com/rr/roraima/noticia/2020/09/02/venezuelano-e-assassinado-com-cinco-tiros-na-zona-oeste-de-boa-vista.ghtml", "URL")</f>
        <v/>
      </c>
      <c r="Q898">
        <f>HYPERLINK("https://raw.githubusercontent.com/marcosmapl/dataset_imigrantes/main/materias_filtered/g1/venezuelanos/2020/08_set/html/g1_932693e0-2329-11ed-b24f-6dbe51e79fca_4125.html", "HTML")</f>
        <v/>
      </c>
      <c r="R898">
        <f>HYPERLINK("https://raw.githubusercontent.com/marcosmapl/dataset_imigrantes/main/materias_filtered/g1/venezuelanos/2020/08_set/txt/g1_932693e0-2329-11ed-b24f-6dbe51e79fca_4125.txt", "TXT")</f>
        <v/>
      </c>
    </row>
    <row r="899">
      <c r="A899" s="1" t="n">
        <v>897</v>
      </c>
      <c r="B899" t="n">
        <v>2020</v>
      </c>
      <c r="C899" s="2" t="n">
        <v>44075.83007328703</v>
      </c>
      <c r="D899" t="inlineStr">
        <is>
          <t>G1</t>
        </is>
      </c>
      <c r="E899" t="inlineStr">
        <is>
          <t>HAITIANOS</t>
        </is>
      </c>
      <c r="F899" t="inlineStr">
        <is>
          <t>PARANÁ</t>
        </is>
      </c>
      <c r="G899" t="inlineStr">
        <is>
          <t>RPC CURITIBA</t>
        </is>
      </c>
      <c r="H899" t="inlineStr">
        <is>
          <t>MULHER IMOBILIZA SUSPEITO APÓS TER CELULAR FURTADO, EM CURITIBA: 'TEM QUE SAIR NA RUA PARA PROCURAR TRABALHO E NÃO PARA ROUBAR'</t>
        </is>
      </c>
      <c r="I899" t="inlineStr">
        <is>
          <t>POLÍCIA CIVIL DESTACA QUE NÃO SE DEVE REAGIR EM CASOS DE FURTO OU ROUBO; MULHER CONTOU COM AJUDA DE OUTRAS PESSOAS, QUE IMPEDIRAM A FUGA DO HOMEM, NO CENTRO DA CAPITAL.</t>
        </is>
      </c>
      <c r="J899" t="inlineStr"/>
      <c r="K899" t="n">
        <v>0</v>
      </c>
      <c r="L899" t="n">
        <v>2</v>
      </c>
      <c r="M899" t="n">
        <v>1</v>
      </c>
      <c r="N899" t="n">
        <v>0</v>
      </c>
      <c r="O899" t="n">
        <v>7</v>
      </c>
      <c r="P899">
        <f>HYPERLINK("https://g1.globo.com/pr/parana/noticia/2020/09/01/mulher-imobiliza-suspeito-apos-ter-celular-furtado-em-curitiba.ghtml", "URL")</f>
        <v/>
      </c>
      <c r="Q899">
        <f>HYPERLINK("https://raw.githubusercontent.com/marcosmapl/dataset_imigrantes/main/materias_filtered/g1/haitianos/2020/08_set/html/g1_ca494370-22b3-11ed-b24f-6dbe51e79fca_1644.html", "HTML")</f>
        <v/>
      </c>
      <c r="R899">
        <f>HYPERLINK("https://raw.githubusercontent.com/marcosmapl/dataset_imigrantes/main/materias_filtered/g1/haitianos/2020/08_set/txt/g1_ca494370-22b3-11ed-b24f-6dbe51e79fca_1644.txt", "TXT")</f>
        <v/>
      </c>
    </row>
    <row r="900">
      <c r="A900" s="1" t="n">
        <v>898</v>
      </c>
      <c r="B900" t="n">
        <v>2020</v>
      </c>
      <c r="C900" s="2" t="n">
        <v>44075.00694444445</v>
      </c>
      <c r="D900" t="inlineStr">
        <is>
          <t>A CRITICA</t>
        </is>
      </c>
      <c r="E900" t="inlineStr">
        <is>
          <t>VENEZUELANOS</t>
        </is>
      </c>
      <c r="F900" t="inlineStr">
        <is>
          <t>ESPORTES</t>
        </is>
      </c>
      <c r="G900" t="inlineStr">
        <is>
          <t>LEONARDO SENA</t>
        </is>
      </c>
      <c r="H900" t="inlineStr">
        <is>
          <t>COM 18 ANOS, DAYANA CELEBRA PRIMEIRO GOL NO FUTEBOL AMAZONENSE</t>
        </is>
      </c>
      <c r="I900" t="inlineStr">
        <is>
          <t>ANTES JOGADORA DO 3B, VENEZUELANA AGORA FAZ PARTE DO IRANDUBA APÓS PARCERIA FIRMADA ENTRE CLUBES. GOLAÇO CONTRA O VITÓRIA-BA FOI O PRIMEIRO NO FUTEBOL BARÉ</t>
        </is>
      </c>
      <c r="J900" t="inlineStr"/>
      <c r="K900" t="n">
        <v>0</v>
      </c>
      <c r="L900" t="n">
        <v>1</v>
      </c>
      <c r="M900" t="n">
        <v>0</v>
      </c>
      <c r="N900" t="n">
        <v>0</v>
      </c>
      <c r="O900" t="n">
        <v>1</v>
      </c>
      <c r="P900">
        <f>HYPERLINK("https://www.acritica.com/esportes/com-18-anos-dayana-celebra-primeiro-gol-no-futebol-amazonense-1.34238", "URL")</f>
        <v/>
      </c>
      <c r="Q900">
        <f>HYPERLINK("https://raw.githubusercontent.com/marcosmapl/dataset_imigrantes/main/materias_filtered/a_critica/venezuelanos/2020/08_set/html/1.34238_78.html", "HTML")</f>
        <v/>
      </c>
      <c r="R900">
        <f>HYPERLINK("https://raw.githubusercontent.com/marcosmapl/dataset_imigrantes/main/materias_filtered/a_critica/venezuelanos/2020/08_set/txt/1.34238_78.txt", "TXT")</f>
        <v/>
      </c>
    </row>
    <row r="901">
      <c r="A901" s="1" t="n">
        <v>899</v>
      </c>
      <c r="B901" t="n">
        <v>2020</v>
      </c>
      <c r="C901" s="2" t="n">
        <v>44071.98372819444</v>
      </c>
      <c r="D901" t="inlineStr">
        <is>
          <t>G1</t>
        </is>
      </c>
      <c r="E901" t="inlineStr">
        <is>
          <t>VENEZUELANOS</t>
        </is>
      </c>
      <c r="F901" t="inlineStr">
        <is>
          <t>MUNDO</t>
        </is>
      </c>
      <c r="G901" t="inlineStr">
        <is>
          <t>G1</t>
        </is>
      </c>
      <c r="H901" t="inlineStr">
        <is>
          <t>BRASIL CONCEDE REFÚGIO A QUASE 8 MIL VENEZUELANOS DE UMA VEZ</t>
        </is>
      </c>
      <c r="I901" t="inlineStr">
        <is>
          <t>COMITÊ APROVOU NOVA LEVA DE RECONHECIMENTO DO STATUS DE REFUGIADO A CIDADÃOS DA VENEZUELA, QUE RESPONDEM POR MAIS DA METADE DAS SOLICITAÇÕES AINDA EM ANDAMENTO.</t>
        </is>
      </c>
      <c r="J901" t="inlineStr"/>
      <c r="K901" t="n">
        <v>0</v>
      </c>
      <c r="L901" t="n">
        <v>2</v>
      </c>
      <c r="M901" t="n">
        <v>0</v>
      </c>
      <c r="N901" t="n">
        <v>0</v>
      </c>
      <c r="O901" t="n">
        <v>7</v>
      </c>
      <c r="P901">
        <f>HYPERLINK("https://g1.globo.com/mundo/noticia/2020/08/28/brasil-concede-refugio-a-quase-8-mil-venezuelanos-de-uma-vez.ghtml", "URL")</f>
        <v/>
      </c>
      <c r="Q901">
        <f>HYPERLINK("https://raw.githubusercontent.com/marcosmapl/dataset_imigrantes/main/materias_filtered/g1/venezuelanos/2020/07_ago/html/g1_d7c8e8f8-232a-11ed-b24f-6dbe51e79fca_4206.html", "HTML")</f>
        <v/>
      </c>
      <c r="R901">
        <f>HYPERLINK("https://raw.githubusercontent.com/marcosmapl/dataset_imigrantes/main/materias_filtered/g1/venezuelanos/2020/07_ago/txt/g1_d7c8e8f8-232a-11ed-b24f-6dbe51e79fca_4206.txt", "TXT")</f>
        <v/>
      </c>
    </row>
    <row r="902">
      <c r="A902" s="1" t="n">
        <v>900</v>
      </c>
      <c r="B902" t="n">
        <v>2020</v>
      </c>
      <c r="C902" s="2" t="n">
        <v>44069.70869015047</v>
      </c>
      <c r="D902" t="inlineStr">
        <is>
          <t>G1</t>
        </is>
      </c>
      <c r="E902" t="inlineStr">
        <is>
          <t>VENEZUELANOS</t>
        </is>
      </c>
      <c r="F902" t="inlineStr">
        <is>
          <t>SÃO PAULO</t>
        </is>
      </c>
      <c r="G902" t="inlineStr">
        <is>
          <t>PATRÍCIA FIGUEIREDO E TAHIANE STOCHERO, G1 SP — SÃO PAULO</t>
        </is>
      </c>
      <c r="H902" t="inlineStr">
        <is>
          <t>EM MEIO À PANDEMIA, SP RECEBEU 2 MIL IMIGRANTES VENEZUELANOS; ESTRANGEIROS RELATAM DISCRIMINAÇÃO EM AGÊNCIAS</t>
        </is>
      </c>
      <c r="I902" t="inlineStr">
        <is>
          <t>2.018 VENEZUELANOS FORAM ATENDIDOS PELA CARITAS NO ESTADO NOS ÚLTIMOS 6 MESES. NA CAPITAL, ESTRANGEIROS TÊM DIFICULDADE EM RECEBER ATENDIMENTO NO BANCO E DENUNCIAM CASOS DE XENOFOBIA.</t>
        </is>
      </c>
      <c r="J902" t="inlineStr"/>
      <c r="K902" t="n">
        <v>0</v>
      </c>
      <c r="L902" t="n">
        <v>1</v>
      </c>
      <c r="M902" t="n">
        <v>0</v>
      </c>
      <c r="N902" t="n">
        <v>0</v>
      </c>
      <c r="O902" t="n">
        <v>1</v>
      </c>
      <c r="P902">
        <f>HYPERLINK("https://g1.globo.com/sp/sao-paulo/noticia/2020/08/26/em-meio-a-pandemia-sp-recebeu-2-mil-imigrantes-venezuelanos-estrangeiros-relatam-discriminacao-em-agencias-bancarias.ghtml", "URL")</f>
        <v/>
      </c>
      <c r="Q902">
        <f>HYPERLINK("https://raw.githubusercontent.com/marcosmapl/dataset_imigrantes/main/materias_filtered/g1/venezuelanos/2020/07_ago/html/g1_c455c690-2309-11ed-b24f-6dbe51e79fca_2462.html", "HTML")</f>
        <v/>
      </c>
      <c r="R902">
        <f>HYPERLINK("https://raw.githubusercontent.com/marcosmapl/dataset_imigrantes/main/materias_filtered/g1/venezuelanos/2020/07_ago/txt/g1_c455c690-2309-11ed-b24f-6dbe51e79fca_2462.txt", "TXT")</f>
        <v/>
      </c>
    </row>
    <row r="903">
      <c r="A903" s="1" t="n">
        <v>901</v>
      </c>
      <c r="B903" t="n">
        <v>2020</v>
      </c>
      <c r="C903" s="2" t="n">
        <v>44068.01481254629</v>
      </c>
      <c r="D903" t="inlineStr">
        <is>
          <t>G1</t>
        </is>
      </c>
      <c r="E903" t="inlineStr">
        <is>
          <t>HAITIANOS</t>
        </is>
      </c>
      <c r="F903" t="inlineStr">
        <is>
          <t>MUNDO</t>
        </is>
      </c>
      <c r="G903" t="inlineStr">
        <is>
          <t>BBC</t>
        </is>
      </c>
      <c r="H903" t="inlineStr">
        <is>
          <t>LAURA E MARCO: AS TEMPESTADES TROPICAIS QUE ASSUSTAM A AMÉRICA CENTRAL E OS EUA</t>
        </is>
      </c>
      <c r="I903" t="inlineStr">
        <is>
          <t>ESPECIALISTAS APONTAM PARA A POSSIBILIDADE DE QUE COSTA NORTE-AMERICANA TENHA DOIS FURACÕES AO MESMO TEMPO.</t>
        </is>
      </c>
      <c r="J903" t="inlineStr"/>
      <c r="K903" t="n">
        <v>0</v>
      </c>
      <c r="L903" t="n">
        <v>2</v>
      </c>
      <c r="M903" t="n">
        <v>1</v>
      </c>
      <c r="N903" t="n">
        <v>0</v>
      </c>
      <c r="O903" t="n">
        <v>8</v>
      </c>
      <c r="P903">
        <f>HYPERLINK("https://g1.globo.com/mundo/noticia/2020/08/24/laura-e-marco-as-tempestades-tropicais-que-assustam-a-america-central-e-os-eua.ghtml", "URL")</f>
        <v/>
      </c>
      <c r="Q903">
        <f>HYPERLINK("https://raw.githubusercontent.com/marcosmapl/dataset_imigrantes/main/materias_filtered/g1/haitianos/2020/07_ago/html/g1_ca6cfd68-230f-11ed-b24f-6dbe51e79fca_2819.html", "HTML")</f>
        <v/>
      </c>
      <c r="R903">
        <f>HYPERLINK("https://raw.githubusercontent.com/marcosmapl/dataset_imigrantes/main/materias_filtered/g1/haitianos/2020/07_ago/txt/g1_ca6cfd68-230f-11ed-b24f-6dbe51e79fca_2819.txt", "TXT")</f>
        <v/>
      </c>
    </row>
    <row r="904">
      <c r="A904" s="1" t="n">
        <v>902</v>
      </c>
      <c r="B904" t="n">
        <v>2020</v>
      </c>
      <c r="C904" s="2" t="n">
        <v>44067.83928084491</v>
      </c>
      <c r="D904" t="inlineStr">
        <is>
          <t>G1</t>
        </is>
      </c>
      <c r="E904" t="inlineStr">
        <is>
          <t>VENEZUELANOS</t>
        </is>
      </c>
      <c r="F904" t="inlineStr">
        <is>
          <t>SANTARÉM E REGIÃO</t>
        </is>
      </c>
      <c r="G904" t="inlineStr">
        <is>
          <t>G1 SANTARÉM — PARÁ</t>
        </is>
      </c>
      <c r="H904" t="inlineStr">
        <is>
          <t>INDÍGENA WARAO É CONTRATADO PELA ADRA/UNICEF COM FUNÇÃO DE AUXILIAR VENEZUELANOS EM SANTARÉM</t>
        </is>
      </c>
      <c r="I904" t="inlineStr">
        <is>
          <t>RAFAEL LAPORTA POSSUI NÍVEL SUPERIOR EM ADMINISTRAÇÃO DE GESTÃO PÚBLICA PELA UNIVERSIDADE DE TUCUPITA, NA VENEZUELA.</t>
        </is>
      </c>
      <c r="J904" t="inlineStr"/>
      <c r="K904" t="n">
        <v>0</v>
      </c>
      <c r="L904" t="n">
        <v>1</v>
      </c>
      <c r="M904" t="n">
        <v>0</v>
      </c>
      <c r="N904" t="n">
        <v>0</v>
      </c>
      <c r="O904" t="n">
        <v>0</v>
      </c>
      <c r="P904">
        <f>HYPERLINK("https://g1.globo.com/pa/santarem-regiao/noticia/2020/08/24/indigena-warao-e-contratado-pela-adraunicef-com-funcao-de-auxiliar-venezuelanos-em-santarem.ghtml", "URL")</f>
        <v/>
      </c>
      <c r="Q904">
        <f>HYPERLINK("https://raw.githubusercontent.com/marcosmapl/dataset_imigrantes/main/materias_filtered/g1/venezuelanos/2020/07_ago/html/g1_9a9bc886-2327-11ed-b24f-6dbe51e79fca_4042.html", "HTML")</f>
        <v/>
      </c>
      <c r="R904">
        <f>HYPERLINK("https://raw.githubusercontent.com/marcosmapl/dataset_imigrantes/main/materias_filtered/g1/venezuelanos/2020/07_ago/txt/g1_9a9bc886-2327-11ed-b24f-6dbe51e79fca_4042.txt", "TXT")</f>
        <v/>
      </c>
    </row>
    <row r="905">
      <c r="A905" s="1" t="n">
        <v>903</v>
      </c>
      <c r="B905" t="n">
        <v>2020</v>
      </c>
      <c r="C905" s="2" t="n">
        <v>44067.73263888889</v>
      </c>
      <c r="D905" t="inlineStr">
        <is>
          <t>A CRITICA</t>
        </is>
      </c>
      <c r="E905" t="inlineStr">
        <is>
          <t>VENEZUELANOS</t>
        </is>
      </c>
      <c r="F905" t="inlineStr"/>
      <c r="G905" t="inlineStr">
        <is>
          <t>JEFFERSON RAMOS</t>
        </is>
      </c>
      <c r="H905" t="inlineStr">
        <is>
          <t>JOSUÉ E ADJUTO QUEREM CONDECORAR PAZUELLO POR ‘SERVIÇOS PRESTADOS À AMAZÔNIA’</t>
        </is>
      </c>
      <c r="I905" t="inlineStr">
        <is>
          <t>EDUARDO PAZUELLO CHEFIA A ÁREA DA SAÚDE DO GOVERNO BOLSONARO DESDE MEADOS DE MAIO EM SUBSTITUIÇÃO AOS MINISTROS LUIZ HENRIQUE MANDETTA E EDUARDO TEICH, QUE ABANDONARAM O MINISTÉRIO</t>
        </is>
      </c>
      <c r="J905" t="inlineStr"/>
      <c r="K905" t="n">
        <v>0</v>
      </c>
      <c r="L905" t="n">
        <v>1</v>
      </c>
      <c r="M905" t="n">
        <v>0</v>
      </c>
      <c r="N905" t="n">
        <v>0</v>
      </c>
      <c r="O905" t="n">
        <v>0</v>
      </c>
      <c r="P905">
        <f>HYPERLINK("https://www.acritica.com/josue-e-adjuto-querem-condecorar-pazuello-por-servicos-prestados-a-amazonia-1.34141", "URL")</f>
        <v/>
      </c>
      <c r="Q905">
        <f>HYPERLINK("https://raw.githubusercontent.com/marcosmapl/dataset_imigrantes/main/materias_filtered/a_critica/venezuelanos/2020/07_ago/html/1.34141_438.html", "HTML")</f>
        <v/>
      </c>
      <c r="R905">
        <f>HYPERLINK("https://raw.githubusercontent.com/marcosmapl/dataset_imigrantes/main/materias_filtered/a_critica/venezuelanos/2020/07_ago/txt/1.34141_438.txt", "TXT")</f>
        <v/>
      </c>
    </row>
    <row r="906">
      <c r="A906" s="1" t="n">
        <v>904</v>
      </c>
      <c r="B906" t="n">
        <v>2020</v>
      </c>
      <c r="C906" s="2" t="n">
        <v>44066.62480844907</v>
      </c>
      <c r="D906" t="inlineStr">
        <is>
          <t>G1</t>
        </is>
      </c>
      <c r="E906" t="inlineStr">
        <is>
          <t>HAITIANOS</t>
        </is>
      </c>
      <c r="F906" t="inlineStr">
        <is>
          <t>MUNDO</t>
        </is>
      </c>
      <c r="G906" t="inlineStr">
        <is>
          <t>FRANCE PRESSE</t>
        </is>
      </c>
      <c r="H906" t="inlineStr">
        <is>
          <t>TEMPESTADE TROPICAL LAURA DEIXA SUA PRIMEIRA VÍTIMA NO HAITI</t>
        </is>
      </c>
      <c r="I906" t="inlineStr">
        <is>
          <t>UMA MENINA DE 10 ANOS MORREU NA MANHÃ DESTE DOMINGO (23) NO SUDESTE DO PAÍS DEVIDO À PROXIMIDADE DA TEMPESTADE TROPICAL LAURA, QUE AMEAÇA COM INUNDAÇÕES E DESLIZAMENTOS DE TERRA.</t>
        </is>
      </c>
      <c r="J906" t="inlineStr"/>
      <c r="K906" t="n">
        <v>0</v>
      </c>
      <c r="L906" t="n">
        <v>1</v>
      </c>
      <c r="M906" t="n">
        <v>0</v>
      </c>
      <c r="N906" t="n">
        <v>0</v>
      </c>
      <c r="O906" t="n">
        <v>0</v>
      </c>
      <c r="P906">
        <f>HYPERLINK("https://g1.globo.com/mundo/noticia/2020/08/23/tempestade-tropical-laura-deixa-sua-primeira-vitima-no-haiti.ghtml", "URL")</f>
        <v/>
      </c>
      <c r="Q906">
        <f>HYPERLINK("https://raw.githubusercontent.com/marcosmapl/dataset_imigrantes/main/materias_filtered/g1/haitianos/2020/07_ago/html/g1_f36065ec-22ed-11ed-b24f-6dbe51e79fca_1693.html", "HTML")</f>
        <v/>
      </c>
      <c r="R906">
        <f>HYPERLINK("https://raw.githubusercontent.com/marcosmapl/dataset_imigrantes/main/materias_filtered/g1/haitianos/2020/07_ago/txt/g1_f36065ec-22ed-11ed-b24f-6dbe51e79fca_1693.txt", "TXT")</f>
        <v/>
      </c>
    </row>
    <row r="907">
      <c r="A907" s="1" t="n">
        <v>905</v>
      </c>
      <c r="B907" t="n">
        <v>2020</v>
      </c>
      <c r="C907" s="2" t="n">
        <v>44066.61515616898</v>
      </c>
      <c r="D907" t="inlineStr">
        <is>
          <t>G1</t>
        </is>
      </c>
      <c r="E907" t="inlineStr">
        <is>
          <t>VENEZUELANOS</t>
        </is>
      </c>
      <c r="F907" t="inlineStr">
        <is>
          <t>RORAIMA</t>
        </is>
      </c>
      <c r="G907" t="inlineStr">
        <is>
          <t>G1 RR — BOA VISTA</t>
        </is>
      </c>
      <c r="H907" t="inlineStr">
        <is>
          <t>CORPO DE JOVEM ENCONTRADO COM MÃOS AMARRADAS É DE IMIGRANTE DESAPARECIDO</t>
        </is>
      </c>
      <c r="I907" t="inlineStr">
        <is>
          <t>ADOLESCENTE DE 17 ANOS E DE NACIONALIDADE VENEZUELANA, ESTAVA DESAPARECIDO HAVIA QUATRO DIAS.</t>
        </is>
      </c>
      <c r="J907" t="inlineStr"/>
      <c r="K907" t="n">
        <v>0</v>
      </c>
      <c r="L907" t="n">
        <v>1</v>
      </c>
      <c r="M907" t="n">
        <v>0</v>
      </c>
      <c r="N907" t="n">
        <v>0</v>
      </c>
      <c r="O907" t="n">
        <v>1</v>
      </c>
      <c r="P907">
        <f>HYPERLINK("https://g1.globo.com/rr/roraima/noticia/2020/08/23/corpo-de-jovem-encontrado-com-maos-amarradas-e-de-imigrante-desaparecido.ghtml", "URL")</f>
        <v/>
      </c>
      <c r="Q907">
        <f>HYPERLINK("https://raw.githubusercontent.com/marcosmapl/dataset_imigrantes/main/materias_filtered/g1/venezuelanos/2020/07_ago/html/g1_fa35c4d4-2315-11ed-b24f-6dbe51e79fca_3118.html", "HTML")</f>
        <v/>
      </c>
      <c r="R907">
        <f>HYPERLINK("https://raw.githubusercontent.com/marcosmapl/dataset_imigrantes/main/materias_filtered/g1/venezuelanos/2020/07_ago/txt/g1_fa35c4d4-2315-11ed-b24f-6dbe51e79fca_3118.txt", "TXT")</f>
        <v/>
      </c>
    </row>
    <row r="908">
      <c r="A908" s="1" t="n">
        <v>906</v>
      </c>
      <c r="B908" t="n">
        <v>2020</v>
      </c>
      <c r="C908" s="2" t="n">
        <v>44064.52777777778</v>
      </c>
      <c r="D908" t="inlineStr">
        <is>
          <t>A CRITICA</t>
        </is>
      </c>
      <c r="E908" t="inlineStr">
        <is>
          <t>HAITIANOS</t>
        </is>
      </c>
      <c r="F908" t="inlineStr">
        <is>
          <t>POLICIA</t>
        </is>
      </c>
      <c r="G908" t="inlineStr">
        <is>
          <t>FILIPE TÁVORA</t>
        </is>
      </c>
      <c r="H908" t="inlineStr">
        <is>
          <t>TRIO É PRESO EM FLAGRANTE POR TRÁFICO DE DROGAS NO PARQUE DEZ</t>
        </is>
      </c>
      <c r="I908" t="inlineStr">
        <is>
          <t>OS TRÊS ESTAVA COMERCIANDO DROGAS NA RUA DOM DIOGO DE SOUZA, NA COMUNIDADE JACAREZINHO, QUANDO FORAM VISTOS PELOS POLICIAIS</t>
        </is>
      </c>
      <c r="J908" t="inlineStr"/>
      <c r="K908" t="n">
        <v>0</v>
      </c>
      <c r="L908" t="n">
        <v>1</v>
      </c>
      <c r="M908" t="n">
        <v>0</v>
      </c>
      <c r="N908" t="n">
        <v>0</v>
      </c>
      <c r="O908" t="n">
        <v>0</v>
      </c>
      <c r="P908">
        <f>HYPERLINK("https://www.acritica.com/policia/trio-e-preso-em-flagrante-por-trafico-de-drogas-no-parque-dez-1.34628", "URL")</f>
        <v/>
      </c>
      <c r="Q908">
        <f>HYPERLINK("https://raw.githubusercontent.com/marcosmapl/dataset_imigrantes/main/materias_filtered/a_critica/haitianos/2020/07_ago/html/1.34628_1067.html", "HTML")</f>
        <v/>
      </c>
      <c r="R908">
        <f>HYPERLINK("https://raw.githubusercontent.com/marcosmapl/dataset_imigrantes/main/materias_filtered/a_critica/haitianos/2020/07_ago/txt/1.34628_1067.txt", "TXT")</f>
        <v/>
      </c>
    </row>
    <row r="909">
      <c r="A909" s="1" t="n">
        <v>907</v>
      </c>
      <c r="B909" t="n">
        <v>2020</v>
      </c>
      <c r="C909" s="2" t="n">
        <v>44056.91458333333</v>
      </c>
      <c r="D909" t="inlineStr">
        <is>
          <t>A CRITICA</t>
        </is>
      </c>
      <c r="E909" t="inlineStr">
        <is>
          <t>VENEZUELANOS</t>
        </is>
      </c>
      <c r="F909" t="inlineStr">
        <is>
          <t>MANAUS</t>
        </is>
      </c>
      <c r="G909" t="inlineStr">
        <is>
          <t>LUIZ G. MELO</t>
        </is>
      </c>
      <c r="H909" t="inlineStr">
        <is>
          <t>'PARCEIROS BRILHANTES' PROMOVE JANTAR BENEFICENTE EM MANAUS</t>
        </is>
      </c>
      <c r="I909" t="inlineStr">
        <is>
          <t>O “PARCEIROS BRILHANTES” GANHOU NOTORIEDADE RECENTEMENTE AO AJUDAR A EX-MORADORA DE RUA MARIA SOLANGE (MAIS CONHECIDA COMO MARINA SILVA DE MANAUS) A CONSEGUIR VAGA EM UMA CLÍNICA DE REABILITAÇÃO EM SÃO PAULO PARA SE LIVRAR DA DEPENDÊNCIA QUÍMICA</t>
        </is>
      </c>
      <c r="J909" t="inlineStr"/>
      <c r="K909" t="n">
        <v>0</v>
      </c>
      <c r="L909" t="n">
        <v>1</v>
      </c>
      <c r="M909" t="n">
        <v>0</v>
      </c>
      <c r="N909" t="n">
        <v>0</v>
      </c>
      <c r="O909" t="n">
        <v>1</v>
      </c>
      <c r="P909">
        <f>HYPERLINK("https://www.acritica.com/manaus/parceiros-brilhantes-promove-jantar-beneficente-em-manaus-1.35367", "URL")</f>
        <v/>
      </c>
      <c r="Q909">
        <f>HYPERLINK("https://raw.githubusercontent.com/marcosmapl/dataset_imigrantes/main/materias_filtered/a_critica/venezuelanos/2020/07_ago/html/1.35367_139.html", "HTML")</f>
        <v/>
      </c>
      <c r="R909">
        <f>HYPERLINK("https://raw.githubusercontent.com/marcosmapl/dataset_imigrantes/main/materias_filtered/a_critica/venezuelanos/2020/07_ago/txt/1.35367_139.txt", "TXT")</f>
        <v/>
      </c>
    </row>
    <row r="910">
      <c r="A910" s="1" t="n">
        <v>908</v>
      </c>
      <c r="B910" t="n">
        <v>2020</v>
      </c>
      <c r="C910" s="2" t="n">
        <v>44055.96053787037</v>
      </c>
      <c r="D910" t="inlineStr">
        <is>
          <t>G1</t>
        </is>
      </c>
      <c r="E910" t="inlineStr">
        <is>
          <t>VENEZUELANOS</t>
        </is>
      </c>
      <c r="F910" t="inlineStr">
        <is>
          <t>MATO GROSSO</t>
        </is>
      </c>
      <c r="G910" t="inlineStr"/>
      <c r="H910" t="inlineStr">
        <is>
          <t>MÃES VENEZUELANAS SÃO ORIENTADAS POR MP A NÃO EXPOR CRIANÇAS PARA PEDIR AJUDA EM RUAS DE CUIABÁ</t>
        </is>
      </c>
      <c r="I910" t="inlineStr">
        <is>
          <t>A PROMOTORIA ALERTOU QUE O NÃO ATENDIMENTO ÀS ORIENTAÇÕES DOS ÓRGÃOS DE PROTEÇÃO ÀS CRIANÇAS E ADOLESCENTES PODEM RESULTAR EM PROCESSOS PARA PERDA DO PODER FAMILIAR EM RELAÇÃO AOS FILHOS.</t>
        </is>
      </c>
      <c r="J910" t="inlineStr"/>
      <c r="K910" t="n">
        <v>0</v>
      </c>
      <c r="L910" t="n">
        <v>1</v>
      </c>
      <c r="M910" t="n">
        <v>0</v>
      </c>
      <c r="N910" t="n">
        <v>0</v>
      </c>
      <c r="O910" t="n">
        <v>0</v>
      </c>
      <c r="P910">
        <f>HYPERLINK("https://g1.globo.com/mt/mato-grosso/noticia/2020/08/12/maes-venezuelanas-sao-orientadas-pelo-mp-a-nao-expor-criancas-para-pedir-ajuda-em-ruas-de-cuiaba.ghtml", "URL")</f>
        <v/>
      </c>
      <c r="Q910">
        <f>HYPERLINK("https://raw.githubusercontent.com/marcosmapl/dataset_imigrantes/main/materias_filtered/g1/venezuelanos/2020/07_ago/html/g1_c8a42d1a-2325-11ed-b24f-6dbe51e79fca_3934.html", "HTML")</f>
        <v/>
      </c>
      <c r="R910">
        <f>HYPERLINK("https://raw.githubusercontent.com/marcosmapl/dataset_imigrantes/main/materias_filtered/g1/venezuelanos/2020/07_ago/txt/g1_c8a42d1a-2325-11ed-b24f-6dbe51e79fca_3934.txt", "TXT")</f>
        <v/>
      </c>
    </row>
    <row r="911">
      <c r="A911" s="1" t="n">
        <v>909</v>
      </c>
      <c r="B911" t="n">
        <v>2020</v>
      </c>
      <c r="C911" s="2" t="n">
        <v>44053.80840277778</v>
      </c>
      <c r="D911" t="inlineStr">
        <is>
          <t>A CRITICA</t>
        </is>
      </c>
      <c r="E911" t="inlineStr">
        <is>
          <t>VENEZUELANOS</t>
        </is>
      </c>
      <c r="F911" t="inlineStr">
        <is>
          <t>ESPORTES</t>
        </is>
      </c>
      <c r="G911" t="inlineStr">
        <is>
          <t>LEONARDO SENA</t>
        </is>
      </c>
      <c r="H911" t="inlineStr">
        <is>
          <t>3B SPORT CONFIRMA PERMANÊNCIA DA VOLANTE VENEZUELANA DAYANA</t>
        </is>
      </c>
      <c r="I911" t="inlineStr">
        <is>
          <t>JOGADORA INTERESSAVA AO DEPORTIVO LA CORUNÃ, DA ESPANHA, MAS NEGÓCIO TRAVOU POR FRONTEIRA ESTAR FECHADA COM PAÍS NATAL DA VOLANTE, QUE NÃO RESOLVEU PENDÊNCIAS REFERENTES AO PASSAPORTE</t>
        </is>
      </c>
      <c r="J911" t="inlineStr"/>
      <c r="K911" t="n">
        <v>0</v>
      </c>
      <c r="L911" t="n">
        <v>1</v>
      </c>
      <c r="M911" t="n">
        <v>0</v>
      </c>
      <c r="N911" t="n">
        <v>0</v>
      </c>
      <c r="O911" t="n">
        <v>1</v>
      </c>
      <c r="P911">
        <f>HYPERLINK("https://www.acritica.com/esportes/3b-sport-confirma-permanencia-da-volante-venezuelana-dayana-1.35222", "URL")</f>
        <v/>
      </c>
      <c r="Q911">
        <f>HYPERLINK("https://raw.githubusercontent.com/marcosmapl/dataset_imigrantes/main/materias_filtered/a_critica/venezuelanos/2020/07_ago/html/1.35222_1100.html", "HTML")</f>
        <v/>
      </c>
      <c r="R911">
        <f>HYPERLINK("https://raw.githubusercontent.com/marcosmapl/dataset_imigrantes/main/materias_filtered/a_critica/venezuelanos/2020/07_ago/txt/1.35222_1100.txt", "TXT")</f>
        <v/>
      </c>
    </row>
    <row r="912">
      <c r="A912" s="1" t="n">
        <v>910</v>
      </c>
      <c r="B912" t="n">
        <v>2020</v>
      </c>
      <c r="C912" s="2" t="n">
        <v>44053.56484226852</v>
      </c>
      <c r="D912" t="inlineStr">
        <is>
          <t>G1</t>
        </is>
      </c>
      <c r="E912" t="inlineStr">
        <is>
          <t>VENEZUELANOS</t>
        </is>
      </c>
      <c r="F912" t="inlineStr">
        <is>
          <t>RORAIMA</t>
        </is>
      </c>
      <c r="G912" t="inlineStr">
        <is>
          <t>G1 RR — BOA VISTA</t>
        </is>
      </c>
      <c r="H912" t="inlineStr">
        <is>
          <t>VENEZUELANO MORRE E OUTRO FICA FERIDO EM CAPOTAMENTO EM PACARAIMA, NORTE DE RR</t>
        </is>
      </c>
      <c r="I912" t="inlineStr">
        <is>
          <t>ACIDENTE FOI EM UMA LADEIRA NA SUA SUAPI, UMA DAS PRINCIPAIS DE PACARAIMA.</t>
        </is>
      </c>
      <c r="J912" t="inlineStr"/>
      <c r="K912" t="n">
        <v>0</v>
      </c>
      <c r="L912" t="n">
        <v>2</v>
      </c>
      <c r="M912" t="n">
        <v>0</v>
      </c>
      <c r="N912" t="n">
        <v>0</v>
      </c>
      <c r="O912" t="n">
        <v>0</v>
      </c>
      <c r="P912">
        <f>HYPERLINK("https://g1.globo.com/rr/roraima/noticia/2020/08/10/venezuelano-morre-e-outro-fica-ferido-em-capotamento-em-pacaraima-norte-de-rr.ghtml", "URL")</f>
        <v/>
      </c>
      <c r="Q912">
        <f>HYPERLINK("https://raw.githubusercontent.com/marcosmapl/dataset_imigrantes/main/materias_filtered/g1/venezuelanos/2020/07_ago/html/g1_320cbf92-2317-11ed-b24f-6dbe51e79fca_3192.html", "HTML")</f>
        <v/>
      </c>
      <c r="R912">
        <f>HYPERLINK("https://raw.githubusercontent.com/marcosmapl/dataset_imigrantes/main/materias_filtered/g1/venezuelanos/2020/07_ago/txt/g1_320cbf92-2317-11ed-b24f-6dbe51e79fca_3192.txt", "TXT")</f>
        <v/>
      </c>
    </row>
    <row r="913">
      <c r="A913" s="1" t="n">
        <v>911</v>
      </c>
      <c r="B913" t="n">
        <v>2020</v>
      </c>
      <c r="C913" s="2" t="n">
        <v>44049.57361111111</v>
      </c>
      <c r="D913" t="inlineStr">
        <is>
          <t>A CRITICA</t>
        </is>
      </c>
      <c r="E913" t="inlineStr">
        <is>
          <t>VENEZUELANOS</t>
        </is>
      </c>
      <c r="F913" t="inlineStr">
        <is>
          <t>OPINIAO</t>
        </is>
      </c>
      <c r="G913" t="inlineStr">
        <is>
          <t>DULCE RODRIGUEZ</t>
        </is>
      </c>
      <c r="H913" t="inlineStr">
        <is>
          <t>O QUE VOCÊ ACHA DE FAZER PLANTÃO NOTURNO POR R$ 13, 33/DIA?</t>
        </is>
      </c>
      <c r="I913" t="inlineStr">
        <is>
          <t>RECEBI UMA PROPOSTA DE EMPREGO QUE ME DEIXOU EM BRANCO. DE PRONTO, SÓ CONSEGUI RESPONDER: “VOCÊ ESTÁ BRINCANDO?”</t>
        </is>
      </c>
      <c r="J913" t="inlineStr">
        <is>
          <t>VIDA-DE-IMIGRANTE</t>
        </is>
      </c>
      <c r="K913" t="n">
        <v>1</v>
      </c>
      <c r="L913" t="n">
        <v>1</v>
      </c>
      <c r="M913" t="n">
        <v>0</v>
      </c>
      <c r="N913" t="n">
        <v>0</v>
      </c>
      <c r="O913" t="n">
        <v>1</v>
      </c>
      <c r="P913">
        <f>HYPERLINK("https://www.acritica.com/opiniao/o-que-voce-acha-de-fazer-plant-o-noturno-por-r-13-33-dia-1.215848", "URL")</f>
        <v/>
      </c>
      <c r="Q913">
        <f>HYPERLINK("https://raw.githubusercontent.com/marcosmapl/dataset_imigrantes/main/materias_filtered/a_critica/venezuelanos/2020/07_ago/html/1.215848_374.html", "HTML")</f>
        <v/>
      </c>
      <c r="R913">
        <f>HYPERLINK("https://raw.githubusercontent.com/marcosmapl/dataset_imigrantes/main/materias_filtered/a_critica/venezuelanos/2020/07_ago/txt/1.215848_374.txt", "TXT")</f>
        <v/>
      </c>
    </row>
    <row r="914">
      <c r="A914" s="1" t="n">
        <v>912</v>
      </c>
      <c r="B914" t="n">
        <v>2020</v>
      </c>
      <c r="C914" s="2" t="n">
        <v>44048.37581387731</v>
      </c>
      <c r="D914" t="inlineStr">
        <is>
          <t>G1</t>
        </is>
      </c>
      <c r="E914" t="inlineStr">
        <is>
          <t>VENEZUELANOS</t>
        </is>
      </c>
      <c r="F914" t="inlineStr">
        <is>
          <t>GOIÁS</t>
        </is>
      </c>
      <c r="G914" t="inlineStr">
        <is>
          <t>GUILHERME RODRIGUES, TV ANHANGUERA</t>
        </is>
      </c>
      <c r="H914" t="inlineStr">
        <is>
          <t>VENEZUELANA PEDE AJUDA PARA EQUIPAR SALÃO DE BELEZA PARA JUNTAR DINHEIRO E REENCONTRAR A FAMÍLIA: 'SINTO MUITA FALTA'</t>
        </is>
      </c>
      <c r="I914" t="inlineStr">
        <is>
          <t>ÁNGELA MARÍA BARCELÓ PÉREZ, DE 38 ANOS, CONTA QUE DEIXOU DOIS FILHOS COM A MÃE DELA PARA BUSCAR MELHORES CONDIÇÕES DE VIDA EM GOIÂNIA, HÁ DOIS ANOS. ELA PRECISA DE CHAPINHA, MÁQUINA DE CORTAR CABELO E LAVATÓRIO.</t>
        </is>
      </c>
      <c r="J914" t="inlineStr"/>
      <c r="K914" t="n">
        <v>0</v>
      </c>
      <c r="L914" t="n">
        <v>2</v>
      </c>
      <c r="M914" t="n">
        <v>1</v>
      </c>
      <c r="N914" t="n">
        <v>0</v>
      </c>
      <c r="O914" t="n">
        <v>2</v>
      </c>
      <c r="P914">
        <f>HYPERLINK("https://g1.globo.com/go/goias/noticia/2020/08/05/venezuelana-pede-ajuda-para-equipar-salao-de-beleza-para-juntar-dinheiro-e-reencontrar-a-familia-sinto-muita-falta.ghtml", "URL")</f>
        <v/>
      </c>
      <c r="Q914">
        <f>HYPERLINK("https://raw.githubusercontent.com/marcosmapl/dataset_imigrantes/main/materias_filtered/g1/venezuelanos/2020/07_ago/html/g1_51d7fe4e-232c-11ed-b24f-6dbe51e79fca_4297.html", "HTML")</f>
        <v/>
      </c>
      <c r="R914">
        <f>HYPERLINK("https://raw.githubusercontent.com/marcosmapl/dataset_imigrantes/main/materias_filtered/g1/venezuelanos/2020/07_ago/txt/g1_51d7fe4e-232c-11ed-b24f-6dbe51e79fca_4297.txt", "TXT")</f>
        <v/>
      </c>
    </row>
    <row r="915">
      <c r="A915" s="1" t="n">
        <v>913</v>
      </c>
      <c r="B915" t="n">
        <v>2020</v>
      </c>
      <c r="C915" s="2" t="n">
        <v>44046.61404424768</v>
      </c>
      <c r="D915" t="inlineStr">
        <is>
          <t>G1</t>
        </is>
      </c>
      <c r="E915" t="inlineStr">
        <is>
          <t>VENEZUELANOS</t>
        </is>
      </c>
      <c r="F915" t="inlineStr">
        <is>
          <t>RORAIMA</t>
        </is>
      </c>
      <c r="G915" t="inlineStr">
        <is>
          <t>G1 RR — BOA VISTA</t>
        </is>
      </c>
      <c r="H915" t="inlineStr">
        <is>
          <t>VENEZUELANOS FAZEM CURSO VIRTUAL DE PORTUGUÊS EM ABRIGOS DE BOA VISTA</t>
        </is>
      </c>
      <c r="I915" t="inlineStr">
        <is>
          <t>CURSO É GRATUITO E OFERTADO A IMIGRANTES QUE VIVEM EM SETE ABRIGOS DA CAPITAL.</t>
        </is>
      </c>
      <c r="J915" t="inlineStr"/>
      <c r="K915" t="n">
        <v>0</v>
      </c>
      <c r="L915" t="n">
        <v>1</v>
      </c>
      <c r="M915" t="n">
        <v>0</v>
      </c>
      <c r="N915" t="n">
        <v>0</v>
      </c>
      <c r="O915" t="n">
        <v>0</v>
      </c>
      <c r="P915">
        <f>HYPERLINK("https://g1.globo.com/rr/roraima/noticia/2020/08/03/venezuelanos-fazem-curso-virtual-de-portugues-em-abrigos-de-boa-vista.ghtml", "URL")</f>
        <v/>
      </c>
      <c r="Q915">
        <f>HYPERLINK("https://raw.githubusercontent.com/marcosmapl/dataset_imigrantes/main/materias_filtered/g1/venezuelanos/2020/07_ago/html/g1_43d9d236-231d-11ed-b24f-6dbe51e79fca_3493.html", "HTML")</f>
        <v/>
      </c>
      <c r="R915">
        <f>HYPERLINK("https://raw.githubusercontent.com/marcosmapl/dataset_imigrantes/main/materias_filtered/g1/venezuelanos/2020/07_ago/txt/g1_43d9d236-231d-11ed-b24f-6dbe51e79fca_3493.txt", "TXT")</f>
        <v/>
      </c>
    </row>
    <row r="916">
      <c r="A916" s="1" t="n">
        <v>914</v>
      </c>
      <c r="B916" t="n">
        <v>2020</v>
      </c>
      <c r="C916" s="2" t="n">
        <v>44046.54870612269</v>
      </c>
      <c r="D916" t="inlineStr">
        <is>
          <t>G1</t>
        </is>
      </c>
      <c r="E916" t="inlineStr">
        <is>
          <t>VENEZUELANOS</t>
        </is>
      </c>
      <c r="F916" t="inlineStr">
        <is>
          <t>RORAIMA</t>
        </is>
      </c>
      <c r="G916" t="inlineStr">
        <is>
          <t>FABRÍCIO ARAÚJO, G1 RR — BOA VISTA</t>
        </is>
      </c>
      <c r="H916" t="inlineStr">
        <is>
          <t>VENEZUELANOS FICAM SEM REMÉDIOS PARA HIV POR CONTA DA FRONTEIRA FECHADA EM MEIO À PANDEMIA DO CORONAVÍRUS</t>
        </is>
      </c>
      <c r="I916" t="inlineStr">
        <is>
          <t>SEM FORNECIMENTO DE ANTIRRETROVIRAIS NO PAÍS GOVERNADO POR NICOLÁS MADURO, VENEZUELANOS COM HIV ENCONTRARAM NO SUS A CHANCE DE CONSEGUIR TRATAMENTO. NO ENTANTO, COM A FRONTEIRA FECHADA HÁ QUATRO MESES, A FALTA DE REMÉDIOS COMEÇA A ASSOMBRAR QUEM VIVE NO PAÍS VIZINHO.</t>
        </is>
      </c>
      <c r="J916" t="inlineStr"/>
      <c r="K916" t="n">
        <v>0</v>
      </c>
      <c r="L916" t="n">
        <v>3</v>
      </c>
      <c r="M916" t="n">
        <v>1</v>
      </c>
      <c r="N916" t="n">
        <v>0</v>
      </c>
      <c r="O916" t="n">
        <v>21</v>
      </c>
      <c r="P916">
        <f>HYPERLINK("https://g1.globo.com/rr/roraima/noticia/2020/08/03/venezuelanos-ficam-sem-remedios-para-hiv-por-conta-da-fronteira-fechada-em-meio-a-pandemia-do-coronavirus.ghtml", "URL")</f>
        <v/>
      </c>
      <c r="Q916">
        <f>HYPERLINK("https://raw.githubusercontent.com/marcosmapl/dataset_imigrantes/main/materias_filtered/g1/venezuelanos/2020/07_ago/html/g1_f76829be-2323-11ed-b24f-6dbe51e79fca_3839.html", "HTML")</f>
        <v/>
      </c>
      <c r="R916">
        <f>HYPERLINK("https://raw.githubusercontent.com/marcosmapl/dataset_imigrantes/main/materias_filtered/g1/venezuelanos/2020/07_ago/txt/g1_f76829be-2323-11ed-b24f-6dbe51e79fca_3839.txt", "TXT")</f>
        <v/>
      </c>
    </row>
    <row r="917">
      <c r="A917" s="1" t="n">
        <v>915</v>
      </c>
      <c r="B917" t="n">
        <v>2020</v>
      </c>
      <c r="C917" s="2" t="n">
        <v>44045.83678070602</v>
      </c>
      <c r="D917" t="inlineStr">
        <is>
          <t>G1</t>
        </is>
      </c>
      <c r="E917" t="inlineStr">
        <is>
          <t>VENEZUELANOS</t>
        </is>
      </c>
      <c r="F917" t="inlineStr">
        <is>
          <t>RORAIMA</t>
        </is>
      </c>
      <c r="G917" t="inlineStr">
        <is>
          <t>G1 RR — BOA VISTA</t>
        </is>
      </c>
      <c r="H917" t="inlineStr">
        <is>
          <t>VOCÊ VIU? REFÉNS EM CARACARAÍ, MILITAR VENEZUELANO AMARRADO, BEBÊ RESGATADA E MAIS EM RR</t>
        </is>
      </c>
      <c r="I917" t="inlineStr">
        <is>
          <t>VEJA AS NOTÍCIAS MAIS LIDAS NO G1 RORAIMA ENTRE 26 DE JULHO A 1º DE AGOSTO.</t>
        </is>
      </c>
      <c r="J917" t="inlineStr"/>
      <c r="K917" t="n">
        <v>0</v>
      </c>
      <c r="L917" t="n">
        <v>2</v>
      </c>
      <c r="M917" t="n">
        <v>0</v>
      </c>
      <c r="N917" t="n">
        <v>0</v>
      </c>
      <c r="O917" t="n">
        <v>18</v>
      </c>
      <c r="P917">
        <f>HYPERLINK("https://g1.globo.com/rr/roraima/noticia/2020/08/02/voce-viu-refens-em-caracarai-militar-venezuelano-amarrado-bebe-resgatada-e-mais-em-rr.ghtml", "URL")</f>
        <v/>
      </c>
      <c r="Q917">
        <f>HYPERLINK("https://raw.githubusercontent.com/marcosmapl/dataset_imigrantes/main/materias_filtered/g1/venezuelanos/2020/07_ago/html/g1_5ee11a76-231d-11ed-b24f-6dbe51e79fca_3499.html", "HTML")</f>
        <v/>
      </c>
      <c r="R917">
        <f>HYPERLINK("https://raw.githubusercontent.com/marcosmapl/dataset_imigrantes/main/materias_filtered/g1/venezuelanos/2020/07_ago/txt/g1_5ee11a76-231d-11ed-b24f-6dbe51e79fca_3499.txt", "TXT")</f>
        <v/>
      </c>
    </row>
    <row r="918">
      <c r="A918" s="1" t="n">
        <v>916</v>
      </c>
      <c r="B918" t="n">
        <v>2020</v>
      </c>
      <c r="C918" s="2" t="n">
        <v>44041.11273766204</v>
      </c>
      <c r="D918" t="inlineStr">
        <is>
          <t>G1</t>
        </is>
      </c>
      <c r="E918" t="inlineStr">
        <is>
          <t>VENEZUELANOS</t>
        </is>
      </c>
      <c r="F918" t="inlineStr">
        <is>
          <t>AMAPÁ</t>
        </is>
      </c>
      <c r="G918" t="inlineStr">
        <is>
          <t>FABIANA FIGUEIREDO, G1 AP — MACAPÁ</t>
        </is>
      </c>
      <c r="H918" t="inlineStr">
        <is>
          <t>VENEZUELANO É PRESO POR TENTATIVA DE FEMINICÍDIO APÓS ESFAQUEAR A EX-COMPANHEIRA, NO AMAPÁ</t>
        </is>
      </c>
      <c r="I918" t="inlineStr">
        <is>
          <t>CASO ACONTECEU EM CALÇOENE. POLÍCIA DIZ QUE ELE CONFESSOU AUTORIA E CUMPRE PRISÃO PREVENTIVA.</t>
        </is>
      </c>
      <c r="J918" t="inlineStr"/>
      <c r="K918" t="n">
        <v>0</v>
      </c>
      <c r="L918" t="n">
        <v>1</v>
      </c>
      <c r="M918" t="n">
        <v>0</v>
      </c>
      <c r="N918" t="n">
        <v>0</v>
      </c>
      <c r="O918" t="n">
        <v>3</v>
      </c>
      <c r="P918">
        <f>HYPERLINK("https://g1.globo.com/ap/amapa/noticia/2020/07/28/venezuelano-e-preso-por-tentativa-de-feminicidio-apos-esfaquear-a-ex-companheira-no-amapa.ghtml", "URL")</f>
        <v/>
      </c>
      <c r="Q918">
        <f>HYPERLINK("https://raw.githubusercontent.com/marcosmapl/dataset_imigrantes/main/materias_filtered/g1/venezuelanos/2020/06_jul/html/g1_14a5ea66-2315-11ed-b24f-6dbe51e79fca_3065.html", "HTML")</f>
        <v/>
      </c>
      <c r="R918">
        <f>HYPERLINK("https://raw.githubusercontent.com/marcosmapl/dataset_imigrantes/main/materias_filtered/g1/venezuelanos/2020/06_jul/txt/g1_14a5ea66-2315-11ed-b24f-6dbe51e79fca_3065.txt", "TXT")</f>
        <v/>
      </c>
    </row>
    <row r="919">
      <c r="A919" s="1" t="n">
        <v>917</v>
      </c>
      <c r="B919" t="n">
        <v>2020</v>
      </c>
      <c r="C919" s="2" t="n">
        <v>44040.90377737269</v>
      </c>
      <c r="D919" t="inlineStr">
        <is>
          <t>G1</t>
        </is>
      </c>
      <c r="E919" t="inlineStr">
        <is>
          <t>VENEZUELANOS</t>
        </is>
      </c>
      <c r="F919" t="inlineStr">
        <is>
          <t>RORAIMA</t>
        </is>
      </c>
      <c r="G919" t="inlineStr">
        <is>
          <t>POLYANA GIRARDI, G1 RR — BOA VISTA</t>
        </is>
      </c>
      <c r="H919" t="inlineStr">
        <is>
          <t>DPU RECOMENDA QUE GOVERNO DE RR APAGUE VÍDEOS DE REDES SOCIAIS POR DISCRIMINAR VENEZUELANOS</t>
        </is>
      </c>
      <c r="I919" t="inlineStr">
        <is>
          <t>DEFENSORIA PÚBLICA DA UNIÃO ENTENDE QUE VÍDEO COM ORIENTAÇÕES SOBRE CORONAVÍRUS DISCRIMINA VENEZUELANOS AO DIFERENCIAR ATENDIMENTO DADO A BRASILEIROS.</t>
        </is>
      </c>
      <c r="J919" t="inlineStr"/>
      <c r="K919" t="n">
        <v>0</v>
      </c>
      <c r="L919" t="n">
        <v>1</v>
      </c>
      <c r="M919" t="n">
        <v>0</v>
      </c>
      <c r="N919" t="n">
        <v>0</v>
      </c>
      <c r="O919" t="n">
        <v>1</v>
      </c>
      <c r="P919">
        <f>HYPERLINK("https://g1.globo.com/rr/roraima/noticia/2020/07/28/dpu-recomenda-que-governo-de-rr-apague-videos-de-redes-sociais-por-discriminar-venezuelanos.ghtml", "URL")</f>
        <v/>
      </c>
      <c r="Q919">
        <f>HYPERLINK("https://raw.githubusercontent.com/marcosmapl/dataset_imigrantes/main/materias_filtered/g1/venezuelanos/2020/06_jul/html/g1_e2693a84-231a-11ed-b24f-6dbe51e79fca_3359.html", "HTML")</f>
        <v/>
      </c>
      <c r="R919">
        <f>HYPERLINK("https://raw.githubusercontent.com/marcosmapl/dataset_imigrantes/main/materias_filtered/g1/venezuelanos/2020/06_jul/txt/g1_e2693a84-231a-11ed-b24f-6dbe51e79fca_3359.txt", "TXT")</f>
        <v/>
      </c>
    </row>
    <row r="920">
      <c r="A920" s="1" t="n">
        <v>918</v>
      </c>
      <c r="B920" t="n">
        <v>2020</v>
      </c>
      <c r="C920" s="2" t="n">
        <v>44040.85277969907</v>
      </c>
      <c r="D920" t="inlineStr">
        <is>
          <t>G1</t>
        </is>
      </c>
      <c r="E920" t="inlineStr">
        <is>
          <t>VENEZUELANOS</t>
        </is>
      </c>
      <c r="F920" t="inlineStr">
        <is>
          <t>RORAIMA</t>
        </is>
      </c>
      <c r="G920" t="inlineStr">
        <is>
          <t>VALÉRIA OLIVEIRA, G1 RR — BOA VISTA</t>
        </is>
      </c>
      <c r="H920" t="inlineStr">
        <is>
          <t>EXÉRCITO ENCONTRA MILITAR VENEZUELANO AMARRADO EM PACARAIMA APÓS CONFUSÃO EM TRILHA CLANDESTINA</t>
        </is>
      </c>
      <c r="I920" t="inlineStr">
        <is>
          <t>MINISTÉRIO DA DEFESA INFORMOU QUE MILITAR VENEZUELANO FOI AMARRADO E DEIXADO DO LADO BRASILEIRO; ELE FOI ENTREGUE EM SEGURANÇA DE VOLTA AO TERRITÓRIO VENEZUELANO. CONFUSÃO FOI NA NOITE DESSA SEGUNDA-FEIRA (27) QUANDO GRUPO TENTOU ENTRAR NA VENEZUELA POR ROTA CLANDESTINA QUE LIGA O PAÍS A PACARAIMA, NO NORTE DE RORAIMA.</t>
        </is>
      </c>
      <c r="J920" t="inlineStr"/>
      <c r="K920" t="n">
        <v>0</v>
      </c>
      <c r="L920" t="n">
        <v>2</v>
      </c>
      <c r="M920" t="n">
        <v>1</v>
      </c>
      <c r="N920" t="n">
        <v>0</v>
      </c>
      <c r="O920" t="n">
        <v>0</v>
      </c>
      <c r="P920">
        <f>HYPERLINK("https://g1.globo.com/rr/roraima/noticia/2020/07/28/exercito-encontra-militar-venezuelano-amarrado-em-pacaraima-apos-confusao-em-trilha-clandestina.ghtml", "URL")</f>
        <v/>
      </c>
      <c r="Q920">
        <f>HYPERLINK("https://raw.githubusercontent.com/marcosmapl/dataset_imigrantes/main/materias_filtered/g1/venezuelanos/2020/06_jul/html/g1_b5e3ce26-230a-11ed-b24f-6dbe51e79fca_2522.html", "HTML")</f>
        <v/>
      </c>
      <c r="R920">
        <f>HYPERLINK("https://raw.githubusercontent.com/marcosmapl/dataset_imigrantes/main/materias_filtered/g1/venezuelanos/2020/06_jul/txt/g1_b5e3ce26-230a-11ed-b24f-6dbe51e79fca_2522.txt", "TXT")</f>
        <v/>
      </c>
    </row>
    <row r="921">
      <c r="A921" s="1" t="n">
        <v>919</v>
      </c>
      <c r="B921" t="n">
        <v>2020</v>
      </c>
      <c r="C921" s="2" t="n">
        <v>44040.55711724537</v>
      </c>
      <c r="D921" t="inlineStr">
        <is>
          <t>G1</t>
        </is>
      </c>
      <c r="E921" t="inlineStr">
        <is>
          <t>VENEZUELANOS</t>
        </is>
      </c>
      <c r="F921" t="inlineStr">
        <is>
          <t>AMAZONAS</t>
        </is>
      </c>
      <c r="G921" t="inlineStr">
        <is>
          <t>ELIANA NASCIMENTO, G1 AM</t>
        </is>
      </c>
      <c r="H921" t="inlineStr">
        <is>
          <t>VENDEDOR AMBULANTE MORRE APÓS SER BALEADO COM TIROS DE FUZIL EM BECO NO CENTRO DE MANAUS</t>
        </is>
      </c>
      <c r="I921" t="inlineStr">
        <is>
          <t>VÍTIMA ERA DE NACIONALIDADE VENEZUELANA. FAMÍLIA INFORMOU PARA A POLÍCIA QUE HOMEM POSSA TER SIDO ASSASSINADO POR ENGANO.</t>
        </is>
      </c>
      <c r="J921" t="inlineStr"/>
      <c r="K921" t="n">
        <v>0</v>
      </c>
      <c r="L921" t="n">
        <v>1</v>
      </c>
      <c r="M921" t="n">
        <v>0</v>
      </c>
      <c r="N921" t="n">
        <v>0</v>
      </c>
      <c r="O921" t="n">
        <v>0</v>
      </c>
      <c r="P921">
        <f>HYPERLINK("https://g1.globo.com/am/amazonas/noticia/2020/07/28/vendedor-ambulante-morre-apos-ser-baleado-com-tiros-de-fuzil-em-beco-no-centro-de-manaus.ghtml", "URL")</f>
        <v/>
      </c>
      <c r="Q921">
        <f>HYPERLINK("https://raw.githubusercontent.com/marcosmapl/dataset_imigrantes/main/materias_filtered/g1/venezuelanos/2020/06_jul/html/g1_360eb74e-230d-11ed-b24f-6dbe51e79fca_2673.html", "HTML")</f>
        <v/>
      </c>
      <c r="R921">
        <f>HYPERLINK("https://raw.githubusercontent.com/marcosmapl/dataset_imigrantes/main/materias_filtered/g1/venezuelanos/2020/06_jul/txt/g1_360eb74e-230d-11ed-b24f-6dbe51e79fca_2673.txt", "TXT")</f>
        <v/>
      </c>
    </row>
    <row r="922">
      <c r="A922" s="1" t="n">
        <v>920</v>
      </c>
      <c r="B922" t="n">
        <v>2020</v>
      </c>
      <c r="C922" s="2" t="n">
        <v>44039.91561342592</v>
      </c>
      <c r="D922" t="inlineStr">
        <is>
          <t>A CRITICA</t>
        </is>
      </c>
      <c r="E922" t="inlineStr">
        <is>
          <t>VENEZUELANOS</t>
        </is>
      </c>
      <c r="F922" t="inlineStr">
        <is>
          <t>MANAUS</t>
        </is>
      </c>
      <c r="G922" t="inlineStr">
        <is>
          <t>PORTAL A CRÍTICA</t>
        </is>
      </c>
      <c r="H922" t="inlineStr">
        <is>
          <t>FILMES SOBRE TRÁFICO DE PESSOAS E RODAS DE CONVERSA OCORREM EM MANAUS</t>
        </is>
      </c>
      <c r="I922" t="inlineStr">
        <is>
          <t>PROGRAMAÇÃO INICIA NESTA SEGUNDA-FEIRA (27) E VAI ATÉ O DIA 30 DE JULHO. INICIATIVA FAZ PARTE DA CAMPANHA NACIONAL “CORAÇÃO AZUL”</t>
        </is>
      </c>
      <c r="J922" t="inlineStr"/>
      <c r="K922" t="n">
        <v>0</v>
      </c>
      <c r="L922" t="n">
        <v>1</v>
      </c>
      <c r="M922" t="n">
        <v>0</v>
      </c>
      <c r="N922" t="n">
        <v>0</v>
      </c>
      <c r="O922" t="n">
        <v>0</v>
      </c>
      <c r="P922">
        <f>HYPERLINK("https://www.acritica.com/manaus/filmes-sobre-trafico-de-pessoas-e-rodas-de-conversa-ocorrem-em-manaus-1.35871", "URL")</f>
        <v/>
      </c>
      <c r="Q922">
        <f>HYPERLINK("https://raw.githubusercontent.com/marcosmapl/dataset_imigrantes/main/materias_filtered/a_critica/venezuelanos/2020/06_jul/html/1.35871_738.html", "HTML")</f>
        <v/>
      </c>
      <c r="R922">
        <f>HYPERLINK("https://raw.githubusercontent.com/marcosmapl/dataset_imigrantes/main/materias_filtered/a_critica/venezuelanos/2020/06_jul/txt/1.35871_738.txt", "TXT")</f>
        <v/>
      </c>
    </row>
    <row r="923">
      <c r="A923" s="1" t="n">
        <v>921</v>
      </c>
      <c r="B923" t="n">
        <v>2020</v>
      </c>
      <c r="C923" s="2" t="n">
        <v>44035.86200415509</v>
      </c>
      <c r="D923" t="inlineStr">
        <is>
          <t>G1</t>
        </is>
      </c>
      <c r="E923" t="inlineStr">
        <is>
          <t>VENEZUELANOS</t>
        </is>
      </c>
      <c r="F923" t="inlineStr">
        <is>
          <t>GOIÁS</t>
        </is>
      </c>
      <c r="G923" t="inlineStr">
        <is>
          <t>VITOR SANTANA, G1 GO</t>
        </is>
      </c>
      <c r="H923" t="inlineStr">
        <is>
          <t>CONSELHO TUTELAR FAZ AÇÃO PARA EVITAR QUE CRIANÇAS VENEZUELANAS FIQUEM PEDINDO DINHEIRO EM RUAS DE GOIÂNIA</t>
        </is>
      </c>
      <c r="I923" t="inlineStr">
        <is>
          <t>FORAM ENCONTRADAS MAIS DE 100 PESSOAS VIVENDO EM UM MESMO HOTEL EM CONDIÇÕES PRECÁRIAS. SEGUNDO CONSELHEIROS, ELES VÃO PARA OS SINALEIROS E VOLTAM DE TÁXI PARA O ABRIGO.</t>
        </is>
      </c>
      <c r="J923" t="inlineStr"/>
      <c r="K923" t="n">
        <v>0</v>
      </c>
      <c r="L923" t="n">
        <v>2</v>
      </c>
      <c r="M923" t="n">
        <v>1</v>
      </c>
      <c r="N923" t="n">
        <v>0</v>
      </c>
      <c r="O923" t="n">
        <v>2</v>
      </c>
      <c r="P923">
        <f>HYPERLINK("https://g1.globo.com/go/goias/noticia/2020/07/23/conselho-tutelar-faz-acao-para-evitar-que-criancas-venezuelanas-fiquem-pedindo-dinheiro-em-ruas-de-goiania.ghtml", "URL")</f>
        <v/>
      </c>
      <c r="Q923">
        <f>HYPERLINK("https://raw.githubusercontent.com/marcosmapl/dataset_imigrantes/main/materias_filtered/g1/venezuelanos/2020/06_jul/html/g1_72edc580-2315-11ed-b24f-6dbe51e79fca_3085.html", "HTML")</f>
        <v/>
      </c>
      <c r="R923">
        <f>HYPERLINK("https://raw.githubusercontent.com/marcosmapl/dataset_imigrantes/main/materias_filtered/g1/venezuelanos/2020/06_jul/txt/g1_72edc580-2315-11ed-b24f-6dbe51e79fca_3085.txt", "TXT")</f>
        <v/>
      </c>
    </row>
    <row r="924">
      <c r="A924" s="1" t="n">
        <v>922</v>
      </c>
      <c r="B924" t="n">
        <v>2020</v>
      </c>
      <c r="C924" s="2" t="n">
        <v>44035.79927083333</v>
      </c>
      <c r="D924" t="inlineStr">
        <is>
          <t>A CRITICA</t>
        </is>
      </c>
      <c r="E924" t="inlineStr">
        <is>
          <t>VENEZUELANOS</t>
        </is>
      </c>
      <c r="F924" t="inlineStr">
        <is>
          <t>SAUDE</t>
        </is>
      </c>
      <c r="G924" t="inlineStr">
        <is>
          <t>PORTAL A CRÍTICA</t>
        </is>
      </c>
      <c r="H924" t="inlineStr">
        <is>
          <t>EM SÃO GABRIEL, MSF COMBATE COVID-19 RESPEITANDO RITUAIS INDÍGENAS</t>
        </is>
      </c>
      <c r="I924" t="inlineStr">
        <is>
          <t>EM 13 DIAS DE FUNCIONAMENTO DO CENTRO DE ACOLHIMENTO DO MÉDICOS SEM FRONTEIRAS, A ENFERMARIA FEZ 31 ATENDIMENTOS E INTERNOU 10 PACIENTES, SENDO OITO INDÍGENAS DAS ETNIAS BARÉ, BANIWA, TUKANO E DESANO.</t>
        </is>
      </c>
      <c r="J924" t="inlineStr"/>
      <c r="K924" t="n">
        <v>0</v>
      </c>
      <c r="L924" t="n">
        <v>1</v>
      </c>
      <c r="M924" t="n">
        <v>0</v>
      </c>
      <c r="N924" t="n">
        <v>0</v>
      </c>
      <c r="O924" t="n">
        <v>0</v>
      </c>
      <c r="P924">
        <f>HYPERLINK("https://www.acritica.com/saude/em-s-o-gabriel-msf-combate-covid-19-respeitando-rituais-indigenas-1.35954", "URL")</f>
        <v/>
      </c>
      <c r="Q924">
        <f>HYPERLINK("https://raw.githubusercontent.com/marcosmapl/dataset_imigrantes/main/materias_filtered/a_critica/venezuelanos/2020/06_jul/html/1.35954_1285.html", "HTML")</f>
        <v/>
      </c>
      <c r="R924">
        <f>HYPERLINK("https://raw.githubusercontent.com/marcosmapl/dataset_imigrantes/main/materias_filtered/a_critica/venezuelanos/2020/06_jul/txt/1.35954_1285.txt", "TXT")</f>
        <v/>
      </c>
    </row>
    <row r="925">
      <c r="A925" s="1" t="n">
        <v>923</v>
      </c>
      <c r="B925" t="n">
        <v>2020</v>
      </c>
      <c r="C925" s="2" t="n">
        <v>44035.60536251157</v>
      </c>
      <c r="D925" t="inlineStr">
        <is>
          <t>G1</t>
        </is>
      </c>
      <c r="E925" t="inlineStr">
        <is>
          <t>VENEZUELANOS</t>
        </is>
      </c>
      <c r="F925" t="inlineStr">
        <is>
          <t>MUNDO</t>
        </is>
      </c>
      <c r="G925" t="inlineStr">
        <is>
          <t>RFI</t>
        </is>
      </c>
      <c r="H925" t="inlineStr">
        <is>
          <t>A MANGA ESTÁ VIRANDO O ALIMENTO BÁSICO DOS VENEZUELANOS MAIS POBRES</t>
        </is>
      </c>
      <c r="I925" t="inlineStr">
        <is>
          <t>UMA DE CADA QUATRO FAMÍLIAS DA VENEZUELA VIVE A ANGÚSTIA DE NÃO TER ALIMENTOS POR CAUSA DA REDUÇÃO DO PODER DE COMPRA. ELAS TÊM RECORRIDA ÀS ÁRVORES DE MANGA NA RUA PARA CONSEGUIR SE ALIMENTAR.</t>
        </is>
      </c>
      <c r="J925" t="inlineStr"/>
      <c r="K925" t="n">
        <v>0</v>
      </c>
      <c r="L925" t="n">
        <v>2</v>
      </c>
      <c r="M925" t="n">
        <v>1</v>
      </c>
      <c r="N925" t="n">
        <v>0</v>
      </c>
      <c r="O925" t="n">
        <v>2</v>
      </c>
      <c r="P925">
        <f>HYPERLINK("https://g1.globo.com/mundo/noticia/2020/07/23/a-manga-esta-virando-o-alimento-basico-dos-venezuelanos-mais-pobres.ghtml", "URL")</f>
        <v/>
      </c>
      <c r="Q925">
        <f>HYPERLINK("https://raw.githubusercontent.com/marcosmapl/dataset_imigrantes/main/materias_filtered/g1/venezuelanos/2020/06_jul/html/g1_a6caaf0a-232c-11ed-b24f-6dbe51e79fca_4320.html", "HTML")</f>
        <v/>
      </c>
      <c r="R925">
        <f>HYPERLINK("https://raw.githubusercontent.com/marcosmapl/dataset_imigrantes/main/materias_filtered/g1/venezuelanos/2020/06_jul/txt/g1_a6caaf0a-232c-11ed-b24f-6dbe51e79fca_4320.txt", "TXT")</f>
        <v/>
      </c>
    </row>
    <row r="926">
      <c r="A926" s="1" t="n">
        <v>924</v>
      </c>
      <c r="B926" t="n">
        <v>2020</v>
      </c>
      <c r="C926" s="2" t="n">
        <v>44034.70183515046</v>
      </c>
      <c r="D926" t="inlineStr">
        <is>
          <t>G1</t>
        </is>
      </c>
      <c r="E926" t="inlineStr">
        <is>
          <t>HAITIANOS</t>
        </is>
      </c>
      <c r="F926" t="inlineStr">
        <is>
          <t>BEM ESTAR</t>
        </is>
      </c>
      <c r="G926" t="inlineStr">
        <is>
          <t>BBC</t>
        </is>
      </c>
      <c r="H926" t="inlineStr">
        <is>
          <t>COVID-19 SE ALASTRA EM FRIGORÍFICOS E PÕE BRASILEIROS E IMIGRANTES EM RISCO</t>
        </is>
      </c>
      <c r="I926" t="inlineStr">
        <is>
          <t>EM SITUAÇÃO DE GRANDE VULNERABILIDADE SOCIAL, ESTRANGEIROS GERALMENTE DIVIDEM O DOMICÍLIO COM VÁRIOS COLEGAS PARA REDUZIR OS CUSTOS E TÊM DIFICULDADE PARA ENTENDER AS RECOMENDAÇÕES EM PORTUGUÊS.</t>
        </is>
      </c>
      <c r="J926" t="inlineStr"/>
      <c r="K926" t="n">
        <v>0</v>
      </c>
      <c r="L926" t="n">
        <v>3</v>
      </c>
      <c r="M926" t="n">
        <v>1</v>
      </c>
      <c r="N926" t="n">
        <v>0</v>
      </c>
      <c r="O926" t="n">
        <v>7</v>
      </c>
      <c r="P926">
        <f>HYPERLINK("https://g1.globo.com/bemestar/coronavirus/noticia/2020/07/22/covid-19-se-alastra-em-frigorificos-e-poe-brasileiros-e-imigrantes-em-risco.ghtml", "URL")</f>
        <v/>
      </c>
      <c r="Q926">
        <f>HYPERLINK("https://raw.githubusercontent.com/marcosmapl/dataset_imigrantes/main/materias_filtered/g1/haitianos/2020/06_jul/html/g1_60ae81a4-2318-11ed-b24f-6dbe51e79fca_3256.html", "HTML")</f>
        <v/>
      </c>
      <c r="R926">
        <f>HYPERLINK("https://raw.githubusercontent.com/marcosmapl/dataset_imigrantes/main/materias_filtered/g1/haitianos/2020/06_jul/txt/g1_60ae81a4-2318-11ed-b24f-6dbe51e79fca_3256.txt", "TXT")</f>
        <v/>
      </c>
    </row>
    <row r="927">
      <c r="A927" s="1" t="n">
        <v>925</v>
      </c>
      <c r="B927" t="n">
        <v>2020</v>
      </c>
      <c r="C927" s="2" t="n">
        <v>44034.67837962963</v>
      </c>
      <c r="D927" t="inlineStr">
        <is>
          <t>A CRITICA</t>
        </is>
      </c>
      <c r="E927" t="inlineStr">
        <is>
          <t>VENEZUELANOS</t>
        </is>
      </c>
      <c r="F927" t="inlineStr"/>
      <c r="G927" t="inlineStr">
        <is>
          <t>PORTAL A CRÍTICA</t>
        </is>
      </c>
      <c r="H927" t="inlineStr">
        <is>
          <t>VÍTIMAS DE CRIMES HEDIONDOS RECEBEM ATENDIMENTO PSICOSSOCIAL EM DELEGACIA</t>
        </is>
      </c>
      <c r="I927" t="inlineStr">
        <is>
          <t>O SERVIÇO CONTA COM PSICÓLOGO E ASSISTENTE SOCIAL E OFERECE UMA ESCUTA ESPECIALIZADA, FORNECENDO UMA ESPÉCIE DE ACOLHIMENTO ÀS VÍTIMAS, CONFORME PRECONIZA O ESTATUTO DA CRIANÇA E DO ADOLESCENTE (ECA)</t>
        </is>
      </c>
      <c r="J927" t="inlineStr"/>
      <c r="K927" t="n">
        <v>0</v>
      </c>
      <c r="L927" t="n">
        <v>1</v>
      </c>
      <c r="M927" t="n">
        <v>0</v>
      </c>
      <c r="N927" t="n">
        <v>0</v>
      </c>
      <c r="O927" t="n">
        <v>0</v>
      </c>
      <c r="P927">
        <f>HYPERLINK("https://www.acritica.com/vitimas-de-crimes-hediondos-recebem-atendimento-psicossocial-em-delegacia-1.37077", "URL")</f>
        <v/>
      </c>
      <c r="Q927">
        <f>HYPERLINK("https://raw.githubusercontent.com/marcosmapl/dataset_imigrantes/main/materias_filtered/a_critica/venezuelanos/2020/06_jul/html/1.37077_599.html", "HTML")</f>
        <v/>
      </c>
      <c r="R927">
        <f>HYPERLINK("https://raw.githubusercontent.com/marcosmapl/dataset_imigrantes/main/materias_filtered/a_critica/venezuelanos/2020/06_jul/txt/1.37077_599.txt", "TXT")</f>
        <v/>
      </c>
    </row>
    <row r="928">
      <c r="A928" s="1" t="n">
        <v>926</v>
      </c>
      <c r="B928" t="n">
        <v>2020</v>
      </c>
      <c r="C928" s="2" t="n">
        <v>44033.45069444444</v>
      </c>
      <c r="D928" t="inlineStr">
        <is>
          <t>PORTAL AMAZONIA</t>
        </is>
      </c>
      <c r="E928" t="inlineStr">
        <is>
          <t>HAITIANOS</t>
        </is>
      </c>
      <c r="F928" t="inlineStr">
        <is>
          <t>AMAZONAS,NOTÍCIAS,EDUCAÇÃO</t>
        </is>
      </c>
      <c r="G928" t="inlineStr">
        <is>
          <t>PORTAL AMAZÔNIA, COM INFORMAÇÕES DA PREFEITURA DE MANAUS</t>
        </is>
      </c>
      <c r="H928" t="inlineStr">
        <is>
          <t>EDUCADORA AMAZONENSE É UMA DAS VENCEDORAS DO ‘EDUCADOR NOTA 10’</t>
        </is>
      </c>
      <c r="I928" t="inlineStr">
        <is>
          <t>O RESULTADO FOI ANUNCIADO NA MANHÃ DESTA SEGUNDA-FEIRA, 20, NO PROGRAMA ENCONTRO COM A FÁTIMA BERNARDES, DA REDE GLOBO.</t>
        </is>
      </c>
      <c r="J928" t="inlineStr">
        <is>
          <t>AMAZONAS, EDUCAÇÃO, EDUCADOR NOTA 10, LÚCIA CORTEZ, NOTÍCIAS</t>
        </is>
      </c>
      <c r="K928" t="n">
        <v>5</v>
      </c>
      <c r="L928" t="n">
        <v>2</v>
      </c>
      <c r="M928" t="n">
        <v>0</v>
      </c>
      <c r="N928" t="n">
        <v>0</v>
      </c>
      <c r="O928" t="n">
        <v>14</v>
      </c>
      <c r="P928">
        <f>HYPERLINK("https://portalamazonia.com/noticias/educadora-amazonense-e-uma-das-vencedoras-do-educador-nota-10", "URL")</f>
        <v/>
      </c>
      <c r="Q928">
        <f>HYPERLINK("https://raw.githubusercontent.com/marcosmapl/dataset_imigrantes/main/materias_filtered/portal_amazonia/haitianos/2020/06_jul/html/27602.39320_1529.html", "HTML")</f>
        <v/>
      </c>
      <c r="R928">
        <f>HYPERLINK("https://raw.githubusercontent.com/marcosmapl/dataset_imigrantes/main/materias_filtered/portal_amazonia/haitianos/2020/06_jul/txt/27602.39320_1529.txt", "TXT")</f>
        <v/>
      </c>
    </row>
    <row r="929">
      <c r="A929" s="1" t="n">
        <v>927</v>
      </c>
      <c r="B929" t="n">
        <v>2020</v>
      </c>
      <c r="C929" s="2" t="n">
        <v>44032.90518518518</v>
      </c>
      <c r="D929" t="inlineStr">
        <is>
          <t>A CRITICA</t>
        </is>
      </c>
      <c r="E929" t="inlineStr">
        <is>
          <t>HAITIANOS</t>
        </is>
      </c>
      <c r="F929" t="inlineStr">
        <is>
          <t>MANAUS</t>
        </is>
      </c>
      <c r="G929" t="inlineStr">
        <is>
          <t>PORTAL A CRÍTICA</t>
        </is>
      </c>
      <c r="H929" t="inlineStr">
        <is>
          <t>PROFESSORA DE MANAUS VENCE CATEGORIA DE GESTÃO ESCOLAR DO PRÊMIO EDUCADOR NOTA 10</t>
        </is>
      </c>
      <c r="I929" t="inlineStr">
        <is>
          <t>LÚCIA CRISTINA CORTEZ BARROS SANTOS ATUA HÁ 15 ANOS NA ESCOLA MUNICIPAL WALDIR GARCIA E DESENVOLVE PROJETO DE INCLUSÃO NO AMBIENTE ESCOLAR</t>
        </is>
      </c>
      <c r="J929" t="inlineStr"/>
      <c r="K929" t="n">
        <v>0</v>
      </c>
      <c r="L929" t="n">
        <v>1</v>
      </c>
      <c r="M929" t="n">
        <v>0</v>
      </c>
      <c r="N929" t="n">
        <v>0</v>
      </c>
      <c r="O929" t="n">
        <v>0</v>
      </c>
      <c r="P929">
        <f>HYPERLINK("https://www.acritica.com/manaus/professora-de-manaus-vence-categoria-de-gest-o-escolar-do-premio-educador-nota-10-1.36115", "URL")</f>
        <v/>
      </c>
      <c r="Q929">
        <f>HYPERLINK("https://raw.githubusercontent.com/marcosmapl/dataset_imigrantes/main/materias_filtered/a_critica/haitianos/2020/06_jul/html/1.36115_1052.html", "HTML")</f>
        <v/>
      </c>
      <c r="R929">
        <f>HYPERLINK("https://raw.githubusercontent.com/marcosmapl/dataset_imigrantes/main/materias_filtered/a_critica/haitianos/2020/06_jul/txt/1.36115_1052.txt", "TXT")</f>
        <v/>
      </c>
    </row>
    <row r="930">
      <c r="A930" s="1" t="n">
        <v>928</v>
      </c>
      <c r="B930" t="n">
        <v>2020</v>
      </c>
      <c r="C930" s="2" t="n">
        <v>44030.77692015046</v>
      </c>
      <c r="D930" t="inlineStr">
        <is>
          <t>G1</t>
        </is>
      </c>
      <c r="E930" t="inlineStr">
        <is>
          <t>HAITIANOS</t>
        </is>
      </c>
      <c r="F930" t="inlineStr">
        <is>
          <t>MUNDO</t>
        </is>
      </c>
      <c r="G930" t="inlineStr">
        <is>
          <t>BBC</t>
        </is>
      </c>
      <c r="H930" t="inlineStr">
        <is>
          <t>COMO É SER NEGRO NO JAPÃO, PAÍS ONDE 98% DA POPULAÇÃO É NATIVA</t>
        </is>
      </c>
      <c r="I930" t="inlineStr">
        <is>
          <t>NEGROS RELATAM À BBC NEWS BRASIL COTIDIANO EM PAÍS FECHADO A ESTRANGEIROS; RACISMO NÃO É DESCARADO, MAS EXISTE, DIZEM ELES.</t>
        </is>
      </c>
      <c r="J930" t="inlineStr"/>
      <c r="K930" t="n">
        <v>0</v>
      </c>
      <c r="L930" t="n">
        <v>2</v>
      </c>
      <c r="M930" t="n">
        <v>0</v>
      </c>
      <c r="N930" t="n">
        <v>0</v>
      </c>
      <c r="O930" t="n">
        <v>1</v>
      </c>
      <c r="P930">
        <f>HYPERLINK("https://g1.globo.com/mundo/noticia/2020/07/18/como-e-ser-negro-no-japao-pais-onde-98-da-populacao-e-nativa.ghtml", "URL")</f>
        <v/>
      </c>
      <c r="Q930">
        <f>HYPERLINK("https://raw.githubusercontent.com/marcosmapl/dataset_imigrantes/main/materias_filtered/g1/haitianos/2020/06_jul/html/g1_ac24285c-2325-11ed-b24f-6dbe51e79fca_3927.html", "HTML")</f>
        <v/>
      </c>
      <c r="R930">
        <f>HYPERLINK("https://raw.githubusercontent.com/marcosmapl/dataset_imigrantes/main/materias_filtered/g1/haitianos/2020/06_jul/txt/g1_ac24285c-2325-11ed-b24f-6dbe51e79fca_3927.txt", "TXT")</f>
        <v/>
      </c>
    </row>
    <row r="931">
      <c r="A931" s="1" t="n">
        <v>929</v>
      </c>
      <c r="B931" t="n">
        <v>2020</v>
      </c>
      <c r="C931" s="2" t="n">
        <v>44029.66563553241</v>
      </c>
      <c r="D931" t="inlineStr">
        <is>
          <t>G1</t>
        </is>
      </c>
      <c r="E931" t="inlineStr">
        <is>
          <t>VENEZUELANOS</t>
        </is>
      </c>
      <c r="F931" t="inlineStr">
        <is>
          <t>MUNDO</t>
        </is>
      </c>
      <c r="G931" t="inlineStr">
        <is>
          <t>BBC</t>
        </is>
      </c>
      <c r="H931" t="inlineStr">
        <is>
          <t>CORONAVÍRUS: PANDEMIA AGRAVA FOME E DESESPERO NA VENEZUELA</t>
        </is>
      </c>
      <c r="I931" t="inlineStr">
        <is>
          <t>DE ACORDO COM A ÚLTIMA PESQUISA QUE MEDE OS PADRÕES DE VIDA NA VENEZUELA, A DESNUTRIÇÃO DE CRIANÇAS VENEZUELANAS COM MENOS DE CINCO ANOS DE IDADE JÁ É COMPARÁVEL À DOS PAÍSES MAIS POBRES DO MUNDO.</t>
        </is>
      </c>
      <c r="J931" t="inlineStr"/>
      <c r="K931" t="n">
        <v>0</v>
      </c>
      <c r="L931" t="n">
        <v>2</v>
      </c>
      <c r="M931" t="n">
        <v>0</v>
      </c>
      <c r="N931" t="n">
        <v>0</v>
      </c>
      <c r="O931" t="n">
        <v>1</v>
      </c>
      <c r="P931">
        <f>HYPERLINK("https://g1.globo.com/mundo/noticia/2020/07/17/coronavirus-pandemia-agrava-fome-e-desespero-na-venezuela.ghtml", "URL")</f>
        <v/>
      </c>
      <c r="Q931">
        <f>HYPERLINK("https://raw.githubusercontent.com/marcosmapl/dataset_imigrantes/main/materias_filtered/g1/venezuelanos/2020/06_jul/html/g1_a966dc24-2323-11ed-b24f-6dbe51e79fca_3820.html", "HTML")</f>
        <v/>
      </c>
      <c r="R931">
        <f>HYPERLINK("https://raw.githubusercontent.com/marcosmapl/dataset_imigrantes/main/materias_filtered/g1/venezuelanos/2020/06_jul/txt/g1_a966dc24-2323-11ed-b24f-6dbe51e79fca_3820.txt", "TXT")</f>
        <v/>
      </c>
    </row>
    <row r="932">
      <c r="A932" s="1" t="n">
        <v>930</v>
      </c>
      <c r="B932" t="n">
        <v>2020</v>
      </c>
      <c r="C932" s="2" t="n">
        <v>44029.52359197917</v>
      </c>
      <c r="D932" t="inlineStr">
        <is>
          <t>G1</t>
        </is>
      </c>
      <c r="E932" t="inlineStr">
        <is>
          <t>VENEZUELANOS</t>
        </is>
      </c>
      <c r="F932" t="inlineStr">
        <is>
          <t>PEQUENAS EMPRESAS &amp; GRANDES NEGÓCIOS</t>
        </is>
      </c>
      <c r="G932" t="inlineStr"/>
      <c r="H932" t="inlineStr">
        <is>
          <t>APÓS PERDER EMPREGO, VENEZUELANO QUE VIVE NO BRASIL SUSTENTA A FAMÍLIA VENDENDO PASTEL TÍPICO DO SEU PAÍS</t>
        </is>
      </c>
      <c r="I932" t="inlineStr">
        <is>
          <t>EMPRESÁRIO CONQUISTOU OS CLIENTES AO VENDER O TEQUEÑO, A PREÇO DE CUSTO, DURANTE DEZ DIAS. ELE TAMBÉM CRIOU NOVOS RECHEIOS PARA AGRADAR O PALADAR DOS BRASILEIROS, COMO GOIABADA E CALABRESA.</t>
        </is>
      </c>
      <c r="J932" t="inlineStr"/>
      <c r="K932" t="n">
        <v>0</v>
      </c>
      <c r="L932" t="n">
        <v>2</v>
      </c>
      <c r="M932" t="n">
        <v>1</v>
      </c>
      <c r="N932" t="n">
        <v>0</v>
      </c>
      <c r="O932" t="n">
        <v>0</v>
      </c>
      <c r="P932">
        <f>HYPERLINK("https://g1.globo.com/economia/pme/pequenas-empresas-grandes-negocios/noticia/2020/07/17/apos-perder-emprego-venezuelano-que-vive-no-brasil-sustenta-a-familia-vendendo-pastel-tipico-do-seu-pais.ghtml", "URL")</f>
        <v/>
      </c>
      <c r="Q932">
        <f>HYPERLINK("https://raw.githubusercontent.com/marcosmapl/dataset_imigrantes/main/materias_filtered/g1/venezuelanos/2020/06_jul/html/g1_73d71950-2316-11ed-b24f-6dbe51e79fca_3148.html", "HTML")</f>
        <v/>
      </c>
      <c r="R932">
        <f>HYPERLINK("https://raw.githubusercontent.com/marcosmapl/dataset_imigrantes/main/materias_filtered/g1/venezuelanos/2020/06_jul/txt/g1_73d71950-2316-11ed-b24f-6dbe51e79fca_3148.txt", "TXT")</f>
        <v/>
      </c>
    </row>
    <row r="933">
      <c r="A933" s="1" t="n">
        <v>931</v>
      </c>
      <c r="B933" t="n">
        <v>2020</v>
      </c>
      <c r="C933" s="2" t="n">
        <v>44028.97173070602</v>
      </c>
      <c r="D933" t="inlineStr">
        <is>
          <t>G1</t>
        </is>
      </c>
      <c r="E933" t="inlineStr">
        <is>
          <t>VENEZUELANOS</t>
        </is>
      </c>
      <c r="F933" t="inlineStr">
        <is>
          <t>ACRE</t>
        </is>
      </c>
      <c r="G933" t="inlineStr">
        <is>
          <t>ALCINETE GADELHA, G1 AC — RIO BRANCO</t>
        </is>
      </c>
      <c r="H933" t="inlineStr">
        <is>
          <t>EM TRÊS MESES, SECRETARIA IDENTIFICA MAIS DE 45 CRIANÇAS VENEZUELANAS EM SEMÁFOROS DE RIO BRANCO</t>
        </is>
      </c>
      <c r="I933" t="inlineStr">
        <is>
          <t>SECRETARIA FAZ ORIENTAÇÕES ÀS FAMÍLIAS SOBRE LEGISLAÇÃO BRASILEIRA E FAZ ENCAMINHAMENTOS PARA ATENDIMENTOS EM SAÚDE OU RETIRADAS DE DOCUMENTAÇÃO, CONFORME DEMANDA DA FAMÍLIA.</t>
        </is>
      </c>
      <c r="J933" t="inlineStr"/>
      <c r="K933" t="n">
        <v>0</v>
      </c>
      <c r="L933" t="n">
        <v>3</v>
      </c>
      <c r="M933" t="n">
        <v>2</v>
      </c>
      <c r="N933" t="n">
        <v>0</v>
      </c>
      <c r="O933" t="n">
        <v>1</v>
      </c>
      <c r="P933">
        <f>HYPERLINK("https://g1.globo.com/ac/acre/noticia/2020/07/16/em-tres-meses-secretaria-identifica-mais-de-45-criancas-venezuelanas-em-semaforos-de-rio-branco.ghtml", "URL")</f>
        <v/>
      </c>
      <c r="Q933">
        <f>HYPERLINK("https://raw.githubusercontent.com/marcosmapl/dataset_imigrantes/main/materias_filtered/g1/venezuelanos/2020/06_jul/html/g1_0343c040-231f-11ed-b24f-6dbe51e79fca_3595.html", "HTML")</f>
        <v/>
      </c>
      <c r="R933">
        <f>HYPERLINK("https://raw.githubusercontent.com/marcosmapl/dataset_imigrantes/main/materias_filtered/g1/venezuelanos/2020/06_jul/txt/g1_0343c040-231f-11ed-b24f-6dbe51e79fca_3595.txt", "TXT")</f>
        <v/>
      </c>
    </row>
    <row r="934">
      <c r="A934" s="1" t="n">
        <v>932</v>
      </c>
      <c r="B934" t="n">
        <v>2020</v>
      </c>
      <c r="C934" s="2" t="n">
        <v>44028.87222222222</v>
      </c>
      <c r="D934" t="inlineStr">
        <is>
          <t>A CRITICA</t>
        </is>
      </c>
      <c r="E934" t="inlineStr">
        <is>
          <t>VENEZUELANOS</t>
        </is>
      </c>
      <c r="F934" t="inlineStr">
        <is>
          <t>MANAUS</t>
        </is>
      </c>
      <c r="G934" t="inlineStr">
        <is>
          <t>PORTAL A CRÍTICA</t>
        </is>
      </c>
      <c r="H934" t="inlineStr">
        <is>
          <t>NOVO ABRIGO APRIMORA ACOLHIMENTO DE REFUGIADOS E MIGRANTES VENEZUELANOS EM MANAUS</t>
        </is>
      </c>
      <c r="I934" t="inlineStr">
        <is>
          <t>COM APOIO DAS NAÇÕES UNIDAS, PREFEITURA REALOCA 158 INDÍGENAS DA ETNIA WARAO PARA ESPAÇO MAIS AMPLO E SEGURO. REALOCAÇÕES SEGUEM ATÉ ACOLHIMENTO DA TOTALIDADE DA POPULAÇÃO INDÍGENA REFUGIADA E MIGRANTE QUE VIVE NA CAPITAL AMAZONENSE</t>
        </is>
      </c>
      <c r="J934" t="inlineStr"/>
      <c r="K934" t="n">
        <v>0</v>
      </c>
      <c r="L934" t="n">
        <v>1</v>
      </c>
      <c r="M934" t="n">
        <v>0</v>
      </c>
      <c r="N934" t="n">
        <v>0</v>
      </c>
      <c r="O934" t="n">
        <v>0</v>
      </c>
      <c r="P934">
        <f>HYPERLINK("https://www.acritica.com/manaus/novo-abrigo-aprimora-acolhimento-de-refugiados-e-migrantes-venezuelanos-em-manaus-1.37297", "URL")</f>
        <v/>
      </c>
      <c r="Q934">
        <f>HYPERLINK("https://raw.githubusercontent.com/marcosmapl/dataset_imigrantes/main/materias_filtered/a_critica/venezuelanos/2020/06_jul/html/1.37297_743.html", "HTML")</f>
        <v/>
      </c>
      <c r="R934">
        <f>HYPERLINK("https://raw.githubusercontent.com/marcosmapl/dataset_imigrantes/main/materias_filtered/a_critica/venezuelanos/2020/06_jul/txt/1.37297_743.txt", "TXT")</f>
        <v/>
      </c>
    </row>
    <row r="935">
      <c r="A935" s="1" t="n">
        <v>933</v>
      </c>
      <c r="B935" t="n">
        <v>2020</v>
      </c>
      <c r="C935" s="2" t="n">
        <v>44027.63627314815</v>
      </c>
      <c r="D935" t="inlineStr">
        <is>
          <t>A CRITICA</t>
        </is>
      </c>
      <c r="E935" t="inlineStr">
        <is>
          <t>AMBOS</t>
        </is>
      </c>
      <c r="F935" t="inlineStr">
        <is>
          <t>MANAUS</t>
        </is>
      </c>
      <c r="G935" t="inlineStr">
        <is>
          <t>PORTAL A CRÍTICA</t>
        </is>
      </c>
      <c r="H935" t="inlineStr">
        <is>
          <t>EDUCADORAS DE MANAUS SÃO FINALISTAS DO PRÊMIO EDUCADOR NOTA 10</t>
        </is>
      </c>
      <c r="I935" t="inlineStr">
        <is>
          <t>O PRÊMIO EDUCADOR NOTA 10, MAIOR E MAIS IMPORTANTE PRÊMIO DA EDUCAÇÃO BÁSICA BRASILEIRA, DIVULGOU NO DIA 8 DE JULHO SEUS FINALISTAS</t>
        </is>
      </c>
      <c r="J935" t="inlineStr"/>
      <c r="K935" t="n">
        <v>0</v>
      </c>
      <c r="L935" t="n">
        <v>1</v>
      </c>
      <c r="M935" t="n">
        <v>0</v>
      </c>
      <c r="N935" t="n">
        <v>0</v>
      </c>
      <c r="O935" t="n">
        <v>0</v>
      </c>
      <c r="P935">
        <f>HYPERLINK("https://www.acritica.com/manaus/educadoras-de-manaus-s-o-finalistas-do-premio-educador-nota-10-1.37320", "URL")</f>
        <v/>
      </c>
      <c r="Q935">
        <f>HYPERLINK("https://raw.githubusercontent.com/marcosmapl/dataset_imigrantes/main/materias_filtered/a_critica/ambos/2020/06_jul/html/1.37320_1154.html", "HTML")</f>
        <v/>
      </c>
      <c r="R935">
        <f>HYPERLINK("https://raw.githubusercontent.com/marcosmapl/dataset_imigrantes/main/materias_filtered/a_critica/ambos/2020/06_jul/txt/1.37320_1154.txt", "TXT")</f>
        <v/>
      </c>
    </row>
    <row r="936">
      <c r="A936" s="1" t="n">
        <v>934</v>
      </c>
      <c r="B936" t="n">
        <v>2020</v>
      </c>
      <c r="C936" s="2" t="n">
        <v>44026.89374206019</v>
      </c>
      <c r="D936" t="inlineStr">
        <is>
          <t>G1</t>
        </is>
      </c>
      <c r="E936" t="inlineStr">
        <is>
          <t>VENEZUELANOS</t>
        </is>
      </c>
      <c r="F936" t="inlineStr">
        <is>
          <t>PIAUÍ</t>
        </is>
      </c>
      <c r="G936" t="inlineStr">
        <is>
          <t>G1 PI</t>
        </is>
      </c>
      <c r="H936" t="inlineStr">
        <is>
          <t>INDÍGENA VENEZUELANO MORRE VÍTIMA DA COVID-19 NO PIAUÍ; OUTROS 79 ESTÃO INFECTADOS</t>
        </is>
      </c>
      <c r="I936" t="inlineStr">
        <is>
          <t>ELE FOI DIAGNOSTICADO COM A DOENÇA NO DIA 11 DE JUNHO E, DESDE ENTÃO, ESTAVA INTERNADO NO HOSPITAL GETÚLIO VARGAS.</t>
        </is>
      </c>
      <c r="J936" t="inlineStr"/>
      <c r="K936" t="n">
        <v>0</v>
      </c>
      <c r="L936" t="n">
        <v>2</v>
      </c>
      <c r="M936" t="n">
        <v>0</v>
      </c>
      <c r="N936" t="n">
        <v>0</v>
      </c>
      <c r="O936" t="n">
        <v>15</v>
      </c>
      <c r="P936">
        <f>HYPERLINK("https://g1.globo.com/pi/piaui/noticia/2020/07/14/indigena-venezuelano-morre-vitima-da-covid-19-no-piaui-outros-78-estao-infectados.ghtml", "URL")</f>
        <v/>
      </c>
      <c r="Q936">
        <f>HYPERLINK("https://raw.githubusercontent.com/marcosmapl/dataset_imigrantes/main/materias_filtered/g1/venezuelanos/2020/06_jul/html/g1_fb5ba328-2325-11ed-b24f-6dbe51e79fca_3947.html", "HTML")</f>
        <v/>
      </c>
      <c r="R936">
        <f>HYPERLINK("https://raw.githubusercontent.com/marcosmapl/dataset_imigrantes/main/materias_filtered/g1/venezuelanos/2020/06_jul/txt/g1_fb5ba328-2325-11ed-b24f-6dbe51e79fca_3947.txt", "TXT")</f>
        <v/>
      </c>
    </row>
    <row r="937">
      <c r="A937" s="1" t="n">
        <v>935</v>
      </c>
      <c r="B937" t="n">
        <v>2020</v>
      </c>
      <c r="C937" s="2" t="n">
        <v>44026.5000462963</v>
      </c>
      <c r="D937" t="inlineStr">
        <is>
          <t>A CRITICA</t>
        </is>
      </c>
      <c r="E937" t="inlineStr">
        <is>
          <t>VENEZUELANOS</t>
        </is>
      </c>
      <c r="F937" t="inlineStr">
        <is>
          <t>ESPORTES</t>
        </is>
      </c>
      <c r="G937" t="inlineStr">
        <is>
          <t>LEONARDO SENA</t>
        </is>
      </c>
      <c r="H937" t="inlineStr">
        <is>
          <t>BRENDA E GEOVANA RETORNAM E 'NOVO ELENCO' DO 3B SPORT CONTA COM 15 ATLETAS</t>
        </is>
      </c>
      <c r="I937" t="inlineStr">
        <is>
          <t>ANTES DA PANDEMIA COM 19 JOGADORAS, GRUPO PERDEU ATLETAS E O TREINADOR POR CONTA DO FIM DO VÍNCULO. RETORNO DA SÉRIE A2 DO BRASILEIRO AINDA NÃO TEM PREVISÃO</t>
        </is>
      </c>
      <c r="J937" t="inlineStr"/>
      <c r="K937" t="n">
        <v>0</v>
      </c>
      <c r="L937" t="n">
        <v>1</v>
      </c>
      <c r="M937" t="n">
        <v>0</v>
      </c>
      <c r="N937" t="n">
        <v>0</v>
      </c>
      <c r="O937" t="n">
        <v>0</v>
      </c>
      <c r="P937">
        <f>HYPERLINK("https://www.acritica.com/esportes/brenda-e-geovana-retornam-e-novo-elenco-do-3b-sport-conta-com-15-atletas-1.36289", "URL")</f>
        <v/>
      </c>
      <c r="Q937">
        <f>HYPERLINK("https://raw.githubusercontent.com/marcosmapl/dataset_imigrantes/main/materias_filtered/a_critica/venezuelanos/2020/06_jul/html/1.36289_173.html", "HTML")</f>
        <v/>
      </c>
      <c r="R937">
        <f>HYPERLINK("https://raw.githubusercontent.com/marcosmapl/dataset_imigrantes/main/materias_filtered/a_critica/venezuelanos/2020/06_jul/txt/1.36289_173.txt", "TXT")</f>
        <v/>
      </c>
    </row>
    <row r="938">
      <c r="A938" s="1" t="n">
        <v>936</v>
      </c>
      <c r="B938" t="n">
        <v>2020</v>
      </c>
      <c r="C938" s="2" t="n">
        <v>44024.75017361111</v>
      </c>
      <c r="D938" t="inlineStr">
        <is>
          <t>A CRITICA</t>
        </is>
      </c>
      <c r="E938" t="inlineStr">
        <is>
          <t>VENEZUELANOS</t>
        </is>
      </c>
      <c r="F938" t="inlineStr">
        <is>
          <t>MANAUS</t>
        </is>
      </c>
      <c r="G938" t="inlineStr">
        <is>
          <t>PORTAL A CRÍTICA</t>
        </is>
      </c>
      <c r="H938" t="inlineStr">
        <is>
          <t>ÁGUAS DE MANAUS E UNICEF DISTRIBUEM KITS DE HIGIENE E LIMPEZA EM PALAFITAS DA CACHOEIRINHA</t>
        </is>
      </c>
      <c r="I938" t="inlineStr">
        <is>
          <t>MAIS DE 500 PESSOAS FORAM BENEFICIADAS COM A AÇÃO, RECEBENDO PRODUTOS COMO SABONETES, ÁLCOOL EM GEL, SABÃO EM PÓ, SABÃO LÍQUIDO, ÁGUA SANITÁRIA, MÁSCARAS DE TECIDO, ENTRE OUTROS</t>
        </is>
      </c>
      <c r="J938" t="inlineStr"/>
      <c r="K938" t="n">
        <v>0</v>
      </c>
      <c r="L938" t="n">
        <v>1</v>
      </c>
      <c r="M938" t="n">
        <v>0</v>
      </c>
      <c r="N938" t="n">
        <v>0</v>
      </c>
      <c r="O938" t="n">
        <v>0</v>
      </c>
      <c r="P938">
        <f>HYPERLINK("https://www.acritica.com/manaus/aguas-de-manaus-e-unicef-distribuem-kits-de-higiene-e-limpeza-em-palafitas-da-cachoeirinha-1.37439", "URL")</f>
        <v/>
      </c>
      <c r="Q938">
        <f>HYPERLINK("https://raw.githubusercontent.com/marcosmapl/dataset_imigrantes/main/materias_filtered/a_critica/venezuelanos/2020/06_jul/html/1.37439_1001.html", "HTML")</f>
        <v/>
      </c>
      <c r="R938">
        <f>HYPERLINK("https://raw.githubusercontent.com/marcosmapl/dataset_imigrantes/main/materias_filtered/a_critica/venezuelanos/2020/06_jul/txt/1.37439_1001.txt", "TXT")</f>
        <v/>
      </c>
    </row>
    <row r="939">
      <c r="A939" s="1" t="n">
        <v>937</v>
      </c>
      <c r="B939" t="n">
        <v>2020</v>
      </c>
      <c r="C939" s="2" t="n">
        <v>44024.50138888889</v>
      </c>
      <c r="D939" t="inlineStr">
        <is>
          <t>A CRITICA</t>
        </is>
      </c>
      <c r="E939" t="inlineStr">
        <is>
          <t>VENEZUELANOS</t>
        </is>
      </c>
      <c r="F939" t="inlineStr">
        <is>
          <t>OPINIAO</t>
        </is>
      </c>
      <c r="G939" t="inlineStr">
        <is>
          <t>DULCE RODRIGUEZ</t>
        </is>
      </c>
      <c r="H939" t="inlineStr">
        <is>
          <t>O QUE GANHEI COM A PANDEMIA DO NOVO CORONAVIRUS?</t>
        </is>
      </c>
      <c r="I939" t="inlineStr">
        <is>
          <t>TRINTA E DOIS MESES DEPOIS DE CRUZAR A FRONTEIRA, CONSEGUI MEU PRIMEIRO EMPREGO COMO JORNALISTA E MEU REGISTRO PROFISSIONAL</t>
        </is>
      </c>
      <c r="J939" t="inlineStr">
        <is>
          <t>VIDA-DE-IMIGRANTE</t>
        </is>
      </c>
      <c r="K939" t="n">
        <v>1</v>
      </c>
      <c r="L939" t="n">
        <v>1</v>
      </c>
      <c r="M939" t="n">
        <v>0</v>
      </c>
      <c r="N939" t="n">
        <v>0</v>
      </c>
      <c r="O939" t="n">
        <v>2</v>
      </c>
      <c r="P939">
        <f>HYPERLINK("https://www.acritica.com/opiniao/o-que-ganhei-com-a-pandemia-do-novo-coronavirus-1.216390", "URL")</f>
        <v/>
      </c>
      <c r="Q939">
        <f>HYPERLINK("https://raw.githubusercontent.com/marcosmapl/dataset_imigrantes/main/materias_filtered/a_critica/venezuelanos/2020/06_jul/html/1.216390_883.html", "HTML")</f>
        <v/>
      </c>
      <c r="R939">
        <f>HYPERLINK("https://raw.githubusercontent.com/marcosmapl/dataset_imigrantes/main/materias_filtered/a_critica/venezuelanos/2020/06_jul/txt/1.216390_883.txt", "TXT")</f>
        <v/>
      </c>
    </row>
    <row r="940">
      <c r="A940" s="1" t="n">
        <v>938</v>
      </c>
      <c r="B940" t="n">
        <v>2020</v>
      </c>
      <c r="C940" s="2" t="n">
        <v>44023.87931738426</v>
      </c>
      <c r="D940" t="inlineStr">
        <is>
          <t>G1</t>
        </is>
      </c>
      <c r="E940" t="inlineStr">
        <is>
          <t>HAITIANOS</t>
        </is>
      </c>
      <c r="F940" t="inlineStr">
        <is>
          <t>RIO GRANDE DO SUL</t>
        </is>
      </c>
      <c r="G940" t="inlineStr">
        <is>
          <t>AUGUSTINE TIMM, G1 RS E RBS TV</t>
        </is>
      </c>
      <c r="H940" t="inlineStr">
        <is>
          <t>CASAL AJUDA HAITIANOS DESALOJADOS PELA ENCHENTE EM ARROIO DO MEIO</t>
        </is>
      </c>
      <c r="I940" t="inlineStr">
        <is>
          <t>VANESSA E ELYSÉE DOAM ROUPAS, ALIMENTOS E LAR TEMPORÁRIO PARA DEZENAS DE IMIGRANTES QUE TIVERAM AS CASAS INVADIAS PELA ÁGUA DO RIO TAQUARI. ELE VEIO DO HAITI E AJUDA OS CONTERRÂNEOS.</t>
        </is>
      </c>
      <c r="J940" t="inlineStr"/>
      <c r="K940" t="n">
        <v>0</v>
      </c>
      <c r="L940" t="n">
        <v>1</v>
      </c>
      <c r="M940" t="n">
        <v>0</v>
      </c>
      <c r="N940" t="n">
        <v>0</v>
      </c>
      <c r="O940" t="n">
        <v>1</v>
      </c>
      <c r="P940">
        <f>HYPERLINK("https://g1.globo.com/rs/rio-grande-do-sul/noticia/2020/07/11/casal-ajuda-haitianos-desalojados-pela-enchente-em-arroio-do-meio.ghtml", "URL")</f>
        <v/>
      </c>
      <c r="Q940">
        <f>HYPERLINK("https://raw.githubusercontent.com/marcosmapl/dataset_imigrantes/main/materias_filtered/g1/haitianos/2020/06_jul/html/g1_dd00c53a-22ed-11ed-b24f-6dbe51e79fca_1690.html", "HTML")</f>
        <v/>
      </c>
      <c r="R940">
        <f>HYPERLINK("https://raw.githubusercontent.com/marcosmapl/dataset_imigrantes/main/materias_filtered/g1/haitianos/2020/06_jul/txt/g1_dd00c53a-22ed-11ed-b24f-6dbe51e79fca_1690.txt", "TXT")</f>
        <v/>
      </c>
    </row>
    <row r="941">
      <c r="A941" s="1" t="n">
        <v>939</v>
      </c>
      <c r="B941" t="n">
        <v>2020</v>
      </c>
      <c r="C941" s="2" t="n">
        <v>44023.69272148148</v>
      </c>
      <c r="D941" t="inlineStr">
        <is>
          <t>G1</t>
        </is>
      </c>
      <c r="E941" t="inlineStr">
        <is>
          <t>AMBOS</t>
        </is>
      </c>
      <c r="F941" t="inlineStr">
        <is>
          <t>SÃO PAULO</t>
        </is>
      </c>
      <c r="G941" t="inlineStr">
        <is>
          <t>CINTHIA TOLEDO, SP1 — SÃO PAULO</t>
        </is>
      </c>
      <c r="H941" t="inlineStr">
        <is>
          <t>PREFEITURA DE SP ABRE INSCRIÇÕES PARA CERTIFICAR EMPRESAS QUE INVESTEM EM DIVERSIDADE</t>
        </is>
      </c>
      <c r="I941" t="inlineStr">
        <is>
          <t>INSCRIÇÕES VÃO ATÉ O DIA 16 DE AGOSTO PARA RECEBER SELO DE DIREITOS HUMANOS E DIVERSIDADE. EXPECTATIVA DA PREFEITURA É DE RECEBER 200 EMPRESAS INTERESSADAS.</t>
        </is>
      </c>
      <c r="J941" t="inlineStr"/>
      <c r="K941" t="n">
        <v>0</v>
      </c>
      <c r="L941" t="n">
        <v>2</v>
      </c>
      <c r="M941" t="n">
        <v>2</v>
      </c>
      <c r="N941" t="n">
        <v>0</v>
      </c>
      <c r="O941" t="n">
        <v>6</v>
      </c>
      <c r="P941">
        <f>HYPERLINK("https://g1.globo.com/sp/sao-paulo/noticia/2020/07/11/prefeitura-de-sp-abre-inscricoes-para-certificar-empresas-que-investem-em-diversidade.ghtml", "URL")</f>
        <v/>
      </c>
      <c r="Q941">
        <f>HYPERLINK("https://raw.githubusercontent.com/marcosmapl/dataset_imigrantes/main/materias_filtered/g1/ambos/2020/06_jul/html/g1_09e0aaa4-2314-11ed-b24f-6dbe51e79fca_3041.html", "HTML")</f>
        <v/>
      </c>
      <c r="R941">
        <f>HYPERLINK("https://raw.githubusercontent.com/marcosmapl/dataset_imigrantes/main/materias_filtered/g1/ambos/2020/06_jul/txt/g1_09e0aaa4-2314-11ed-b24f-6dbe51e79fca_3041.txt", "TXT")</f>
        <v/>
      </c>
    </row>
    <row r="942">
      <c r="A942" s="1" t="n">
        <v>940</v>
      </c>
      <c r="B942" t="n">
        <v>2020</v>
      </c>
      <c r="C942" s="2" t="n">
        <v>44022.60104774305</v>
      </c>
      <c r="D942" t="inlineStr">
        <is>
          <t>G1</t>
        </is>
      </c>
      <c r="E942" t="inlineStr">
        <is>
          <t>VENEZUELANOS</t>
        </is>
      </c>
      <c r="F942" t="inlineStr">
        <is>
          <t>PARAÍBA</t>
        </is>
      </c>
      <c r="G942" t="inlineStr">
        <is>
          <t>G1 PB</t>
        </is>
      </c>
      <c r="H942" t="inlineStr">
        <is>
          <t>ESCOLA DESATIVADA É ADAPTADA PARA ABRIGAR VENEZUELANOS INDÍGENAS, EM CAMPINA GRANDE</t>
        </is>
      </c>
      <c r="I942" t="inlineStr">
        <is>
          <t>GRUPO SOLICITOU À PREFEITURA UMA UNIDADE HABITACIONAL PARA QUE TODOS OS INTEGRANTES DA TRIBO PERMANECESSEM JUNTOS.</t>
        </is>
      </c>
      <c r="J942" t="inlineStr"/>
      <c r="K942" t="n">
        <v>0</v>
      </c>
      <c r="L942" t="n">
        <v>2</v>
      </c>
      <c r="M942" t="n">
        <v>1</v>
      </c>
      <c r="N942" t="n">
        <v>0</v>
      </c>
      <c r="O942" t="n">
        <v>0</v>
      </c>
      <c r="P942">
        <f>HYPERLINK("https://g1.globo.com/pb/paraiba/noticia/2020/07/10/escola-desativada-e-adaptada-para-abrigar-venezuelanos-indigenas-em-campina-grande.ghtml", "URL")</f>
        <v/>
      </c>
      <c r="Q942">
        <f>HYPERLINK("https://raw.githubusercontent.com/marcosmapl/dataset_imigrantes/main/materias_filtered/g1/venezuelanos/2020/06_jul/html/g1_17b8bcf8-232c-11ed-b24f-6dbe51e79fca_4285.html", "HTML")</f>
        <v/>
      </c>
      <c r="R942">
        <f>HYPERLINK("https://raw.githubusercontent.com/marcosmapl/dataset_imigrantes/main/materias_filtered/g1/venezuelanos/2020/06_jul/txt/g1_17b8bcf8-232c-11ed-b24f-6dbe51e79fca_4285.txt", "TXT")</f>
        <v/>
      </c>
    </row>
    <row r="943">
      <c r="A943" s="1" t="n">
        <v>941</v>
      </c>
      <c r="B943" t="n">
        <v>2020</v>
      </c>
      <c r="C943" s="2" t="n">
        <v>44021.77197916667</v>
      </c>
      <c r="D943" t="inlineStr">
        <is>
          <t>A CRITICA</t>
        </is>
      </c>
      <c r="E943" t="inlineStr">
        <is>
          <t>VENEZUELANOS</t>
        </is>
      </c>
      <c r="F943" t="inlineStr">
        <is>
          <t>OPINIAO</t>
        </is>
      </c>
      <c r="G943" t="inlineStr">
        <is>
          <t>DULCE RODRIGUEZ</t>
        </is>
      </c>
      <c r="H943" t="inlineStr">
        <is>
          <t>DIA DO JORNALISTA NA VENEZUELA SUBMETIDA AO SOCIALISMO</t>
        </is>
      </c>
      <c r="I943" t="inlineStr">
        <is>
          <t>DESDE O ANO 2013 ATÉ AGORA, 67 JORNAIS DEIXARAM DE CIRCULAR NA VENEZUELA E PELO MENOS 25 DELES FECHARAM PERMANENTEMENTE. O GOVERNO SOCIALISTA REALIZOU MAIS DE 150 AÇÕES DE CENSURA À RÁDIOS E SUSPENDEU O SINAL DE 10 ESTAÇÕES DE TELEVISÃO ESTRANGEIRAS</t>
        </is>
      </c>
      <c r="J943" t="inlineStr">
        <is>
          <t>VIDA-DE-IMIGRANTE</t>
        </is>
      </c>
      <c r="K943" t="n">
        <v>1</v>
      </c>
      <c r="L943" t="n">
        <v>1</v>
      </c>
      <c r="M943" t="n">
        <v>0</v>
      </c>
      <c r="N943" t="n">
        <v>0</v>
      </c>
      <c r="O943" t="n">
        <v>1</v>
      </c>
      <c r="P943">
        <f>HYPERLINK("https://www.acritica.com/opiniao/dia-do-jornalista-na-venezuela-submetida-ao-socialismo-1.216396", "URL")</f>
        <v/>
      </c>
      <c r="Q943">
        <f>HYPERLINK("https://raw.githubusercontent.com/marcosmapl/dataset_imigrantes/main/materias_filtered/a_critica/venezuelanos/2020/06_jul/html/1.216396_292.html", "HTML")</f>
        <v/>
      </c>
      <c r="R943">
        <f>HYPERLINK("https://raw.githubusercontent.com/marcosmapl/dataset_imigrantes/main/materias_filtered/a_critica/venezuelanos/2020/06_jul/txt/1.216396_292.txt", "TXT")</f>
        <v/>
      </c>
    </row>
    <row r="944">
      <c r="A944" s="1" t="n">
        <v>942</v>
      </c>
      <c r="B944" t="n">
        <v>2020</v>
      </c>
      <c r="C944" s="2" t="n">
        <v>44021.58980506944</v>
      </c>
      <c r="D944" t="inlineStr">
        <is>
          <t>G1</t>
        </is>
      </c>
      <c r="E944" t="inlineStr">
        <is>
          <t>VENEZUELANOS</t>
        </is>
      </c>
      <c r="F944" t="inlineStr">
        <is>
          <t>MATO GROSSO</t>
        </is>
      </c>
      <c r="G944" t="inlineStr">
        <is>
          <t>G1 MT</t>
        </is>
      </c>
      <c r="H944" t="inlineStr">
        <is>
          <t>CRIANÇA VENEZUELANA DE 2 ANOS MORRE APÓS SUPOSTAMENTE INGERIR QUEROSENE EM CUIABÁ</t>
        </is>
      </c>
      <c r="I944" t="inlineStr">
        <is>
          <t>A MENINA FOI SOCORRIDA PELOS PAIS E LEVADA ÀS PRESSAS ATÉ A POLICLÍNICA DO BAIRRO PLANALTO, MAS NÃO RESISTIU.</t>
        </is>
      </c>
      <c r="J944" t="inlineStr"/>
      <c r="K944" t="n">
        <v>0</v>
      </c>
      <c r="L944" t="n">
        <v>1</v>
      </c>
      <c r="M944" t="n">
        <v>0</v>
      </c>
      <c r="N944" t="n">
        <v>0</v>
      </c>
      <c r="O944" t="n">
        <v>0</v>
      </c>
      <c r="P944">
        <f>HYPERLINK("https://g1.globo.com/mt/mato-grosso/noticia/2020/07/09/crianca-venezuelana-de-2-anos-morre-apos-supostamente-ingerir-querosene-em-cuiaba.ghtml", "URL")</f>
        <v/>
      </c>
      <c r="Q944">
        <f>HYPERLINK("https://raw.githubusercontent.com/marcosmapl/dataset_imigrantes/main/materias_filtered/g1/venezuelanos/2020/06_jul/html/g1_160928cc-232a-11ed-b24f-6dbe51e79fca_4156.html", "HTML")</f>
        <v/>
      </c>
      <c r="R944">
        <f>HYPERLINK("https://raw.githubusercontent.com/marcosmapl/dataset_imigrantes/main/materias_filtered/g1/venezuelanos/2020/06_jul/txt/g1_160928cc-232a-11ed-b24f-6dbe51e79fca_4156.txt", "TXT")</f>
        <v/>
      </c>
    </row>
    <row r="945">
      <c r="A945" s="1" t="n">
        <v>943</v>
      </c>
      <c r="B945" t="n">
        <v>2020</v>
      </c>
      <c r="C945" s="2" t="n">
        <v>44019.8316550926</v>
      </c>
      <c r="D945" t="inlineStr">
        <is>
          <t>A CRITICA</t>
        </is>
      </c>
      <c r="E945" t="inlineStr">
        <is>
          <t>VENEZUELANOS</t>
        </is>
      </c>
      <c r="F945" t="inlineStr">
        <is>
          <t>MANAUS</t>
        </is>
      </c>
      <c r="G945" t="inlineStr">
        <is>
          <t>JAN NOGUEIRA</t>
        </is>
      </c>
      <c r="H945" t="inlineStr">
        <is>
          <t>VENEZUELANO É PRESO SUSPEITO DE ESTUPRAR ADOLESCENTE DE 16 ANOS</t>
        </is>
      </c>
      <c r="I945" t="inlineStr">
        <is>
          <t>DE ACORDO COM RELATO DO PAI DA JOVEM, HOMEM ATRAIU A ADOLESCENTE ALEGANDO QUE TRABALHAVA EM UMA LOJA DE TELEFONIA E DARIA UM CELULAR PARA ELA; IML CONFIRMOU CONJUNÇÃO CARNAL</t>
        </is>
      </c>
      <c r="J945" t="inlineStr"/>
      <c r="K945" t="n">
        <v>0</v>
      </c>
      <c r="L945" t="n">
        <v>1</v>
      </c>
      <c r="M945" t="n">
        <v>0</v>
      </c>
      <c r="N945" t="n">
        <v>0</v>
      </c>
      <c r="O945" t="n">
        <v>0</v>
      </c>
      <c r="P945">
        <f>HYPERLINK("https://www.acritica.com/manaus/venezuelano-e-preso-suspeito-de-estuprar-adolescente-de-16-anos-1.37853", "URL")</f>
        <v/>
      </c>
      <c r="Q945">
        <f>HYPERLINK("https://raw.githubusercontent.com/marcosmapl/dataset_imigrantes/main/materias_filtered/a_critica/venezuelanos/2020/06_jul/html/1.37853_1181.html", "HTML")</f>
        <v/>
      </c>
      <c r="R945">
        <f>HYPERLINK("https://raw.githubusercontent.com/marcosmapl/dataset_imigrantes/main/materias_filtered/a_critica/venezuelanos/2020/06_jul/txt/1.37853_1181.txt", "TXT")</f>
        <v/>
      </c>
    </row>
    <row r="946">
      <c r="A946" s="1" t="n">
        <v>944</v>
      </c>
      <c r="B946" t="n">
        <v>2020</v>
      </c>
      <c r="C946" s="2" t="n">
        <v>44019.78577743055</v>
      </c>
      <c r="D946" t="inlineStr">
        <is>
          <t>G1</t>
        </is>
      </c>
      <c r="E946" t="inlineStr">
        <is>
          <t>VENEZUELANOS</t>
        </is>
      </c>
      <c r="F946" t="inlineStr">
        <is>
          <t>PARÁ</t>
        </is>
      </c>
      <c r="G946" t="inlineStr">
        <is>
          <t>G1 PA — BELÉM</t>
        </is>
      </c>
      <c r="H946" t="inlineStr">
        <is>
          <t>VENEZUELANOS EM SITUAÇÃO DE VULNERABILIDADE SÃO ACOLHIDOS EM ABRIGO DE PARAUAPEBAS, NO PARÁ</t>
        </is>
      </c>
      <c r="I946" t="inlineStr">
        <is>
          <t>O ESPAÇO CONTA COM ITENS DO COSTUME DOS IMIGRANTES, COMO AS TRADICIONAIS REDES.</t>
        </is>
      </c>
      <c r="J946" t="inlineStr"/>
      <c r="K946" t="n">
        <v>0</v>
      </c>
      <c r="L946" t="n">
        <v>1</v>
      </c>
      <c r="M946" t="n">
        <v>1</v>
      </c>
      <c r="N946" t="n">
        <v>0</v>
      </c>
      <c r="O946" t="n">
        <v>0</v>
      </c>
      <c r="P946">
        <f>HYPERLINK("https://g1.globo.com/pa/para/noticia/2020/07/07/venezuelanos-em-situacao-de-vulnerabilidade-sao-acolhidos-em-abrigo-de-parauapebas-no-para.ghtml", "URL")</f>
        <v/>
      </c>
      <c r="Q946">
        <f>HYPERLINK("https://raw.githubusercontent.com/marcosmapl/dataset_imigrantes/main/materias_filtered/g1/venezuelanos/2020/06_jul/html/g1_a3a4c51a-232a-11ed-b24f-6dbe51e79fca_4192.html", "HTML")</f>
        <v/>
      </c>
      <c r="R946">
        <f>HYPERLINK("https://raw.githubusercontent.com/marcosmapl/dataset_imigrantes/main/materias_filtered/g1/venezuelanos/2020/06_jul/txt/g1_a3a4c51a-232a-11ed-b24f-6dbe51e79fca_4192.txt", "TXT")</f>
        <v/>
      </c>
    </row>
    <row r="947">
      <c r="A947" s="1" t="n">
        <v>945</v>
      </c>
      <c r="B947" t="n">
        <v>2020</v>
      </c>
      <c r="C947" s="2" t="n">
        <v>44014.89560809028</v>
      </c>
      <c r="D947" t="inlineStr">
        <is>
          <t>G1</t>
        </is>
      </c>
      <c r="E947" t="inlineStr">
        <is>
          <t>VENEZUELANOS</t>
        </is>
      </c>
      <c r="F947" t="inlineStr">
        <is>
          <t>MUNDO</t>
        </is>
      </c>
      <c r="G947" t="inlineStr">
        <is>
          <t>BBC</t>
        </is>
      </c>
      <c r="H947" t="inlineStr">
        <is>
          <t>POR QUE A JUSTIÇA BRITÂNICA NEGOU A MADURO ACESSO AO OURO VENEZUELANO DEPOSITADO EM LONDES</t>
        </is>
      </c>
      <c r="I947" t="inlineStr">
        <is>
          <t>EM UMA AGUARDADA DECISÃO, O SUPERIOR TRIBUNAL DE JUSTIÇA DA INGLATERRA CONFIRMOU QUE O REINO UNIDO RECONHECE JUAN GUAIDÓ COMO PRESIDENTE DA VENEZUELA.</t>
        </is>
      </c>
      <c r="J947" t="inlineStr"/>
      <c r="K947" t="n">
        <v>0</v>
      </c>
      <c r="L947" t="n">
        <v>1</v>
      </c>
      <c r="M947" t="n">
        <v>0</v>
      </c>
      <c r="N947" t="n">
        <v>0</v>
      </c>
      <c r="O947" t="n">
        <v>4</v>
      </c>
      <c r="P947">
        <f>HYPERLINK("https://g1.globo.com/mundo/noticia/2020/07/02/por-que-a-justica-britanica-negou-a-maduro-acesso-ao-ouro-venezuelano-depositado-em-londes.ghtml", "URL")</f>
        <v/>
      </c>
      <c r="Q947">
        <f>HYPERLINK("https://raw.githubusercontent.com/marcosmapl/dataset_imigrantes/main/materias_filtered/g1/venezuelanos/2020/06_jul/html/g1_2f498d34-232c-11ed-b24f-6dbe51e79fca_4290.html", "HTML")</f>
        <v/>
      </c>
      <c r="R947">
        <f>HYPERLINK("https://raw.githubusercontent.com/marcosmapl/dataset_imigrantes/main/materias_filtered/g1/venezuelanos/2020/06_jul/txt/g1_2f498d34-232c-11ed-b24f-6dbe51e79fca_4290.txt", "TXT")</f>
        <v/>
      </c>
    </row>
    <row r="948">
      <c r="A948" s="1" t="n">
        <v>946</v>
      </c>
      <c r="B948" t="n">
        <v>2020</v>
      </c>
      <c r="C948" s="2" t="n">
        <v>44011.92473006945</v>
      </c>
      <c r="D948" t="inlineStr">
        <is>
          <t>G1</t>
        </is>
      </c>
      <c r="E948" t="inlineStr">
        <is>
          <t>HAITIANOS</t>
        </is>
      </c>
      <c r="F948" t="inlineStr">
        <is>
          <t>CAMPINAS E REGIÃO</t>
        </is>
      </c>
      <c r="G948" t="inlineStr">
        <is>
          <t>G1 CAMPINAS E REGIÃO — CAMPINAS, SP</t>
        </is>
      </c>
      <c r="H948" t="inlineStr">
        <is>
          <t>HAITIANOS LIDERAM RANKING DE IMIGRAÇÃO PARA A REGIÃO METROPOLITANA DE CAMPINAS</t>
        </is>
      </c>
      <c r="I948" t="inlineStr">
        <is>
          <t>SEGUNDO ATLAS 2019 DA IMIGRAÇÃO, LANÇADO PELA UNICAMP, RMC RECEBEU 31.747 REGISTROS ATIVOS ENTRE 2009 E 2019, SENDO 33% DO PAÍS.</t>
        </is>
      </c>
      <c r="J948" t="inlineStr"/>
      <c r="K948" t="n">
        <v>0</v>
      </c>
      <c r="L948" t="n">
        <v>1</v>
      </c>
      <c r="M948" t="n">
        <v>1</v>
      </c>
      <c r="N948" t="n">
        <v>0</v>
      </c>
      <c r="O948" t="n">
        <v>1</v>
      </c>
      <c r="P948">
        <f>HYPERLINK("https://g1.globo.com/sp/campinas-regiao/noticia/2020/06/29/haitianos-lideram-ranking-de-imigracao-para-a-regiao-metropolitana-de-campinas.ghtml", "URL")</f>
        <v/>
      </c>
      <c r="Q948">
        <f>HYPERLINK("https://raw.githubusercontent.com/marcosmapl/dataset_imigrantes/main/materias_filtered/g1/haitianos/2020/05_jun/html/g1_77477cca-22f2-11ed-b24f-6dbe51e79fca_1799.html", "HTML")</f>
        <v/>
      </c>
      <c r="R948">
        <f>HYPERLINK("https://raw.githubusercontent.com/marcosmapl/dataset_imigrantes/main/materias_filtered/g1/haitianos/2020/05_jun/txt/g1_77477cca-22f2-11ed-b24f-6dbe51e79fca_1799.txt", "TXT")</f>
        <v/>
      </c>
    </row>
    <row r="949">
      <c r="A949" s="1" t="n">
        <v>947</v>
      </c>
      <c r="B949" t="n">
        <v>2020</v>
      </c>
      <c r="C949" s="2" t="n">
        <v>44009.75962962963</v>
      </c>
      <c r="D949" t="inlineStr">
        <is>
          <t>A CRITICA</t>
        </is>
      </c>
      <c r="E949" t="inlineStr">
        <is>
          <t>VENEZUELANOS</t>
        </is>
      </c>
      <c r="F949" t="inlineStr"/>
      <c r="G949" t="inlineStr">
        <is>
          <t>REUTERS</t>
        </is>
      </c>
      <c r="H949" t="inlineStr">
        <is>
          <t>TRIBO YANOMAMI DIZ QUE DOIS INDÍGENAS FORAM MORTOS POR GARIMPEIROS EM RR</t>
        </is>
      </c>
      <c r="I949" t="inlineStr">
        <is>
          <t>OS YANOMAMI ESTÃO IMPLORANDO AO GOVERNO FEDERAL QUE EXPULSE MAIS DE 20 MIL GARIMPEIROS QUE BUSCAM OURO ILEGALMENTE EM SUAS TERRAS NO MEIO DA PANDEMIA DE CORONAVÍRUS, QUE JÁ INFECTOU MAIS DE 160 E MATOU CINCO INTEGRANTES DA TRIBO</t>
        </is>
      </c>
      <c r="J949" t="inlineStr"/>
      <c r="K949" t="n">
        <v>0</v>
      </c>
      <c r="L949" t="n">
        <v>1</v>
      </c>
      <c r="M949" t="n">
        <v>0</v>
      </c>
      <c r="N949" t="n">
        <v>0</v>
      </c>
      <c r="O949" t="n">
        <v>0</v>
      </c>
      <c r="P949">
        <f>HYPERLINK("https://www.acritica.com/tribo-yanomami-diz-que-dois-indigenas-foram-mortos-por-garimpeiros-em-rr-1.38467", "URL")</f>
        <v/>
      </c>
      <c r="Q949">
        <f>HYPERLINK("https://raw.githubusercontent.com/marcosmapl/dataset_imigrantes/main/materias_filtered/a_critica/venezuelanos/2020/05_jun/html/1.38467_790.html", "HTML")</f>
        <v/>
      </c>
      <c r="R949">
        <f>HYPERLINK("https://raw.githubusercontent.com/marcosmapl/dataset_imigrantes/main/materias_filtered/a_critica/venezuelanos/2020/05_jun/txt/1.38467_790.txt", "TXT")</f>
        <v/>
      </c>
    </row>
    <row r="950">
      <c r="A950" s="1" t="n">
        <v>948</v>
      </c>
      <c r="B950" t="n">
        <v>2020</v>
      </c>
      <c r="C950" s="2" t="n">
        <v>44008.82013888889</v>
      </c>
      <c r="D950" t="inlineStr">
        <is>
          <t>A CRITICA</t>
        </is>
      </c>
      <c r="E950" t="inlineStr">
        <is>
          <t>VENEZUELANOS</t>
        </is>
      </c>
      <c r="F950" t="inlineStr">
        <is>
          <t>POLICIA</t>
        </is>
      </c>
      <c r="G950" t="inlineStr">
        <is>
          <t>JAN NOGUEIRA</t>
        </is>
      </c>
      <c r="H950" t="inlineStr">
        <is>
          <t>POLÍCIA PRENDE TRIO QUE CONFESSOU ASSASSINATO OCORRIDO HÁ 12 DIAS, NO PARQUE 10</t>
        </is>
      </c>
      <c r="I950" t="inlineStr">
        <is>
          <t>ELES CHEGARAM A CONFESSAR O CRIME APÓS TEREM SUAS IMAGENS DIVULGADAS, MAS HAVIAM SIDO LIBERADOS PORQUE O FLAGRANTE HAVIA PASSADO; AGORA, JUSTIÇA EMITIU MANDADO DE PRISÃO</t>
        </is>
      </c>
      <c r="J950" t="inlineStr"/>
      <c r="K950" t="n">
        <v>0</v>
      </c>
      <c r="L950" t="n">
        <v>1</v>
      </c>
      <c r="M950" t="n">
        <v>0</v>
      </c>
      <c r="N950" t="n">
        <v>0</v>
      </c>
      <c r="O950" t="n">
        <v>1</v>
      </c>
      <c r="P950">
        <f>HYPERLINK("https://www.acritica.com/policia/policia-prende-trio-que-confessou-assassinato-ocorrido-ha-12-dias-no-parque-10-1.38505", "URL")</f>
        <v/>
      </c>
      <c r="Q950">
        <f>HYPERLINK("https://raw.githubusercontent.com/marcosmapl/dataset_imigrantes/main/materias_filtered/a_critica/venezuelanos/2020/05_jun/html/1.38505_224.html", "HTML")</f>
        <v/>
      </c>
      <c r="R950">
        <f>HYPERLINK("https://raw.githubusercontent.com/marcosmapl/dataset_imigrantes/main/materias_filtered/a_critica/venezuelanos/2020/05_jun/txt/1.38505_224.txt", "TXT")</f>
        <v/>
      </c>
    </row>
    <row r="951">
      <c r="A951" s="1" t="n">
        <v>949</v>
      </c>
      <c r="B951" t="n">
        <v>2020</v>
      </c>
      <c r="C951" s="2" t="n">
        <v>44008.73481010416</v>
      </c>
      <c r="D951" t="inlineStr">
        <is>
          <t>G1</t>
        </is>
      </c>
      <c r="E951" t="inlineStr">
        <is>
          <t>VENEZUELANOS</t>
        </is>
      </c>
      <c r="F951" t="inlineStr">
        <is>
          <t>PIAUÍ</t>
        </is>
      </c>
      <c r="G951" t="inlineStr">
        <is>
          <t>LAURA MOURA, G1 PI — TERESINA</t>
        </is>
      </c>
      <c r="H951" t="inlineStr">
        <is>
          <t>EM TERESINA, 78 REFUGIADOS VENEZUELANOS TESTAM POSITIVO PARA A COVID-19; UM ESTÁ NA UTI</t>
        </is>
      </c>
      <c r="I951" t="inlineStr">
        <is>
          <t>INFECTADOS ESTÃO ASSINTOMÁTICOS OU APRESENTA SINTOMAS LEVES. APENAS UM ESTÁ INTERNADO EM ESTADO GRAVE, INFORMOU A SECRETARIA MUNICIPAL DE CIDADANIA, ASSISTÊNCIA SOCIAL E POLÍTICAS INTEGRADAS (SEMCASPI).</t>
        </is>
      </c>
      <c r="J951" t="inlineStr"/>
      <c r="K951" t="n">
        <v>0</v>
      </c>
      <c r="L951" t="n">
        <v>1</v>
      </c>
      <c r="M951" t="n">
        <v>0</v>
      </c>
      <c r="N951" t="n">
        <v>0</v>
      </c>
      <c r="O951" t="n">
        <v>22</v>
      </c>
      <c r="P951">
        <f>HYPERLINK("https://g1.globo.com/pi/piaui/noticia/2020/06/26/em-teresina-quase-80-refugiados-venezuelanos-testam-positivo-para-a-covid-19-um-esta-na-uti.ghtml", "URL")</f>
        <v/>
      </c>
      <c r="Q951">
        <f>HYPERLINK("https://raw.githubusercontent.com/marcosmapl/dataset_imigrantes/main/materias_filtered/g1/venezuelanos/2020/05_jun/html/g1_26f45d2a-230a-11ed-b24f-6dbe51e79fca_2487.html", "HTML")</f>
        <v/>
      </c>
      <c r="R951">
        <f>HYPERLINK("https://raw.githubusercontent.com/marcosmapl/dataset_imigrantes/main/materias_filtered/g1/venezuelanos/2020/05_jun/txt/g1_26f45d2a-230a-11ed-b24f-6dbe51e79fca_2487.txt", "TXT")</f>
        <v/>
      </c>
    </row>
    <row r="952">
      <c r="A952" s="1" t="n">
        <v>950</v>
      </c>
      <c r="B952" t="n">
        <v>2020</v>
      </c>
      <c r="C952" s="2" t="n">
        <v>44008.52853009259</v>
      </c>
      <c r="D952" t="inlineStr">
        <is>
          <t>A CRITICA</t>
        </is>
      </c>
      <c r="E952" t="inlineStr">
        <is>
          <t>VENEZUELANOS</t>
        </is>
      </c>
      <c r="F952" t="inlineStr">
        <is>
          <t>MANAUS</t>
        </is>
      </c>
      <c r="G952" t="inlineStr">
        <is>
          <t>PORTAL A CRÍTICA</t>
        </is>
      </c>
      <c r="H952" t="inlineStr">
        <is>
          <t>EM MANAUS, DENTISTA REALIZA AÇÃO SOLIDÁRIA PARA VENEZUELANOS NO DIA DO IMIGRANTE</t>
        </is>
      </c>
      <c r="I952" t="inlineStr">
        <is>
          <t>DOUTOR MIKE EZEQUIAS DISTRIBUIU MAIS DE 300 MÁSCARAS, ÁLCOOL EM GEL E DEU ORIENTAÇÕES DE SAÚDE BUCAL AOS IMIGRANTES QUE ESTÃO EM SITUAÇÃO DE VULNERABILIDADE SOCIAL PRÓXIMO À BOLA DO COROADO</t>
        </is>
      </c>
      <c r="J952" t="inlineStr"/>
      <c r="K952" t="n">
        <v>0</v>
      </c>
      <c r="L952" t="n">
        <v>1</v>
      </c>
      <c r="M952" t="n">
        <v>0</v>
      </c>
      <c r="N952" t="n">
        <v>0</v>
      </c>
      <c r="O952" t="n">
        <v>0</v>
      </c>
      <c r="P952">
        <f>HYPERLINK("https://www.acritica.com/manaus/em-manaus-dentista-realiza-ac-o-solidaria-para-venezuelanos-no-dia-do-imigrante-1.38745", "URL")</f>
        <v/>
      </c>
      <c r="Q952">
        <f>HYPERLINK("https://raw.githubusercontent.com/marcosmapl/dataset_imigrantes/main/materias_filtered/a_critica/venezuelanos/2020/05_jun/html/1.38745_1178.html", "HTML")</f>
        <v/>
      </c>
      <c r="R952">
        <f>HYPERLINK("https://raw.githubusercontent.com/marcosmapl/dataset_imigrantes/main/materias_filtered/a_critica/venezuelanos/2020/05_jun/txt/1.38745_1178.txt", "TXT")</f>
        <v/>
      </c>
    </row>
    <row r="953">
      <c r="A953" s="1" t="n">
        <v>951</v>
      </c>
      <c r="B953" t="n">
        <v>2020</v>
      </c>
      <c r="C953" s="2" t="n">
        <v>44004.9986675</v>
      </c>
      <c r="D953" t="inlineStr">
        <is>
          <t>G1</t>
        </is>
      </c>
      <c r="E953" t="inlineStr">
        <is>
          <t>VENEZUELANOS</t>
        </is>
      </c>
      <c r="F953" t="inlineStr">
        <is>
          <t>BAHIA</t>
        </is>
      </c>
      <c r="G953" t="inlineStr">
        <is>
          <t>G1 BA</t>
        </is>
      </c>
      <c r="H953" t="inlineStr">
        <is>
          <t>HOSPITAL DA BA PROCURA FAMÍLIA DE VENEZUELANO INTERNADO HÁ 80 DIAS; HOMEM ESTÁ DESORIENTADO E SEM REFERÊNCIA FAMILIAR</t>
        </is>
      </c>
      <c r="I953" t="inlineStr">
        <is>
          <t>DE ACORDO COM A SESAB, JOSÉ RAMOS LAREZ SERRANO É NATURAL DA VENEZUELA E COMPLETARÁ 58 ANOS NO DIA 11 DE JULHO. EM SEU RG, CONSTA O NOME DA MÃE, MARIA YOLANDA SERRANO DE LAREZ.</t>
        </is>
      </c>
      <c r="J953" t="inlineStr"/>
      <c r="K953" t="n">
        <v>0</v>
      </c>
      <c r="L953" t="n">
        <v>1</v>
      </c>
      <c r="M953" t="n">
        <v>0</v>
      </c>
      <c r="N953" t="n">
        <v>0</v>
      </c>
      <c r="O953" t="n">
        <v>1</v>
      </c>
      <c r="P953">
        <f>HYPERLINK("https://g1.globo.com/ba/bahia/noticia/2020/06/22/hospital-da-ba-procura-familia-de-venezuelano-internado-ha-80-dias-homem-esta-desorientado-e-sem-referencia-familiar.ghtml", "URL")</f>
        <v/>
      </c>
      <c r="Q953">
        <f>HYPERLINK("https://raw.githubusercontent.com/marcosmapl/dataset_imigrantes/main/materias_filtered/g1/venezuelanos/2020/05_jun/html/g1_2a973806-231b-11ed-b24f-6dbe51e79fca_3371.html", "HTML")</f>
        <v/>
      </c>
      <c r="R953">
        <f>HYPERLINK("https://raw.githubusercontent.com/marcosmapl/dataset_imigrantes/main/materias_filtered/g1/venezuelanos/2020/05_jun/txt/g1_2a973806-231b-11ed-b24f-6dbe51e79fca_3371.txt", "TXT")</f>
        <v/>
      </c>
    </row>
    <row r="954">
      <c r="A954" s="1" t="n">
        <v>952</v>
      </c>
      <c r="B954" t="n">
        <v>2020</v>
      </c>
      <c r="C954" s="2" t="n">
        <v>44004.44000472222</v>
      </c>
      <c r="D954" t="inlineStr">
        <is>
          <t>G1</t>
        </is>
      </c>
      <c r="E954" t="inlineStr">
        <is>
          <t>VENEZUELANOS</t>
        </is>
      </c>
      <c r="F954" t="inlineStr">
        <is>
          <t>MUNDO</t>
        </is>
      </c>
      <c r="G954" t="inlineStr">
        <is>
          <t>FRANCE PRESSE</t>
        </is>
      </c>
      <c r="H954" t="inlineStr">
        <is>
          <t>MADURO OU GUAIDÓ? JUSTIÇA BRITÂNICA EXAMINA QUEM REPRESENTA O POVO VENEZUELANO</t>
        </is>
      </c>
      <c r="I954" t="inlineStr">
        <is>
          <t>BANCO CENTRAL DA VENEZUELA (BCV), CONTROLADO POR MADURO, PEDIU DEVOLUÇÃO DE UM BILHÃO DE DÓLARES EM OURO DEPOSITADOS NO BANCO DA INGLATERRA (BOE) PARA COMBATER A PANDEMIA. GUAIDÓ PEDE PARA QUE DEMANDA SEJA REJEITADA.</t>
        </is>
      </c>
      <c r="J954" t="inlineStr"/>
      <c r="K954" t="n">
        <v>0</v>
      </c>
      <c r="L954" t="n">
        <v>1</v>
      </c>
      <c r="M954" t="n">
        <v>0</v>
      </c>
      <c r="N954" t="n">
        <v>0</v>
      </c>
      <c r="O954" t="n">
        <v>2</v>
      </c>
      <c r="P954">
        <f>HYPERLINK("https://g1.globo.com/mundo/noticia/2020/06/22/maduro-ou-guaido-justica-britanica-examina-quem-representa-o-povo-venezuelano.ghtml", "URL")</f>
        <v/>
      </c>
      <c r="Q954">
        <f>HYPERLINK("https://raw.githubusercontent.com/marcosmapl/dataset_imigrantes/main/materias_filtered/g1/venezuelanos/2020/05_jun/html/g1_a807fd76-2329-11ed-b24f-6dbe51e79fca_4130.html", "HTML")</f>
        <v/>
      </c>
      <c r="R954">
        <f>HYPERLINK("https://raw.githubusercontent.com/marcosmapl/dataset_imigrantes/main/materias_filtered/g1/venezuelanos/2020/05_jun/txt/g1_a807fd76-2329-11ed-b24f-6dbe51e79fca_4130.txt", "TXT")</f>
        <v/>
      </c>
    </row>
    <row r="955">
      <c r="A955" s="1" t="n">
        <v>953</v>
      </c>
      <c r="B955" t="n">
        <v>2020</v>
      </c>
      <c r="C955" s="2" t="n">
        <v>44003.51931712963</v>
      </c>
      <c r="D955" t="inlineStr">
        <is>
          <t>A CRITICA</t>
        </is>
      </c>
      <c r="E955" t="inlineStr">
        <is>
          <t>VENEZUELANOS</t>
        </is>
      </c>
      <c r="F955" t="inlineStr">
        <is>
          <t>POLICIA</t>
        </is>
      </c>
      <c r="G955" t="inlineStr">
        <is>
          <t>JAN NOGUEIRA</t>
        </is>
      </c>
      <c r="H955" t="inlineStr">
        <is>
          <t>DOIS HOMENS SÃO PRESOS SUSPEITOS DE ESTUPRAREM MULHER EM MANAUS</t>
        </is>
      </c>
      <c r="I955" t="inlineStr">
        <is>
          <t>DE ACORDO COM INFORMAÇÕES DA POLÍCIA, DUPLA VIOLENTOU SEXUALMENTE A VÍTIMA ENQUANTO CONSUMIAM BEBIDAS ALCOÓLICAS COM ELA</t>
        </is>
      </c>
      <c r="J955" t="inlineStr"/>
      <c r="K955" t="n">
        <v>0</v>
      </c>
      <c r="L955" t="n">
        <v>1</v>
      </c>
      <c r="M955" t="n">
        <v>0</v>
      </c>
      <c r="N955" t="n">
        <v>0</v>
      </c>
      <c r="O955" t="n">
        <v>0</v>
      </c>
      <c r="P955">
        <f>HYPERLINK("https://www.acritica.com/policia/dois-homens-s-o-presos-suspeitos-de-estuprarem-mulher-em-manaus-1.38997", "URL")</f>
        <v/>
      </c>
      <c r="Q955">
        <f>HYPERLINK("https://raw.githubusercontent.com/marcosmapl/dataset_imigrantes/main/materias_filtered/a_critica/venezuelanos/2020/05_jun/html/1.38997_939.html", "HTML")</f>
        <v/>
      </c>
      <c r="R955">
        <f>HYPERLINK("https://raw.githubusercontent.com/marcosmapl/dataset_imigrantes/main/materias_filtered/a_critica/venezuelanos/2020/05_jun/txt/1.38997_939.txt", "TXT")</f>
        <v/>
      </c>
    </row>
    <row r="956">
      <c r="A956" s="1" t="n">
        <v>954</v>
      </c>
      <c r="B956" t="n">
        <v>2020</v>
      </c>
      <c r="C956" s="2" t="n">
        <v>44003.51344907407</v>
      </c>
      <c r="D956" t="inlineStr">
        <is>
          <t>A CRITICA</t>
        </is>
      </c>
      <c r="E956" t="inlineStr">
        <is>
          <t>VENEZUELANOS</t>
        </is>
      </c>
      <c r="F956" t="inlineStr">
        <is>
          <t>MANAUS</t>
        </is>
      </c>
      <c r="G956" t="inlineStr">
        <is>
          <t>JAKELINE XAVIER</t>
        </is>
      </c>
      <c r="H956" t="inlineStr">
        <is>
          <t>MIGRANTES VENEZUELANOS SOFREM DE MANEIRA MAIS INTENSAS IMPACTOS DA COVID-19</t>
        </is>
      </c>
      <c r="I956" t="inlineStr">
        <is>
          <t>A CRÍTICA CONVERSOU COM A PROCURADORA MICHÈLE DIZ Y GIL CORBI PARA ENTENDER MELHOR O CONTEXTO DESTA POPULAÇÃO EM MEIO À PANDEMIA DO NOVO CORONAVÍRUS</t>
        </is>
      </c>
      <c r="J956" t="inlineStr"/>
      <c r="K956" t="n">
        <v>0</v>
      </c>
      <c r="L956" t="n">
        <v>1</v>
      </c>
      <c r="M956" t="n">
        <v>0</v>
      </c>
      <c r="N956" t="n">
        <v>0</v>
      </c>
      <c r="O956" t="n">
        <v>0</v>
      </c>
      <c r="P956">
        <f>HYPERLINK("https://www.acritica.com/manaus/migrantes-venezuelanos-sofrem-de-maneira-mais-intensas-impactos-da-covid-19-1.39018", "URL")</f>
        <v/>
      </c>
      <c r="Q956">
        <f>HYPERLINK("https://raw.githubusercontent.com/marcosmapl/dataset_imigrantes/main/materias_filtered/a_critica/venezuelanos/2020/05_jun/html/1.39018_899.html", "HTML")</f>
        <v/>
      </c>
      <c r="R956">
        <f>HYPERLINK("https://raw.githubusercontent.com/marcosmapl/dataset_imigrantes/main/materias_filtered/a_critica/venezuelanos/2020/05_jun/txt/1.39018_899.txt", "TXT")</f>
        <v/>
      </c>
    </row>
    <row r="957">
      <c r="A957" s="1" t="n">
        <v>955</v>
      </c>
      <c r="B957" t="n">
        <v>2020</v>
      </c>
      <c r="C957" s="2" t="n">
        <v>44002.72751157408</v>
      </c>
      <c r="D957" t="inlineStr">
        <is>
          <t>A CRITICA</t>
        </is>
      </c>
      <c r="E957" t="inlineStr">
        <is>
          <t>VENEZUELANOS</t>
        </is>
      </c>
      <c r="F957" t="inlineStr"/>
      <c r="G957" t="inlineStr">
        <is>
          <t>AGÊNCIA BRASIL</t>
        </is>
      </c>
      <c r="H957" t="inlineStr">
        <is>
          <t>PROJETO PROMOVE EMPREGO PARA MIGRANTES VENEZUELANOS NO BRASIL</t>
        </is>
      </c>
      <c r="I957" t="inlineStr">
        <is>
          <t>DEVIDO À CRISE POLÍTICA, SOCIAL E ECONÔMICA NO PAÍS VIZINHO, MUITOS VENEZUELANOS ATRAVESSARAM A FRONTEIRA EM BUSCA DE RECURSOS ATÉ MESMO DE REFÚGIO NO PAÍS</t>
        </is>
      </c>
      <c r="J957" t="inlineStr"/>
      <c r="K957" t="n">
        <v>0</v>
      </c>
      <c r="L957" t="n">
        <v>1</v>
      </c>
      <c r="M957" t="n">
        <v>0</v>
      </c>
      <c r="N957" t="n">
        <v>0</v>
      </c>
      <c r="O957" t="n">
        <v>0</v>
      </c>
      <c r="P957">
        <f>HYPERLINK("https://www.acritica.com/projeto-promove-emprego-para-migrantes-venezuelanos-no-brasil-1.39160", "URL")</f>
        <v/>
      </c>
      <c r="Q957">
        <f>HYPERLINK("https://raw.githubusercontent.com/marcosmapl/dataset_imigrantes/main/materias_filtered/a_critica/venezuelanos/2020/05_jun/html/1.39160_1277.html", "HTML")</f>
        <v/>
      </c>
      <c r="R957">
        <f>HYPERLINK("https://raw.githubusercontent.com/marcosmapl/dataset_imigrantes/main/materias_filtered/a_critica/venezuelanos/2020/05_jun/txt/1.39160_1277.txt", "TXT")</f>
        <v/>
      </c>
    </row>
    <row r="958">
      <c r="A958" s="1" t="n">
        <v>956</v>
      </c>
      <c r="B958" t="n">
        <v>2020</v>
      </c>
      <c r="C958" s="2" t="n">
        <v>44002.60946355324</v>
      </c>
      <c r="D958" t="inlineStr">
        <is>
          <t>G1</t>
        </is>
      </c>
      <c r="E958" t="inlineStr">
        <is>
          <t>VENEZUELANOS</t>
        </is>
      </c>
      <c r="F958" t="inlineStr">
        <is>
          <t>RORAIMA</t>
        </is>
      </c>
      <c r="G958" t="inlineStr">
        <is>
          <t>G1 RR* — BOA VISTA</t>
        </is>
      </c>
      <c r="H958" t="inlineStr">
        <is>
          <t>VENEZUELANO É ASSASSINADO EM CONSTRUÇÃO NA ZONA SUL DE BOA VISTA</t>
        </is>
      </c>
      <c r="I958" t="inlineStr">
        <is>
          <t>ROIBEL RAMON BRAVO TAMOY, DE 33 ANOS, TINHA UMA PERFURAÇÃO NAS COSTAS E MARCAS DE AGRESSÃO NO ROSTO.</t>
        </is>
      </c>
      <c r="J958" t="inlineStr"/>
      <c r="K958" t="n">
        <v>0</v>
      </c>
      <c r="L958" t="n">
        <v>2</v>
      </c>
      <c r="M958" t="n">
        <v>0</v>
      </c>
      <c r="N958" t="n">
        <v>0</v>
      </c>
      <c r="O958" t="n">
        <v>0</v>
      </c>
      <c r="P958">
        <f>HYPERLINK("https://g1.globo.com/rr/roraima/noticia/2020/06/20/venezuelano-e-assassinado-em-construcao-na-zona-sul-de-boa-vista.ghtml", "URL")</f>
        <v/>
      </c>
      <c r="Q958">
        <f>HYPERLINK("https://raw.githubusercontent.com/marcosmapl/dataset_imigrantes/main/materias_filtered/g1/venezuelanos/2020/05_jun/html/g1_e7ab7e70-2311-11ed-b24f-6dbe51e79fca_2940.html", "HTML")</f>
        <v/>
      </c>
      <c r="R958">
        <f>HYPERLINK("https://raw.githubusercontent.com/marcosmapl/dataset_imigrantes/main/materias_filtered/g1/venezuelanos/2020/05_jun/txt/g1_e7ab7e70-2311-11ed-b24f-6dbe51e79fca_2940.txt", "TXT")</f>
        <v/>
      </c>
    </row>
    <row r="959">
      <c r="A959" s="1" t="n">
        <v>957</v>
      </c>
      <c r="B959" t="n">
        <v>2020</v>
      </c>
      <c r="C959" s="2" t="n">
        <v>44002.49449074074</v>
      </c>
      <c r="D959" t="inlineStr">
        <is>
          <t>A CRITICA</t>
        </is>
      </c>
      <c r="E959" t="inlineStr">
        <is>
          <t>VENEZUELANOS</t>
        </is>
      </c>
      <c r="F959" t="inlineStr"/>
      <c r="G959" t="inlineStr">
        <is>
          <t>AGÊNCIA BRASIL</t>
        </is>
      </c>
      <c r="H959" t="inlineStr">
        <is>
          <t>HOSPITAL DE CAMPANHA INICIA ATENDIMENTO DE REFUGIADOS EM RORAIMA</t>
        </is>
      </c>
      <c r="I959" t="inlineStr">
        <is>
          <t>FUNCIONAMENTO DA ALA ESPECIAL MARCA O DIA MUNDIAL DO REFUGIADO, CELEBRADO NESTE SÁBADO (20)</t>
        </is>
      </c>
      <c r="J959" t="inlineStr"/>
      <c r="K959" t="n">
        <v>0</v>
      </c>
      <c r="L959" t="n">
        <v>1</v>
      </c>
      <c r="M959" t="n">
        <v>0</v>
      </c>
      <c r="N959" t="n">
        <v>0</v>
      </c>
      <c r="O959" t="n">
        <v>0</v>
      </c>
      <c r="P959">
        <f>HYPERLINK("https://www.acritica.com/hospital-de-campanha-inicia-atendimento-de-refugiados-em-roraima-1.39193", "URL")</f>
        <v/>
      </c>
      <c r="Q959">
        <f>HYPERLINK("https://raw.githubusercontent.com/marcosmapl/dataset_imigrantes/main/materias_filtered/a_critica/venezuelanos/2020/05_jun/html/1.39193_86.html", "HTML")</f>
        <v/>
      </c>
      <c r="R959">
        <f>HYPERLINK("https://raw.githubusercontent.com/marcosmapl/dataset_imigrantes/main/materias_filtered/a_critica/venezuelanos/2020/05_jun/txt/1.39193_86.txt", "TXT")</f>
        <v/>
      </c>
    </row>
    <row r="960">
      <c r="A960" s="1" t="n">
        <v>958</v>
      </c>
      <c r="B960" t="n">
        <v>2020</v>
      </c>
      <c r="C960" s="2" t="n">
        <v>44002.03828695602</v>
      </c>
      <c r="D960" t="inlineStr">
        <is>
          <t>G1</t>
        </is>
      </c>
      <c r="E960" t="inlineStr">
        <is>
          <t>VENEZUELANOS</t>
        </is>
      </c>
      <c r="F960" t="inlineStr">
        <is>
          <t>SÃO PAULO</t>
        </is>
      </c>
      <c r="G960" t="inlineStr">
        <is>
          <t>BEATRIZ BACKES E RODRIGO RODRIGUES, TV GLOBO E G1 SP — SÃO PAULO</t>
        </is>
      </c>
      <c r="H960" t="inlineStr">
        <is>
          <t>PM AMBIENTAL APREENDE 18 AVES EXÓTICAS VENEZUELANAS MANTIDAS EM CATIVEIRO EM CARAPICUÍBA, NA GRANDE SÃO PAULO</t>
        </is>
      </c>
      <c r="I960" t="inlineStr">
        <is>
          <t>OS POLICIAIS CHEGARAM AO LOCAL APÓS UMA DENÚNCIA ANÔNIMA DE MAUS-TRATOS AOS ANIMAIS. O DONO DO ESPAÇO FOI AUTUADO POR CRIME AMBIENTAL E RECEBEU MULTA DE R$ 5,6 MIL.</t>
        </is>
      </c>
      <c r="J960" t="inlineStr"/>
      <c r="K960" t="n">
        <v>0</v>
      </c>
      <c r="L960" t="n">
        <v>1</v>
      </c>
      <c r="M960" t="n">
        <v>1</v>
      </c>
      <c r="N960" t="n">
        <v>0</v>
      </c>
      <c r="O960" t="n">
        <v>0</v>
      </c>
      <c r="P960">
        <f>HYPERLINK("https://g1.globo.com/sp/sao-paulo/noticia/2020/06/19/pm-ambiental-apreende-18-aves-exoticas-venezuelanas-mantidas-em-cativeiro-em-carapicuiba-na-grande-sao-paulo.ghtml", "URL")</f>
        <v/>
      </c>
      <c r="Q960">
        <f>HYPERLINK("https://raw.githubusercontent.com/marcosmapl/dataset_imigrantes/main/materias_filtered/g1/venezuelanos/2020/05_jun/html/g1_9044fc0c-230b-11ed-b24f-6dbe51e79fca_2571.html", "HTML")</f>
        <v/>
      </c>
      <c r="R960">
        <f>HYPERLINK("https://raw.githubusercontent.com/marcosmapl/dataset_imigrantes/main/materias_filtered/g1/venezuelanos/2020/05_jun/txt/g1_9044fc0c-230b-11ed-b24f-6dbe51e79fca_2571.txt", "TXT")</f>
        <v/>
      </c>
    </row>
    <row r="961">
      <c r="A961" s="1" t="n">
        <v>959</v>
      </c>
      <c r="B961" t="n">
        <v>2020</v>
      </c>
      <c r="C961" s="2" t="n">
        <v>44000.974375</v>
      </c>
      <c r="D961" t="inlineStr">
        <is>
          <t>A CRITICA</t>
        </is>
      </c>
      <c r="E961" t="inlineStr">
        <is>
          <t>VENEZUELANOS</t>
        </is>
      </c>
      <c r="F961" t="inlineStr">
        <is>
          <t>OPINIAO</t>
        </is>
      </c>
      <c r="G961" t="inlineStr">
        <is>
          <t>DULCE RODRIGUEZ</t>
        </is>
      </c>
      <c r="H961" t="inlineStr">
        <is>
          <t>VENEZUELA DENUNCIA À ONU 'NEGLIGÊNCIA CRIMINOSA DO BRASIL NA PANDEMIA'</t>
        </is>
      </c>
      <c r="I961" t="inlineStr">
        <is>
          <t>SÓ MENTIRAS. A VENEZUELA ENFRENTA O CORONAVÍRUS COM UMA GRANDE OPACIDADE EPIDEMIOLÓGICA</t>
        </is>
      </c>
      <c r="J961" t="inlineStr">
        <is>
          <t>VIDA-DE-IMIGRANTE</t>
        </is>
      </c>
      <c r="K961" t="n">
        <v>1</v>
      </c>
      <c r="L961" t="n">
        <v>1</v>
      </c>
      <c r="M961" t="n">
        <v>0</v>
      </c>
      <c r="N961" t="n">
        <v>0</v>
      </c>
      <c r="O961" t="n">
        <v>1</v>
      </c>
      <c r="P961">
        <f>HYPERLINK("https://www.acritica.com/opiniao/venezuela-denuncia-a-onu-negligencia-criminosa-do-brasil-na-pandemia-1.216429", "URL")</f>
        <v/>
      </c>
      <c r="Q961">
        <f>HYPERLINK("https://raw.githubusercontent.com/marcosmapl/dataset_imigrantes/main/materias_filtered/a_critica/venezuelanos/2020/05_jun/html/1.216429_727.html", "HTML")</f>
        <v/>
      </c>
      <c r="R961">
        <f>HYPERLINK("https://raw.githubusercontent.com/marcosmapl/dataset_imigrantes/main/materias_filtered/a_critica/venezuelanos/2020/05_jun/txt/1.216429_727.txt", "TXT")</f>
        <v/>
      </c>
    </row>
    <row r="962">
      <c r="A962" s="1" t="n">
        <v>960</v>
      </c>
      <c r="B962" t="n">
        <v>2020</v>
      </c>
      <c r="C962" s="2" t="n">
        <v>43999.95346878472</v>
      </c>
      <c r="D962" t="inlineStr">
        <is>
          <t>G1</t>
        </is>
      </c>
      <c r="E962" t="inlineStr">
        <is>
          <t>HAITIANOS</t>
        </is>
      </c>
      <c r="F962" t="inlineStr">
        <is>
          <t>MATO GROSSO</t>
        </is>
      </c>
      <c r="G962" t="inlineStr">
        <is>
          <t>G1 MT</t>
        </is>
      </c>
      <c r="H962" t="inlineStr">
        <is>
          <t>VOZES E INSURGÊNCIAS NEGRAS SÃO DESTAQUES NA PROGRAMAÇÃO ONLINE DO MUSEU DE ARTE SACRA EM MT</t>
        </is>
      </c>
      <c r="I962" t="inlineStr">
        <is>
          <t>O EQUIPAMENTO CULTURAL DA SECEL DÁ VOZ À LUTA ANTIRRACISTA POR MEIO DE LIVES QUE SERÃO TRANSMITIDAS DE QUINTA A SÁBADO.</t>
        </is>
      </c>
      <c r="J962" t="inlineStr"/>
      <c r="K962" t="n">
        <v>0</v>
      </c>
      <c r="L962" t="n">
        <v>1</v>
      </c>
      <c r="M962" t="n">
        <v>0</v>
      </c>
      <c r="N962" t="n">
        <v>0</v>
      </c>
      <c r="O962" t="n">
        <v>0</v>
      </c>
      <c r="P962">
        <f>HYPERLINK("https://g1.globo.com/mt/mato-grosso/noticia/2020/06/17/vozes-e-insurgencias-negras-sao-destaques-na-programacao-online-do-museu-de-arte-sacra-em-mt.ghtml", "URL")</f>
        <v/>
      </c>
      <c r="Q962">
        <f>HYPERLINK("https://raw.githubusercontent.com/marcosmapl/dataset_imigrantes/main/materias_filtered/g1/haitianos/2020/05_jun/html/g1_a877bc6a-231f-11ed-b24f-6dbe51e79fca_3636.html", "HTML")</f>
        <v/>
      </c>
      <c r="R962">
        <f>HYPERLINK("https://raw.githubusercontent.com/marcosmapl/dataset_imigrantes/main/materias_filtered/g1/haitianos/2020/05_jun/txt/g1_a877bc6a-231f-11ed-b24f-6dbe51e79fca_3636.txt", "TXT")</f>
        <v/>
      </c>
    </row>
    <row r="963">
      <c r="A963" s="1" t="n">
        <v>961</v>
      </c>
      <c r="B963" t="n">
        <v>2020</v>
      </c>
      <c r="C963" s="2" t="n">
        <v>43998.82512300926</v>
      </c>
      <c r="D963" t="inlineStr">
        <is>
          <t>G1</t>
        </is>
      </c>
      <c r="E963" t="inlineStr">
        <is>
          <t>HAITIANOS</t>
        </is>
      </c>
      <c r="F963" t="inlineStr">
        <is>
          <t>SANTA CATARINA</t>
        </is>
      </c>
      <c r="G963" t="inlineStr">
        <is>
          <t>G1 E NSC TV</t>
        </is>
      </c>
      <c r="H963" t="inlineStr">
        <is>
          <t>CINCO ESTRANGEIROS MORREM DE COVID-19 EM SC E CIDADE USA CARRO DE SOM PARA ORIENTAÇÕES EM FRANCÊS E CRIOULO</t>
        </is>
      </c>
      <c r="I963" t="inlineStr">
        <is>
          <t>VÍTIMAS SÃO DOIS HAITIANOS, UM GUIANÊS, UM LIBANÊS E UM CHILENO. UMA DAS MORTES FOI EM XAXIM, NO OESTE CATARINENSE, CIDADE EM QUE VIVEM 4 MIL IMIGRANTES E ONDE CASOS DE COVID-19 AUMENTARAM 130% EM 15 DIAS.</t>
        </is>
      </c>
      <c r="J963" t="inlineStr"/>
      <c r="K963" t="n">
        <v>0</v>
      </c>
      <c r="L963" t="n">
        <v>2</v>
      </c>
      <c r="M963" t="n">
        <v>1</v>
      </c>
      <c r="N963" t="n">
        <v>0</v>
      </c>
      <c r="O963" t="n">
        <v>10</v>
      </c>
      <c r="P963">
        <f>HYPERLINK("https://g1.globo.com/sc/santa-catarina/noticia/2020/06/16/cinco-estrangeiros-morrem-de-covid-19-em-sc-e-cidade-usa-carro-de-som-para-orientacoes-em-frances-e-crioulo.ghtml", "URL")</f>
        <v/>
      </c>
      <c r="Q963">
        <f>HYPERLINK("https://raw.githubusercontent.com/marcosmapl/dataset_imigrantes/main/materias_filtered/g1/haitianos/2020/05_jun/html/g1_34c86336-22f8-11ed-b24f-6dbe51e79fca_2121.html", "HTML")</f>
        <v/>
      </c>
      <c r="R963">
        <f>HYPERLINK("https://raw.githubusercontent.com/marcosmapl/dataset_imigrantes/main/materias_filtered/g1/haitianos/2020/05_jun/txt/g1_34c86336-22f8-11ed-b24f-6dbe51e79fca_2121.txt", "TXT")</f>
        <v/>
      </c>
    </row>
    <row r="964">
      <c r="A964" s="1" t="n">
        <v>962</v>
      </c>
      <c r="B964" t="n">
        <v>2020</v>
      </c>
      <c r="C964" s="2" t="n">
        <v>43997.61046296296</v>
      </c>
      <c r="D964" t="inlineStr">
        <is>
          <t>A CRITICA</t>
        </is>
      </c>
      <c r="E964" t="inlineStr">
        <is>
          <t>VENEZUELANOS</t>
        </is>
      </c>
      <c r="F964" t="inlineStr">
        <is>
          <t>ESPORTES</t>
        </is>
      </c>
      <c r="G964" t="inlineStr">
        <is>
          <t>LEONARDO SENA</t>
        </is>
      </c>
      <c r="H964" t="inlineStr">
        <is>
          <t>EM NEGOCIAÇÕES COM TIME ESPANHOL, DAYANA PODE DEIXAR 3B SPORT</t>
        </is>
      </c>
      <c r="I964" t="inlineStr">
        <is>
          <t>VOLANTE VENEZUELANA DE 18 ANOS DE IDADE É CONSTANTEMENTE CONVOCADA PARA TIMES SUB-20 E PRINCIPAL DA SELEÇÃO NACIONAL. ENTRAVE PARA CONCRETIZAÇÃO DO NEGÓCIO, POR ENQUANTO, É VENCIMENTO DE PASSAPORTE DA ATLETA</t>
        </is>
      </c>
      <c r="J964" t="inlineStr"/>
      <c r="K964" t="n">
        <v>0</v>
      </c>
      <c r="L964" t="n">
        <v>1</v>
      </c>
      <c r="M964" t="n">
        <v>0</v>
      </c>
      <c r="N964" t="n">
        <v>0</v>
      </c>
      <c r="O964" t="n">
        <v>0</v>
      </c>
      <c r="P964">
        <f>HYPERLINK("https://www.acritica.com/esportes/em-negociac-es-com-time-espanhol-dayana-pode-deixar-3b-sport-1.39629", "URL")</f>
        <v/>
      </c>
      <c r="Q964">
        <f>HYPERLINK("https://raw.githubusercontent.com/marcosmapl/dataset_imigrantes/main/materias_filtered/a_critica/venezuelanos/2020/05_jun/html/1.39629_933.html", "HTML")</f>
        <v/>
      </c>
      <c r="R964">
        <f>HYPERLINK("https://raw.githubusercontent.com/marcosmapl/dataset_imigrantes/main/materias_filtered/a_critica/venezuelanos/2020/05_jun/txt/1.39629_933.txt", "TXT")</f>
        <v/>
      </c>
    </row>
    <row r="965">
      <c r="A965" s="1" t="n">
        <v>963</v>
      </c>
      <c r="B965" t="n">
        <v>2020</v>
      </c>
      <c r="C965" s="2" t="n">
        <v>43997.56120074074</v>
      </c>
      <c r="D965" t="inlineStr">
        <is>
          <t>G1</t>
        </is>
      </c>
      <c r="E965" t="inlineStr">
        <is>
          <t>VENEZUELANOS</t>
        </is>
      </c>
      <c r="F965" t="inlineStr">
        <is>
          <t>RIO GRANDE DO NORTE</t>
        </is>
      </c>
      <c r="G965" t="inlineStr">
        <is>
          <t>G1 RN</t>
        </is>
      </c>
      <c r="H965" t="inlineStr">
        <is>
          <t>PROJETO FEIRA SOLIDÁRIA ARRECADA DINHEIRO PARA DOAR ALIMENTOS PARA VENEZUELANOS REFUGIADOS EM NATAL</t>
        </is>
      </c>
      <c r="I965" t="inlineStr">
        <is>
          <t>MORADORES DA COMUNIDADE DA ÁFRICA TAMBÉM VÃO RECEBER AJUDA DA AÇÃO SOLIDÁRIA, QUE REALIZA A SUA TERCEIRA EDIÇÃO A PARTIR DESTA SEGUNDA-FEIRA (15).</t>
        </is>
      </c>
      <c r="J965" t="inlineStr"/>
      <c r="K965" t="n">
        <v>0</v>
      </c>
      <c r="L965" t="n">
        <v>2</v>
      </c>
      <c r="M965" t="n">
        <v>0</v>
      </c>
      <c r="N965" t="n">
        <v>0</v>
      </c>
      <c r="O965" t="n">
        <v>8</v>
      </c>
      <c r="P965">
        <f>HYPERLINK("https://g1.globo.com/rn/rio-grande-do-norte/noticia/2020/06/15/projeto-feira-solidaria-arrecada-dinheiro-para-doar-alimentos-para-venezuelanos-refugiados-em-natal.ghtml", "URL")</f>
        <v/>
      </c>
      <c r="Q965">
        <f>HYPERLINK("https://raw.githubusercontent.com/marcosmapl/dataset_imigrantes/main/materias_filtered/g1/venezuelanos/2020/05_jun/html/g1_81f8c934-2325-11ed-b24f-6dbe51e79fca_3918.html", "HTML")</f>
        <v/>
      </c>
      <c r="R965">
        <f>HYPERLINK("https://raw.githubusercontent.com/marcosmapl/dataset_imigrantes/main/materias_filtered/g1/venezuelanos/2020/05_jun/txt/g1_81f8c934-2325-11ed-b24f-6dbe51e79fca_3918.txt", "TXT")</f>
        <v/>
      </c>
    </row>
    <row r="966">
      <c r="A966" s="1" t="n">
        <v>964</v>
      </c>
      <c r="B966" t="n">
        <v>2020</v>
      </c>
      <c r="C966" s="2" t="n">
        <v>43994.47992555556</v>
      </c>
      <c r="D966" t="inlineStr">
        <is>
          <t>G1</t>
        </is>
      </c>
      <c r="E966" t="inlineStr">
        <is>
          <t>VENEZUELANOS</t>
        </is>
      </c>
      <c r="F966" t="inlineStr">
        <is>
          <t>MUNDO</t>
        </is>
      </c>
      <c r="G966" t="inlineStr">
        <is>
          <t>FRANCE PRESSE</t>
        </is>
      </c>
      <c r="H966" t="inlineStr">
        <is>
          <t>COLÔMBIA EXPULSA SUPOSTO ESPIÃO VENEZUELANO QUE FINGIU DESERTAR DO CHAVISMO</t>
        </is>
      </c>
      <c r="I966" t="inlineStr">
        <is>
          <t>GERARDO ROJAS CASTILLO ADMITIU SER MEMBRO DA FORÇA NACIONAL BOLIVARIANA.</t>
        </is>
      </c>
      <c r="J966" t="inlineStr"/>
      <c r="K966" t="n">
        <v>0</v>
      </c>
      <c r="L966" t="n">
        <v>0</v>
      </c>
      <c r="M966" t="n">
        <v>0</v>
      </c>
      <c r="N966" t="n">
        <v>0</v>
      </c>
      <c r="O966" t="n">
        <v>2</v>
      </c>
      <c r="P966">
        <f>HYPERLINK("https://g1.globo.com/mundo/noticia/2020/06/12/colombia-expulsa-suposto-espiao-venezuelano-que-fingiu-desertar-do-chavismo.ghtml", "URL")</f>
        <v/>
      </c>
      <c r="Q966">
        <f>HYPERLINK("https://raw.githubusercontent.com/marcosmapl/dataset_imigrantes/main/materias_filtered/g1/venezuelanos/2020/05_jun/html/g1_ed36e166-2309-11ed-b24f-6dbe51e79fca_2474.html", "HTML")</f>
        <v/>
      </c>
      <c r="R966">
        <f>HYPERLINK("https://raw.githubusercontent.com/marcosmapl/dataset_imigrantes/main/materias_filtered/g1/venezuelanos/2020/05_jun/txt/g1_ed36e166-2309-11ed-b24f-6dbe51e79fca_2474.txt", "TXT")</f>
        <v/>
      </c>
    </row>
    <row r="967">
      <c r="A967" s="1" t="n">
        <v>965</v>
      </c>
      <c r="B967" t="n">
        <v>2020</v>
      </c>
      <c r="C967" s="2" t="n">
        <v>43993.71831011574</v>
      </c>
      <c r="D967" t="inlineStr">
        <is>
          <t>G1</t>
        </is>
      </c>
      <c r="E967" t="inlineStr">
        <is>
          <t>VENEZUELANOS</t>
        </is>
      </c>
      <c r="F967" t="inlineStr">
        <is>
          <t>RONDÔNIA</t>
        </is>
      </c>
      <c r="G967" t="inlineStr">
        <is>
          <t>G1 RO</t>
        </is>
      </c>
      <c r="H967" t="inlineStr">
        <is>
          <t>PF RESGATA 5 VENEZUELANOS VÍTIMAS DE TRABALHO ANÁLOGO À ESCRAVIDÃO EM DISTRITO DE RO</t>
        </is>
      </c>
      <c r="I967" t="inlineStr">
        <is>
          <t>ENTRE OS TRABALHADORES, HÁ UMA GRÁVIDA E UMA CRIANÇA DE 11 ANOS. PESSOAS MORAVAM EM UMA LAVOURA DE MARACUJÁ EM PROPRIEDADE RURAL SOB SITUAÇÃO DE VULNERABILIDADE, DIZ DENÚNCIA; DONO PODERÁ RESPONDER POR CRIMES NAS ESFERAS 'CIVIL, TRABALHISTA E PENAL'.</t>
        </is>
      </c>
      <c r="J967" t="inlineStr"/>
      <c r="K967" t="n">
        <v>0</v>
      </c>
      <c r="L967" t="n">
        <v>2</v>
      </c>
      <c r="M967" t="n">
        <v>0</v>
      </c>
      <c r="N967" t="n">
        <v>0</v>
      </c>
      <c r="O967" t="n">
        <v>1</v>
      </c>
      <c r="P967">
        <f>HYPERLINK("https://g1.globo.com/ro/rondonia/noticia/2020/06/11/pf-resgata-5-venezuelanos-vitimas-de-trabalho-analogo-a-escravidao-em-distrito-de-ro.ghtml", "URL")</f>
        <v/>
      </c>
      <c r="Q967">
        <f>HYPERLINK("https://raw.githubusercontent.com/marcosmapl/dataset_imigrantes/main/materias_filtered/g1/venezuelanos/2020/05_jun/html/g1_56682d64-2307-11ed-b24f-6dbe51e79fca_2312.html", "HTML")</f>
        <v/>
      </c>
      <c r="R967">
        <f>HYPERLINK("https://raw.githubusercontent.com/marcosmapl/dataset_imigrantes/main/materias_filtered/g1/venezuelanos/2020/05_jun/txt/g1_56682d64-2307-11ed-b24f-6dbe51e79fca_2312.txt", "TXT")</f>
        <v/>
      </c>
    </row>
    <row r="968">
      <c r="A968" s="1" t="n">
        <v>966</v>
      </c>
      <c r="B968" t="n">
        <v>2020</v>
      </c>
      <c r="C968" s="2" t="n">
        <v>43991.70596064815</v>
      </c>
      <c r="D968" t="inlineStr">
        <is>
          <t>A CRITICA</t>
        </is>
      </c>
      <c r="E968" t="inlineStr">
        <is>
          <t>VENEZUELANOS</t>
        </is>
      </c>
      <c r="F968" t="inlineStr"/>
      <c r="G968" t="inlineStr">
        <is>
          <t>PORTAL A CRÍTICA</t>
        </is>
      </c>
      <c r="H968" t="inlineStr">
        <is>
          <t>PESSOAS RECONHECIDAS COMO REFUGIADAS VIVENDO NO BRASIL JÁ SÃO 43 MIL</t>
        </is>
      </c>
      <c r="I968" t="inlineStr">
        <is>
          <t>SISTEMA DE DECISÃO MAIS CÉLERE DO CONARE CONCEDEU STATUS DE REFÚGIO A 17,7 MIL REFUGIADOS SÓ ESTE ANO. GRANDE PARTE DOS NOVOS REFUGIADOS VIERAM DA VENEZUELA</t>
        </is>
      </c>
      <c r="J968" t="inlineStr"/>
      <c r="K968" t="n">
        <v>0</v>
      </c>
      <c r="L968" t="n">
        <v>1</v>
      </c>
      <c r="M968" t="n">
        <v>0</v>
      </c>
      <c r="N968" t="n">
        <v>0</v>
      </c>
      <c r="O968" t="n">
        <v>0</v>
      </c>
      <c r="P968">
        <f>HYPERLINK("https://www.acritica.com/pessoas-reconhecidas-como-refugiadas-vivendo-no-brasil-ja-s-o-43-mil-1.40044", "URL")</f>
        <v/>
      </c>
      <c r="Q968">
        <f>HYPERLINK("https://raw.githubusercontent.com/marcosmapl/dataset_imigrantes/main/materias_filtered/a_critica/venezuelanos/2020/05_jun/html/1.40044_20.html", "HTML")</f>
        <v/>
      </c>
      <c r="R968">
        <f>HYPERLINK("https://raw.githubusercontent.com/marcosmapl/dataset_imigrantes/main/materias_filtered/a_critica/venezuelanos/2020/05_jun/txt/1.40044_20.txt", "TXT")</f>
        <v/>
      </c>
    </row>
    <row r="969">
      <c r="A969" s="1" t="n">
        <v>967</v>
      </c>
      <c r="B969" t="n">
        <v>2020</v>
      </c>
      <c r="C969" s="2" t="n">
        <v>43991.33411384259</v>
      </c>
      <c r="D969" t="inlineStr">
        <is>
          <t>G1</t>
        </is>
      </c>
      <c r="E969" t="inlineStr">
        <is>
          <t>VENEZUELANOS</t>
        </is>
      </c>
      <c r="F969" t="inlineStr">
        <is>
          <t>MUNDO</t>
        </is>
      </c>
      <c r="G969" t="inlineStr">
        <is>
          <t>LUCAS VIDIGAL, G1</t>
        </is>
      </c>
      <c r="H969" t="inlineStr">
        <is>
          <t>NÚMERO DE REFUGIADOS NO BRASIL AUMENTA MAIS DE 7 VEZES NO SEMESTRE; MAIORIA É DE VENEZUELANOS</t>
        </is>
      </c>
      <c r="I969" t="inlineStr">
        <is>
          <t>CERCA DE 43 MIL ESTRANGEIROS VIVEM NO BRASIL COM A CONDIÇÃO DE REFÚGIO. DESSE TOTAL, QUASE 90% VIERAM DA VENEZUELA. COM A PANDEMIA DO NOVO CORONAVÍRUS, PORÉM, NÚMERO DE PESSOAS QUE PEDEM REFÚGIO ÀS AUTORIDADES BRASILEIRAS DEVE DIMINUIR.</t>
        </is>
      </c>
      <c r="J969" t="inlineStr"/>
      <c r="K969" t="n">
        <v>0</v>
      </c>
      <c r="L969" t="n">
        <v>2</v>
      </c>
      <c r="M969" t="n">
        <v>1</v>
      </c>
      <c r="N969" t="n">
        <v>0</v>
      </c>
      <c r="O969" t="n">
        <v>12</v>
      </c>
      <c r="P969">
        <f>HYPERLINK("https://g1.globo.com/mundo/noticia/2020/06/09/numero-de-refugiados-no-brasil-aumenta-mais-de-7-vezes-no-semestre-maioria-e-de-venezuelanos.ghtml", "URL")</f>
        <v/>
      </c>
      <c r="Q969">
        <f>HYPERLINK("https://raw.githubusercontent.com/marcosmapl/dataset_imigrantes/main/materias_filtered/g1/venezuelanos/2020/05_jun/html/g1_053e1630-231e-11ed-b24f-6dbe51e79fca_3534.html", "HTML")</f>
        <v/>
      </c>
      <c r="R969">
        <f>HYPERLINK("https://raw.githubusercontent.com/marcosmapl/dataset_imigrantes/main/materias_filtered/g1/venezuelanos/2020/05_jun/txt/g1_053e1630-231e-11ed-b24f-6dbe51e79fca_3534.txt", "TXT")</f>
        <v/>
      </c>
    </row>
    <row r="970">
      <c r="A970" s="1" t="n">
        <v>968</v>
      </c>
      <c r="B970" t="n">
        <v>2020</v>
      </c>
      <c r="C970" s="2" t="n">
        <v>43985.81663194444</v>
      </c>
      <c r="D970" t="inlineStr">
        <is>
          <t>A CRITICA</t>
        </is>
      </c>
      <c r="E970" t="inlineStr">
        <is>
          <t>VENEZUELANOS</t>
        </is>
      </c>
      <c r="F970" t="inlineStr">
        <is>
          <t>OPINIAO</t>
        </is>
      </c>
      <c r="G970" t="inlineStr">
        <is>
          <t>DULCE RODRIGUEZ</t>
        </is>
      </c>
      <c r="H970" t="inlineStr">
        <is>
          <t>A NOVA NORMALIDADE</t>
        </is>
      </c>
      <c r="I970" t="inlineStr">
        <is>
          <t>JUNHO CHEGOU COM A FLEXIBILIZAÇÃO DO ISOLAMENTO SOCIAL EM MANAUS, COM PROTESTOS CONTRA RACISMO NOS ESTADOS UNIDOS E OUTROS LUGARES DO MUNDO E COM GASOLINA A PREÇO INTERNACIONAL NA VENEZUELA, O PAÍS COM AS MAIORES RESERVAS DE PETRÓLEO</t>
        </is>
      </c>
      <c r="J970" t="inlineStr">
        <is>
          <t>VIDA-DE-IMIGRANTE</t>
        </is>
      </c>
      <c r="K970" t="n">
        <v>1</v>
      </c>
      <c r="L970" t="n">
        <v>1</v>
      </c>
      <c r="M970" t="n">
        <v>0</v>
      </c>
      <c r="N970" t="n">
        <v>0</v>
      </c>
      <c r="O970" t="n">
        <v>1</v>
      </c>
      <c r="P970">
        <f>HYPERLINK("https://www.acritica.com/opiniao/a-nova-normalidade-1.216461", "URL")</f>
        <v/>
      </c>
      <c r="Q970">
        <f>HYPERLINK("https://raw.githubusercontent.com/marcosmapl/dataset_imigrantes/main/materias_filtered/a_critica/venezuelanos/2020/05_jun/html/1.216461_295.html", "HTML")</f>
        <v/>
      </c>
      <c r="R970">
        <f>HYPERLINK("https://raw.githubusercontent.com/marcosmapl/dataset_imigrantes/main/materias_filtered/a_critica/venezuelanos/2020/05_jun/txt/1.216461_295.txt", "TXT")</f>
        <v/>
      </c>
    </row>
    <row r="971">
      <c r="A971" s="1" t="n">
        <v>969</v>
      </c>
      <c r="B971" t="n">
        <v>2020</v>
      </c>
      <c r="C971" s="2" t="n">
        <v>43985.75527927083</v>
      </c>
      <c r="D971" t="inlineStr">
        <is>
          <t>G1</t>
        </is>
      </c>
      <c r="E971" t="inlineStr">
        <is>
          <t>VENEZUELANOS</t>
        </is>
      </c>
      <c r="F971" t="inlineStr">
        <is>
          <t>TOCANTINS</t>
        </is>
      </c>
      <c r="G971" t="inlineStr">
        <is>
          <t>G1 TOCANTINS</t>
        </is>
      </c>
      <c r="H971" t="inlineStr">
        <is>
          <t>JUSTIÇA ESTABELECE PRAZO PARA PREFEITURA INFORMAR SITUAÇÃO DE VENEZUELANOS QUE VIVEM EM ARAGUAÍNA</t>
        </is>
      </c>
      <c r="I971" t="inlineStr">
        <is>
          <t>SEGUNDO A DEFENSORIA PÚBLICA DO TOCANTINS, FAMÍLIAS VIVEM EM VULNERABILIDADE E PRECISAM DE ASSISTÊNCIA.</t>
        </is>
      </c>
      <c r="J971" t="inlineStr"/>
      <c r="K971" t="n">
        <v>0</v>
      </c>
      <c r="L971" t="n">
        <v>1</v>
      </c>
      <c r="M971" t="n">
        <v>1</v>
      </c>
      <c r="N971" t="n">
        <v>0</v>
      </c>
      <c r="O971" t="n">
        <v>1</v>
      </c>
      <c r="P971">
        <f>HYPERLINK("https://g1.globo.com/to/tocantins/noticia/2020/06/03/justica-estabelece-prazo-para-prefeitura-informar-situacao-de-venezuelanos-que-vivem-em-araguaina.ghtml", "URL")</f>
        <v/>
      </c>
      <c r="Q971">
        <f>HYPERLINK("https://raw.githubusercontent.com/marcosmapl/dataset_imigrantes/main/materias_filtered/g1/venezuelanos/2020/05_jun/html/g1_4b6867be-2319-11ed-b24f-6dbe51e79fca_3308.html", "HTML")</f>
        <v/>
      </c>
      <c r="R971">
        <f>HYPERLINK("https://raw.githubusercontent.com/marcosmapl/dataset_imigrantes/main/materias_filtered/g1/venezuelanos/2020/05_jun/txt/g1_4b6867be-2319-11ed-b24f-6dbe51e79fca_3308.txt", "TXT")</f>
        <v/>
      </c>
    </row>
    <row r="972">
      <c r="A972" s="1" t="n">
        <v>970</v>
      </c>
      <c r="B972" t="n">
        <v>2020</v>
      </c>
      <c r="C972" s="2" t="n">
        <v>43984.97715277778</v>
      </c>
      <c r="D972" t="inlineStr">
        <is>
          <t>A CRITICA</t>
        </is>
      </c>
      <c r="E972" t="inlineStr">
        <is>
          <t>VENEZUELANOS</t>
        </is>
      </c>
      <c r="F972" t="inlineStr">
        <is>
          <t>MANAUS</t>
        </is>
      </c>
      <c r="G972" t="inlineStr">
        <is>
          <t>PORTAL A CRÍTICA</t>
        </is>
      </c>
      <c r="H972" t="inlineStr">
        <is>
          <t>PRIMEIRA PACIENTE DA ALA INDÍGENA DO HOSPITAL NILTON LINS RECEBE ALTA NESTA TERÇA-FEIRA (2)</t>
        </is>
      </c>
      <c r="I972" t="inlineStr">
        <is>
          <t>INDÍGENA VENEZUELANA DA ETNIA WARAO DEIXOU HOSPITAL APÓS SETE DIAS DE INTERNAÇÃO</t>
        </is>
      </c>
      <c r="J972" t="inlineStr"/>
      <c r="K972" t="n">
        <v>0</v>
      </c>
      <c r="L972" t="n">
        <v>1</v>
      </c>
      <c r="M972" t="n">
        <v>0</v>
      </c>
      <c r="N972" t="n">
        <v>0</v>
      </c>
      <c r="O972" t="n">
        <v>0</v>
      </c>
      <c r="P972">
        <f>HYPERLINK("https://www.acritica.com/manaus/primeira-paciente-da-ala-indigena-do-hospital-nilton-lins-recebe-alta-nesta-terca-feira-2-1.40061", "URL")</f>
        <v/>
      </c>
      <c r="Q972">
        <f>HYPERLINK("https://raw.githubusercontent.com/marcosmapl/dataset_imigrantes/main/materias_filtered/a_critica/venezuelanos/2020/05_jun/html/1.40061_852.html", "HTML")</f>
        <v/>
      </c>
      <c r="R972">
        <f>HYPERLINK("https://raw.githubusercontent.com/marcosmapl/dataset_imigrantes/main/materias_filtered/a_critica/venezuelanos/2020/05_jun/txt/1.40061_852.txt", "TXT")</f>
        <v/>
      </c>
    </row>
    <row r="973">
      <c r="A973" s="1" t="n">
        <v>971</v>
      </c>
      <c r="B973" t="n">
        <v>2020</v>
      </c>
      <c r="C973" s="2" t="n">
        <v>43984.90208333333</v>
      </c>
      <c r="D973" t="inlineStr">
        <is>
          <t>A CRITICA</t>
        </is>
      </c>
      <c r="E973" t="inlineStr">
        <is>
          <t>VENEZUELANOS</t>
        </is>
      </c>
      <c r="F973" t="inlineStr">
        <is>
          <t>MANAUS</t>
        </is>
      </c>
      <c r="G973" t="inlineStr">
        <is>
          <t>JEFFERSON RAMOS</t>
        </is>
      </c>
      <c r="H973" t="inlineStr">
        <is>
          <t>PREFEITURA DE MANAUS DIZ QUE RENOVOU CONTRATO COM EMPRESA INVESTIGADA PARA EVITAR DESABASTECIMENTO</t>
        </is>
      </c>
      <c r="I973" t="inlineStr">
        <is>
          <t>SEGUNDO A PREFEITURA, CONTRATO COM A G. H. MACARIO BENTO, INVESTIGADA NA SEXTA FASE DA MAUS CAMINHOS, FOI PRORROGADO 'EM CARÁTER EXCEPCIONAL E POR MAIS SEIS MESES'</t>
        </is>
      </c>
      <c r="J973" t="inlineStr"/>
      <c r="K973" t="n">
        <v>0</v>
      </c>
      <c r="L973" t="n">
        <v>1</v>
      </c>
      <c r="M973" t="n">
        <v>0</v>
      </c>
      <c r="N973" t="n">
        <v>0</v>
      </c>
      <c r="O973" t="n">
        <v>1</v>
      </c>
      <c r="P973">
        <f>HYPERLINK("https://www.acritica.com/manaus/prefeitura-de-manaus-diz-que-renovou-contrato-com-empresa-investigada-para-evitar-desabastecimento-1.40369", "URL")</f>
        <v/>
      </c>
      <c r="Q973">
        <f>HYPERLINK("https://raw.githubusercontent.com/marcosmapl/dataset_imigrantes/main/materias_filtered/a_critica/venezuelanos/2020/05_jun/html/1.40369_76.html", "HTML")</f>
        <v/>
      </c>
      <c r="R973">
        <f>HYPERLINK("https://raw.githubusercontent.com/marcosmapl/dataset_imigrantes/main/materias_filtered/a_critica/venezuelanos/2020/05_jun/txt/1.40369_76.txt", "TXT")</f>
        <v/>
      </c>
    </row>
    <row r="974">
      <c r="A974" s="1" t="n">
        <v>972</v>
      </c>
      <c r="B974" t="n">
        <v>2020</v>
      </c>
      <c r="C974" s="2" t="n">
        <v>43984.62106481481</v>
      </c>
      <c r="D974" t="inlineStr">
        <is>
          <t>A CRITICA</t>
        </is>
      </c>
      <c r="E974" t="inlineStr">
        <is>
          <t>VENEZUELANOS</t>
        </is>
      </c>
      <c r="F974" t="inlineStr"/>
      <c r="G974" t="inlineStr">
        <is>
          <t>PORTAL A CRÍTICA</t>
        </is>
      </c>
      <c r="H974" t="inlineStr">
        <is>
          <t>ENTIDADES CARENTES DO AM RECEBEM DOAÇÃO DE LANCHES DE FEIRANTES DA ADS</t>
        </is>
      </c>
      <c r="I974" t="inlineStr">
        <is>
          <t>MAIS DE UMA TONELADA EM ALIMENTOS FORAM ENTREGUES PARA A SEJUSC, SEAS E FPS, RESPONSÁVEIS PELA DISTRIBUIÇÃO DOS ALIMENTOS A PESSOAS EM VULNERABILIDADE</t>
        </is>
      </c>
      <c r="J974" t="inlineStr"/>
      <c r="K974" t="n">
        <v>0</v>
      </c>
      <c r="L974" t="n">
        <v>1</v>
      </c>
      <c r="M974" t="n">
        <v>0</v>
      </c>
      <c r="N974" t="n">
        <v>0</v>
      </c>
      <c r="O974" t="n">
        <v>0</v>
      </c>
      <c r="P974">
        <f>HYPERLINK("https://www.acritica.com/entidades-carentes-do-am-recebem-doac-o-de-lanches-de-feirantes-da-ads-1.40429", "URL")</f>
        <v/>
      </c>
      <c r="Q974">
        <f>HYPERLINK("https://raw.githubusercontent.com/marcosmapl/dataset_imigrantes/main/materias_filtered/a_critica/venezuelanos/2020/05_jun/html/1.40429_1239.html", "HTML")</f>
        <v/>
      </c>
      <c r="R974">
        <f>HYPERLINK("https://raw.githubusercontent.com/marcosmapl/dataset_imigrantes/main/materias_filtered/a_critica/venezuelanos/2020/05_jun/txt/1.40429_1239.txt", "TXT")</f>
        <v/>
      </c>
    </row>
    <row r="975">
      <c r="A975" s="1" t="n">
        <v>973</v>
      </c>
      <c r="B975" t="n">
        <v>2020</v>
      </c>
      <c r="C975" s="2" t="n">
        <v>43984.60833333333</v>
      </c>
      <c r="D975" t="inlineStr">
        <is>
          <t>A CRITICA</t>
        </is>
      </c>
      <c r="E975" t="inlineStr">
        <is>
          <t>VENEZUELANOS</t>
        </is>
      </c>
      <c r="F975" t="inlineStr">
        <is>
          <t>MANAUS</t>
        </is>
      </c>
      <c r="G975" t="inlineStr">
        <is>
          <t>PORTAL A CRÍTICA</t>
        </is>
      </c>
      <c r="H975" t="inlineStr">
        <is>
          <t>MPF BUSCA GARANTIR SEGURANÇA ALIMENTAR PARA INDÍGENAS WARAO EM MANAUS</t>
        </is>
      </c>
      <c r="I975" t="inlineStr">
        <is>
          <t>RECOMENDAÇÃO INCLUI MEDIDAS PARA ASSEGURAR A QUALIDADE NUTRICIONAL DA ALIMENTAÇÃO FORNECIDA PELO PODER PÚBLICO MUNICIPAL, ADEQUADA AOS HÁBITOS ALIMENTARES DOS INDÍGENAS</t>
        </is>
      </c>
      <c r="J975" t="inlineStr"/>
      <c r="K975" t="n">
        <v>0</v>
      </c>
      <c r="L975" t="n">
        <v>1</v>
      </c>
      <c r="M975" t="n">
        <v>0</v>
      </c>
      <c r="N975" t="n">
        <v>0</v>
      </c>
      <c r="O975" t="n">
        <v>0</v>
      </c>
      <c r="P975">
        <f>HYPERLINK("https://www.acritica.com/manaus/mpf-busca-garantir-seguranca-alimentar-para-indigenas-warao-em-manaus-1.40436", "URL")</f>
        <v/>
      </c>
      <c r="Q975">
        <f>HYPERLINK("https://raw.githubusercontent.com/marcosmapl/dataset_imigrantes/main/materias_filtered/a_critica/venezuelanos/2020/05_jun/html/1.40436_1027.html", "HTML")</f>
        <v/>
      </c>
      <c r="R975">
        <f>HYPERLINK("https://raw.githubusercontent.com/marcosmapl/dataset_imigrantes/main/materias_filtered/a_critica/venezuelanos/2020/05_jun/txt/1.40436_1027.txt", "TXT")</f>
        <v/>
      </c>
    </row>
    <row r="976">
      <c r="A976" s="1" t="n">
        <v>974</v>
      </c>
      <c r="B976" t="n">
        <v>2020</v>
      </c>
      <c r="C976" s="2" t="n">
        <v>43981.80759462963</v>
      </c>
      <c r="D976" t="inlineStr">
        <is>
          <t>G1</t>
        </is>
      </c>
      <c r="E976" t="inlineStr">
        <is>
          <t>VENEZUELANOS</t>
        </is>
      </c>
      <c r="F976" t="inlineStr">
        <is>
          <t>MATO GROSSO DO SUL</t>
        </is>
      </c>
      <c r="G976" t="inlineStr">
        <is>
          <t>JOÃO PEDRO GODOY E MÔNICA DAU, G1MS E TV MORENA</t>
        </is>
      </c>
      <c r="H976" t="inlineStr">
        <is>
          <t>VENEZUELANA DE 27 ANOS QUE MORREU DE COVID-19 EM MS VEIO AO BRASIL EM BUSCA DE MELHORIA DE VIDA; ELA DEIXA 3 FILHOS PEQUENOS</t>
        </is>
      </c>
      <c r="I976" t="inlineStr">
        <is>
          <t>RUSELIS HERNANDEZ CHEGOU A DOURADOS (MS) HÁ UM ANO E OITO MESES, PARA MORAR COM MARIDO E FILHOS. 19ª VÍTIMA DE CORONAVÍRUS NO ESTADO, ELA FOI ENTERRADA NA TARDE DESTA SEXTA-FEIRA (29), SEM VELÓRIO OU CERIMÔNIA DE DESPEDIDA.</t>
        </is>
      </c>
      <c r="J976" t="inlineStr"/>
      <c r="K976" t="n">
        <v>0</v>
      </c>
      <c r="L976" t="n">
        <v>1</v>
      </c>
      <c r="M976" t="n">
        <v>0</v>
      </c>
      <c r="N976" t="n">
        <v>0</v>
      </c>
      <c r="O976" t="n">
        <v>3</v>
      </c>
      <c r="P976">
        <f>HYPERLINK("https://g1.globo.com/ms/mato-grosso-do-sul/noticia/2020/05/30/venezuelana-de-27-anos-que-morreu-de-covid-19-em-ms-veio-ao-brasil-em-busca-de-melhoria-de-vida-ela-deixa-3-filhos-pequenos.ghtml", "URL")</f>
        <v/>
      </c>
      <c r="Q976">
        <f>HYPERLINK("https://raw.githubusercontent.com/marcosmapl/dataset_imigrantes/main/materias_filtered/g1/venezuelanos/2020/04_mai/html/g1_efea523a-2318-11ed-b24f-6dbe51e79fca_3289.html", "HTML")</f>
        <v/>
      </c>
      <c r="R976">
        <f>HYPERLINK("https://raw.githubusercontent.com/marcosmapl/dataset_imigrantes/main/materias_filtered/g1/venezuelanos/2020/04_mai/txt/g1_efea523a-2318-11ed-b24f-6dbe51e79fca_3289.txt", "TXT")</f>
        <v/>
      </c>
    </row>
    <row r="977">
      <c r="A977" s="1" t="n">
        <v>975</v>
      </c>
      <c r="B977" t="n">
        <v>2020</v>
      </c>
      <c r="C977" s="2" t="n">
        <v>43981.0174537037</v>
      </c>
      <c r="D977" t="inlineStr">
        <is>
          <t>A CRITICA</t>
        </is>
      </c>
      <c r="E977" t="inlineStr">
        <is>
          <t>VENEZUELANOS</t>
        </is>
      </c>
      <c r="F977" t="inlineStr">
        <is>
          <t>MANAUS</t>
        </is>
      </c>
      <c r="G977" t="inlineStr">
        <is>
          <t>PORTAL A CRÍTICA</t>
        </is>
      </c>
      <c r="H977" t="inlineStr">
        <is>
          <t>ALA INDÍGENA DO HOSPITAL DE CAMPANHA DA NILTON LINS COMEÇA A RECEBER PACIENTES</t>
        </is>
      </c>
      <c r="I977" t="inlineStr">
        <is>
          <t>DOIS INDÍGENAS, DE MANAUS E DE NOVA OLINDA DO NORTE, JÁ ESTÃO SENDO ATENDIDOS PELA EQUIPE</t>
        </is>
      </c>
      <c r="J977" t="inlineStr"/>
      <c r="K977" t="n">
        <v>0</v>
      </c>
      <c r="L977" t="n">
        <v>1</v>
      </c>
      <c r="M977" t="n">
        <v>0</v>
      </c>
      <c r="N977" t="n">
        <v>0</v>
      </c>
      <c r="O977" t="n">
        <v>0</v>
      </c>
      <c r="P977">
        <f>HYPERLINK("https://www.acritica.com/manaus/ala-indigena-do-hospital-de-campanha-da-nilton-lins-comeca-a-receber-pacientes-1.40583", "URL")</f>
        <v/>
      </c>
      <c r="Q977">
        <f>HYPERLINK("https://raw.githubusercontent.com/marcosmapl/dataset_imigrantes/main/materias_filtered/a_critica/venezuelanos/2020/04_mai/html/1.40583_116.html", "HTML")</f>
        <v/>
      </c>
      <c r="R977">
        <f>HYPERLINK("https://raw.githubusercontent.com/marcosmapl/dataset_imigrantes/main/materias_filtered/a_critica/venezuelanos/2020/04_mai/txt/1.40583_116.txt", "TXT")</f>
        <v/>
      </c>
    </row>
    <row r="978">
      <c r="A978" s="1" t="n">
        <v>976</v>
      </c>
      <c r="B978" t="n">
        <v>2020</v>
      </c>
      <c r="C978" s="2" t="n">
        <v>43980.7359709375</v>
      </c>
      <c r="D978" t="inlineStr">
        <is>
          <t>G1</t>
        </is>
      </c>
      <c r="E978" t="inlineStr">
        <is>
          <t>VENEZUELANOS</t>
        </is>
      </c>
      <c r="F978" t="inlineStr">
        <is>
          <t>MATO GROSSO DO SUL</t>
        </is>
      </c>
      <c r="G978" t="inlineStr">
        <is>
          <t>G1MS</t>
        </is>
      </c>
      <c r="H978" t="inlineStr">
        <is>
          <t>SES CONFIRMA 19° ÓBITO POR COVID-19 EM MS; VÍTIMA DE 27 ANOS NÃO POSSUÍA COMORBIDADES RELATADAS</t>
        </is>
      </c>
      <c r="I978" t="inlineStr">
        <is>
          <t>SECRETARIA DE ESTADO DE SAÚDE CONFIRMOU O REGISTRO NA TARDE DESTA SEXTA-FEIRA (29). VÍTIMA DE CORONAVÍRUS É UMA MULHER VENEZUELANA, DE 27 ANOS, QUE MORAVA EM DOURADOS HÁ UM ANO E OITO MESES.</t>
        </is>
      </c>
      <c r="J978" t="inlineStr"/>
      <c r="K978" t="n">
        <v>0</v>
      </c>
      <c r="L978" t="n">
        <v>0</v>
      </c>
      <c r="M978" t="n">
        <v>0</v>
      </c>
      <c r="N978" t="n">
        <v>0</v>
      </c>
      <c r="O978" t="n">
        <v>0</v>
      </c>
      <c r="P978">
        <f>HYPERLINK("https://g1.globo.com/ms/mato-grosso-do-sul/noticia/2020/05/29/ses-confirma-19-obito-por-covid-19-em-ms-vitima-de-27-anos-nao-possuia-comorbidades-relatadas.ghtml", "URL")</f>
        <v/>
      </c>
      <c r="Q978">
        <f>HYPERLINK("https://raw.githubusercontent.com/marcosmapl/dataset_imigrantes/main/materias_filtered/g1/venezuelanos/2020/04_mai/html/g1_20dde398-231e-11ed-b24f-6dbe51e79fca_3542.html", "HTML")</f>
        <v/>
      </c>
      <c r="R978">
        <f>HYPERLINK("https://raw.githubusercontent.com/marcosmapl/dataset_imigrantes/main/materias_filtered/g1/venezuelanos/2020/04_mai/txt/g1_20dde398-231e-11ed-b24f-6dbe51e79fca_3542.txt", "TXT")</f>
        <v/>
      </c>
    </row>
    <row r="979">
      <c r="A979" s="1" t="n">
        <v>977</v>
      </c>
      <c r="B979" t="n">
        <v>2020</v>
      </c>
      <c r="C979" s="2" t="n">
        <v>43978.98402777778</v>
      </c>
      <c r="D979" t="inlineStr">
        <is>
          <t>A CRITICA</t>
        </is>
      </c>
      <c r="E979" t="inlineStr">
        <is>
          <t>VENEZUELANOS</t>
        </is>
      </c>
      <c r="F979" t="inlineStr">
        <is>
          <t>MANAUS</t>
        </is>
      </c>
      <c r="G979" t="inlineStr">
        <is>
          <t>LUIZ G. MELO</t>
        </is>
      </c>
      <c r="H979" t="inlineStr">
        <is>
          <t>GOVERNO DOS EUA DOA $2 MILHÕES E EPIS PARA O COMBATE A COVID-19 NO AM</t>
        </is>
      </c>
      <c r="I979" t="inlineStr">
        <is>
          <t>AÇÃO FAZ PARTE DE UMA SÉRIE DE ASSISTÊNCIAS DO GOVERNO NORTE-AMERICANO AO BRASIL, DIRECIONADO ESPECIALMENTE À SAÚDE PARA FORNECER APOIO IMEDIATO ÀS COMUNIDADES VULNERÁVEIS DA AMAZÔNIA</t>
        </is>
      </c>
      <c r="J979" t="inlineStr"/>
      <c r="K979" t="n">
        <v>0</v>
      </c>
      <c r="L979" t="n">
        <v>1</v>
      </c>
      <c r="M979" t="n">
        <v>0</v>
      </c>
      <c r="N979" t="n">
        <v>0</v>
      </c>
      <c r="O979" t="n">
        <v>0</v>
      </c>
      <c r="P979">
        <f>HYPERLINK("https://www.acritica.com/manaus/governo-dos-eua-doa-2-milh-es-e-epis-para-o-combate-a-covid-19-no-am-1.40805", "URL")</f>
        <v/>
      </c>
      <c r="Q979">
        <f>HYPERLINK("https://raw.githubusercontent.com/marcosmapl/dataset_imigrantes/main/materias_filtered/a_critica/venezuelanos/2020/04_mai/html/1.40805_511.html", "HTML")</f>
        <v/>
      </c>
      <c r="R979">
        <f>HYPERLINK("https://raw.githubusercontent.com/marcosmapl/dataset_imigrantes/main/materias_filtered/a_critica/venezuelanos/2020/04_mai/txt/1.40805_511.txt", "TXT")</f>
        <v/>
      </c>
    </row>
    <row r="980">
      <c r="A980" s="1" t="n">
        <v>978</v>
      </c>
      <c r="B980" t="n">
        <v>2020</v>
      </c>
      <c r="C980" s="2" t="n">
        <v>43978.81069092593</v>
      </c>
      <c r="D980" t="inlineStr">
        <is>
          <t>G1</t>
        </is>
      </c>
      <c r="E980" t="inlineStr">
        <is>
          <t>VENEZUELANOS</t>
        </is>
      </c>
      <c r="F980" t="inlineStr">
        <is>
          <t>SOROCABA E JUNDIAÍ</t>
        </is>
      </c>
      <c r="G980" t="inlineStr">
        <is>
          <t>G1 SOROCABA E JUNDIAÍ</t>
        </is>
      </c>
      <c r="H980" t="inlineStr">
        <is>
          <t>VENEZUELANO É PRESO SUSPEITO DE AGREDIR A ESPOSA EM JUNDIAÍ</t>
        </is>
      </c>
      <c r="I980" t="inlineStr">
        <is>
          <t>CASO OCORREU NO BAIRRO ELOY CHAVES. MULHER FOI SOCORRIDA AO HOSPITAL UNIVERSITÁRIO E LIBERADA APÓS EXAMES.</t>
        </is>
      </c>
      <c r="J980" t="inlineStr"/>
      <c r="K980" t="n">
        <v>0</v>
      </c>
      <c r="L980" t="n">
        <v>0</v>
      </c>
      <c r="M980" t="n">
        <v>0</v>
      </c>
      <c r="N980" t="n">
        <v>0</v>
      </c>
      <c r="O980" t="n">
        <v>1</v>
      </c>
      <c r="P980">
        <f>HYPERLINK("https://g1.globo.com/sp/sorocaba-jundiai/noticia/2020/05/27/venezuelano-e-preso-suspeito-de-agredir-a-esposa-em-jundiai.ghtml", "URL")</f>
        <v/>
      </c>
      <c r="Q980">
        <f>HYPERLINK("https://raw.githubusercontent.com/marcosmapl/dataset_imigrantes/main/materias_filtered/g1/venezuelanos/2020/04_mai/html/g1_8246b346-2312-11ed-b24f-6dbe51e79fca_2970.html", "HTML")</f>
        <v/>
      </c>
      <c r="R980">
        <f>HYPERLINK("https://raw.githubusercontent.com/marcosmapl/dataset_imigrantes/main/materias_filtered/g1/venezuelanos/2020/04_mai/txt/g1_8246b346-2312-11ed-b24f-6dbe51e79fca_2970.txt", "TXT")</f>
        <v/>
      </c>
    </row>
    <row r="981">
      <c r="A981" s="1" t="n">
        <v>979</v>
      </c>
      <c r="B981" t="n">
        <v>2020</v>
      </c>
      <c r="C981" s="2" t="n">
        <v>43977.65474269676</v>
      </c>
      <c r="D981" t="inlineStr">
        <is>
          <t>G1</t>
        </is>
      </c>
      <c r="E981" t="inlineStr">
        <is>
          <t>VENEZUELANOS</t>
        </is>
      </c>
      <c r="F981" t="inlineStr">
        <is>
          <t>PIAUÍ</t>
        </is>
      </c>
      <c r="G981" t="inlineStr">
        <is>
          <t>LUCAS MARREIROS, G1 PI</t>
        </is>
      </c>
      <c r="H981" t="inlineStr">
        <is>
          <t>MAIS DE 180 VENEZUELANOS REFUGIADOS EM TERESINA TESTAM NEGATIVO PARA COVID-19</t>
        </is>
      </c>
      <c r="I981" t="inlineStr">
        <is>
          <t>DE ACORDO COM A SECRETÁRIA MUNICIPAL DE CIDADANIA, ASSISTÊNCIA SOCIAL E POLÍTICAS INTEGRADAS (SEMCASPI), TODOS OS 182 IMIGRANTES TESTARAM NEGATIVO PARA A INFECÇÃO PELO CORONAVÍRUS.</t>
        </is>
      </c>
      <c r="J981" t="inlineStr"/>
      <c r="K981" t="n">
        <v>0</v>
      </c>
      <c r="L981" t="n">
        <v>1</v>
      </c>
      <c r="M981" t="n">
        <v>0</v>
      </c>
      <c r="N981" t="n">
        <v>0</v>
      </c>
      <c r="O981" t="n">
        <v>23</v>
      </c>
      <c r="P981">
        <f>HYPERLINK("https://g1.globo.com/pi/piaui/noticia/2020/05/26/mais-de-180-venezuelanos-refugiados-em-teresina-testam-negativo-para-covid-19.ghtml", "URL")</f>
        <v/>
      </c>
      <c r="Q981">
        <f>HYPERLINK("https://raw.githubusercontent.com/marcosmapl/dataset_imigrantes/main/materias_filtered/g1/venezuelanos/2020/04_mai/html/g1_b04e6f24-231f-11ed-b24f-6dbe51e79fca_3638.html", "HTML")</f>
        <v/>
      </c>
      <c r="R981">
        <f>HYPERLINK("https://raw.githubusercontent.com/marcosmapl/dataset_imigrantes/main/materias_filtered/g1/venezuelanos/2020/04_mai/txt/g1_b04e6f24-231f-11ed-b24f-6dbe51e79fca_3638.txt", "TXT")</f>
        <v/>
      </c>
    </row>
    <row r="982">
      <c r="A982" s="1" t="n">
        <v>980</v>
      </c>
      <c r="B982" t="n">
        <v>2020</v>
      </c>
      <c r="C982" s="2" t="n">
        <v>43977.63398148148</v>
      </c>
      <c r="D982" t="inlineStr">
        <is>
          <t>A CRITICA</t>
        </is>
      </c>
      <c r="E982" t="inlineStr">
        <is>
          <t>AMBOS</t>
        </is>
      </c>
      <c r="F982" t="inlineStr">
        <is>
          <t>ENTRETENIMENTO</t>
        </is>
      </c>
      <c r="G982" t="inlineStr">
        <is>
          <t>LUIZ G. MELO</t>
        </is>
      </c>
      <c r="H982" t="inlineStr">
        <is>
          <t>QUARENTENAS AMAZÔNICAS: LIVRO ABORDA IMPACTOS DA PANDEMIA NA REGIÃO</t>
        </is>
      </c>
      <c r="I982" t="inlineStr">
        <is>
          <t>PUBLICAÇÃO REÚNE ARTIGOS SOBRE A REALIDADE DE GRUPOS SOCIAIS COM A CHEGADA DA COVID-19</t>
        </is>
      </c>
      <c r="J982" t="inlineStr"/>
      <c r="K982" t="n">
        <v>0</v>
      </c>
      <c r="L982" t="n">
        <v>1</v>
      </c>
      <c r="M982" t="n">
        <v>0</v>
      </c>
      <c r="N982" t="n">
        <v>0</v>
      </c>
      <c r="O982" t="n">
        <v>2</v>
      </c>
      <c r="P982">
        <f>HYPERLINK("https://www.acritica.com/entretenimento/quarentenas-amazonicas-livro-aborda-impactos-da-pandemia-na-regi-o-1.41109", "URL")</f>
        <v/>
      </c>
      <c r="Q982">
        <f>HYPERLINK("https://raw.githubusercontent.com/marcosmapl/dataset_imigrantes/main/materias_filtered/a_critica/ambos/2020/04_mai/html/1.41109_419.html", "HTML")</f>
        <v/>
      </c>
      <c r="R982">
        <f>HYPERLINK("https://raw.githubusercontent.com/marcosmapl/dataset_imigrantes/main/materias_filtered/a_critica/ambos/2020/04_mai/txt/1.41109_419.txt", "TXT")</f>
        <v/>
      </c>
    </row>
    <row r="983">
      <c r="A983" s="1" t="n">
        <v>981</v>
      </c>
      <c r="B983" t="n">
        <v>2020</v>
      </c>
      <c r="C983" s="2" t="n">
        <v>43976.86486221065</v>
      </c>
      <c r="D983" t="inlineStr">
        <is>
          <t>G1</t>
        </is>
      </c>
      <c r="E983" t="inlineStr">
        <is>
          <t>VENEZUELANOS</t>
        </is>
      </c>
      <c r="F983" t="inlineStr">
        <is>
          <t>PIAUÍ</t>
        </is>
      </c>
      <c r="G983" t="inlineStr">
        <is>
          <t>G1 PI</t>
        </is>
      </c>
      <c r="H983" t="inlineStr">
        <is>
          <t>REFUGIADOS VENEZUELANOS SÃO TESTADOS PARA COVID-19 EM TERESINA</t>
        </is>
      </c>
      <c r="I983" t="inlineStr">
        <is>
          <t>IMIGRANTES DE TRÊS ABRIGOS DA CAPITAL TIVERAM EXAMES REALIZADOS NESTA SEGUNDA-FEIRA (25).</t>
        </is>
      </c>
      <c r="J983" t="inlineStr"/>
      <c r="K983" t="n">
        <v>0</v>
      </c>
      <c r="L983" t="n">
        <v>1</v>
      </c>
      <c r="M983" t="n">
        <v>0</v>
      </c>
      <c r="N983" t="n">
        <v>0</v>
      </c>
      <c r="O983" t="n">
        <v>22</v>
      </c>
      <c r="P983">
        <f>HYPERLINK("https://g1.globo.com/pi/piaui/noticia/2020/05/25/refugiados-venezuelanos-sao-testados-para-covid-19-em-teresina.ghtml", "URL")</f>
        <v/>
      </c>
      <c r="Q983">
        <f>HYPERLINK("https://raw.githubusercontent.com/marcosmapl/dataset_imigrantes/main/materias_filtered/g1/venezuelanos/2020/04_mai/html/g1_285d5d1c-2312-11ed-b24f-6dbe51e79fca_2952.html", "HTML")</f>
        <v/>
      </c>
      <c r="R983">
        <f>HYPERLINK("https://raw.githubusercontent.com/marcosmapl/dataset_imigrantes/main/materias_filtered/g1/venezuelanos/2020/04_mai/txt/g1_285d5d1c-2312-11ed-b24f-6dbe51e79fca_2952.txt", "TXT")</f>
        <v/>
      </c>
    </row>
    <row r="984">
      <c r="A984" s="1" t="n">
        <v>982</v>
      </c>
      <c r="B984" t="n">
        <v>2020</v>
      </c>
      <c r="C984" s="2" t="n">
        <v>43976.84414351852</v>
      </c>
      <c r="D984" t="inlineStr">
        <is>
          <t>A CRITICA</t>
        </is>
      </c>
      <c r="E984" t="inlineStr">
        <is>
          <t>VENEZUELANOS</t>
        </is>
      </c>
      <c r="F984" t="inlineStr">
        <is>
          <t>OPINIAO</t>
        </is>
      </c>
      <c r="G984" t="inlineStr">
        <is>
          <t>DULCE RODRIGUEZ</t>
        </is>
      </c>
      <c r="H984" t="inlineStr">
        <is>
          <t>CRISE DENTRO DA CRISE: FRONTEIRA FECHADA E DESAFIO ENORME NOS ABRIGOS</t>
        </is>
      </c>
      <c r="I984" t="inlineStr">
        <is>
          <t>MEUS IRMÃOS VENEZUELANOS QUE ENTRARAM NO BRASIL PELA FRONTEIRA COM RORAIMA ENFRENTAM PROTOCOLO RÍGIDO IMPLEMENTADO PELA OPERAÇÃO ACOLHIDA PARA QUE A PANDEMIA DO CORONAVIRUS NÃO PASSE PARA OS ABRIGOS</t>
        </is>
      </c>
      <c r="J984" t="inlineStr">
        <is>
          <t>VIDA-DE-IMIGRANTE</t>
        </is>
      </c>
      <c r="K984" t="n">
        <v>1</v>
      </c>
      <c r="L984" t="n">
        <v>1</v>
      </c>
      <c r="M984" t="n">
        <v>0</v>
      </c>
      <c r="N984" t="n">
        <v>0</v>
      </c>
      <c r="O984" t="n">
        <v>1</v>
      </c>
      <c r="P984">
        <f>HYPERLINK("https://www.acritica.com/opiniao/crise-dentro-da-crise-fronteira-fechada-e-desafio-enorme-nos-abrigos-1.216402", "URL")</f>
        <v/>
      </c>
      <c r="Q984">
        <f>HYPERLINK("https://raw.githubusercontent.com/marcosmapl/dataset_imigrantes/main/materias_filtered/a_critica/venezuelanos/2020/04_mai/html/1.216402_674.html", "HTML")</f>
        <v/>
      </c>
      <c r="R984">
        <f>HYPERLINK("https://raw.githubusercontent.com/marcosmapl/dataset_imigrantes/main/materias_filtered/a_critica/venezuelanos/2020/04_mai/txt/1.216402_674.txt", "TXT")</f>
        <v/>
      </c>
    </row>
    <row r="985">
      <c r="A985" s="1" t="n">
        <v>983</v>
      </c>
      <c r="B985" t="n">
        <v>2020</v>
      </c>
      <c r="C985" s="2" t="n">
        <v>43974.45840381944</v>
      </c>
      <c r="D985" t="inlineStr">
        <is>
          <t>G1</t>
        </is>
      </c>
      <c r="E985" t="inlineStr">
        <is>
          <t>VENEZUELANOS</t>
        </is>
      </c>
      <c r="F985" t="inlineStr">
        <is>
          <t>BAHIA</t>
        </is>
      </c>
      <c r="G985" t="inlineStr">
        <is>
          <t>RAFAEL SANTANA, G1 BA</t>
        </is>
      </c>
      <c r="H985" t="inlineStr">
        <is>
          <t>CONHEÇA A HISTÓRIA DA VENEZUELANA QUE FUGIU DA CRISE NO PAÍS E TEME FICAR SEM TETO EM SALVADOR POR CAUSA DO CORONAVÍRUS</t>
        </is>
      </c>
      <c r="I985" t="inlineStr">
        <is>
          <t>POUSADA ONDE A ADVOGADA LIZ RAYMONDI TRABALHA NO SANTO ANTÔNIO ALÉM DO CARMO VAI FECHAR AS PORTAS, E ELA JÁ FOI AVISADA QUE FICARÁ SEM EMPREGO.</t>
        </is>
      </c>
      <c r="J985" t="inlineStr"/>
      <c r="K985" t="n">
        <v>0</v>
      </c>
      <c r="L985" t="n">
        <v>2</v>
      </c>
      <c r="M985" t="n">
        <v>0</v>
      </c>
      <c r="N985" t="n">
        <v>0</v>
      </c>
      <c r="O985" t="n">
        <v>2</v>
      </c>
      <c r="P985">
        <f>HYPERLINK("https://g1.globo.com/ba/bahia/noticia/2020/05/23/conheca-a-historia-da-venezuelana-que-fugiu-da-crise-no-pais-e-teme-ficar-sem-teto-em-salvador-por-causa-do-coronavirus.ghtml", "URL")</f>
        <v/>
      </c>
      <c r="Q985">
        <f>HYPERLINK("https://raw.githubusercontent.com/marcosmapl/dataset_imigrantes/main/materias_filtered/g1/venezuelanos/2020/04_mai/html/g1_e291afe6-2310-11ed-b24f-6dbe51e79fca_2882.html", "HTML")</f>
        <v/>
      </c>
      <c r="R985">
        <f>HYPERLINK("https://raw.githubusercontent.com/marcosmapl/dataset_imigrantes/main/materias_filtered/g1/venezuelanos/2020/04_mai/txt/g1_e291afe6-2310-11ed-b24f-6dbe51e79fca_2882.txt", "TXT")</f>
        <v/>
      </c>
    </row>
    <row r="986">
      <c r="A986" s="1" t="n">
        <v>984</v>
      </c>
      <c r="B986" t="n">
        <v>2020</v>
      </c>
      <c r="C986" s="2" t="n">
        <v>43972.95966457176</v>
      </c>
      <c r="D986" t="inlineStr">
        <is>
          <t>G1</t>
        </is>
      </c>
      <c r="E986" t="inlineStr">
        <is>
          <t>VENEZUELANOS</t>
        </is>
      </c>
      <c r="F986" t="inlineStr">
        <is>
          <t>RORAIMA</t>
        </is>
      </c>
      <c r="G986" t="inlineStr">
        <is>
          <t>VALÉRIA OLIVEIRA, G1 RR — BOA VISTA</t>
        </is>
      </c>
      <c r="H986" t="inlineStr">
        <is>
          <t>STF AUTORIZA QUE VENEZUELANO PRESO EM RORAIMA POR TRÁFICO E CONTRABANDO DE OURO SEJA LEVADO À PRESÍDIO FEDERAL</t>
        </is>
      </c>
      <c r="I986" t="inlineStr">
        <is>
          <t>EMPRESÁRIO VENEZUELANO ROBERTO ANTONIO ESPEJO CAMACHO, DE 30 ANOS, ESTÁ PRESO EM BOA VISTA DESDE DEZEMBRO DO ANO PASSADO. ELE ERA PROCURADO POR CRIMES COMETIDOS NA REPÚBLICA DOMINICANA.</t>
        </is>
      </c>
      <c r="J986" t="inlineStr"/>
      <c r="K986" t="n">
        <v>0</v>
      </c>
      <c r="L986" t="n">
        <v>1</v>
      </c>
      <c r="M986" t="n">
        <v>0</v>
      </c>
      <c r="N986" t="n">
        <v>0</v>
      </c>
      <c r="O986" t="n">
        <v>4</v>
      </c>
      <c r="P986">
        <f>HYPERLINK("https://g1.globo.com/rr/roraima/noticia/2020/05/21/stf-autoriza-que-venezuelano-preso-em-roraima-por-trafico-e-contrabando-de-ouro-seja-levado-a-presidio-federal.ghtml", "URL")</f>
        <v/>
      </c>
      <c r="Q986">
        <f>HYPERLINK("https://raw.githubusercontent.com/marcosmapl/dataset_imigrantes/main/materias_filtered/g1/venezuelanos/2020/04_mai/html/g1_eba32b2c-230c-11ed-b24f-6dbe51e79fca_2657.html", "HTML")</f>
        <v/>
      </c>
      <c r="R986">
        <f>HYPERLINK("https://raw.githubusercontent.com/marcosmapl/dataset_imigrantes/main/materias_filtered/g1/venezuelanos/2020/04_mai/txt/g1_eba32b2c-230c-11ed-b24f-6dbe51e79fca_2657.txt", "TXT")</f>
        <v/>
      </c>
    </row>
    <row r="987">
      <c r="A987" s="1" t="n">
        <v>985</v>
      </c>
      <c r="B987" t="n">
        <v>2020</v>
      </c>
      <c r="C987" s="2" t="n">
        <v>43972.84923457176</v>
      </c>
      <c r="D987" t="inlineStr">
        <is>
          <t>G1</t>
        </is>
      </c>
      <c r="E987" t="inlineStr">
        <is>
          <t>VENEZUELANOS</t>
        </is>
      </c>
      <c r="F987" t="inlineStr">
        <is>
          <t>SANTARÉM E REGIÃO</t>
        </is>
      </c>
      <c r="G987" t="inlineStr">
        <is>
          <t>G1 SANTARÉM — PARÁ</t>
        </is>
      </c>
      <c r="H987" t="inlineStr">
        <is>
          <t>MPT DESTINA RECURSO PARA AQUISIÇÃO DE KITS EDUCACIONAIS PARA  VENEZUELANOS EM SANTARÉM</t>
        </is>
      </c>
      <c r="I987" t="inlineStr">
        <is>
          <t>KIT É COMPOSTO POR UMA PASTA, CADERNO COM ORIENTAÇÕES SOBRE A COVID-19, CADERNO DE HISTÓRIAS, CADERNO DE DESENHO, LÁPIS DE COR E MÁSCARA ADULTO E INFANTIL.</t>
        </is>
      </c>
      <c r="J987" t="inlineStr"/>
      <c r="K987" t="n">
        <v>0</v>
      </c>
      <c r="L987" t="n">
        <v>1</v>
      </c>
      <c r="M987" t="n">
        <v>0</v>
      </c>
      <c r="N987" t="n">
        <v>0</v>
      </c>
      <c r="O987" t="n">
        <v>0</v>
      </c>
      <c r="P987">
        <f>HYPERLINK("https://g1.globo.com/pa/santarem-regiao/noticia/2020/05/21/mpt-destina-recurso-para-aquisicao-de-kits-educacionais-para-venezuelanos-em-santarem.ghtml", "URL")</f>
        <v/>
      </c>
      <c r="Q987">
        <f>HYPERLINK("https://raw.githubusercontent.com/marcosmapl/dataset_imigrantes/main/materias_filtered/g1/venezuelanos/2020/04_mai/html/g1_e128bf2a-2313-11ed-b24f-6dbe51e79fca_3032.html", "HTML")</f>
        <v/>
      </c>
      <c r="R987">
        <f>HYPERLINK("https://raw.githubusercontent.com/marcosmapl/dataset_imigrantes/main/materias_filtered/g1/venezuelanos/2020/04_mai/txt/g1_e128bf2a-2313-11ed-b24f-6dbe51e79fca_3032.txt", "TXT")</f>
        <v/>
      </c>
    </row>
    <row r="988">
      <c r="A988" s="1" t="n">
        <v>986</v>
      </c>
      <c r="B988" t="n">
        <v>2020</v>
      </c>
      <c r="C988" s="2" t="n">
        <v>43972.81522701389</v>
      </c>
      <c r="D988" t="inlineStr">
        <is>
          <t>G1</t>
        </is>
      </c>
      <c r="E988" t="inlineStr">
        <is>
          <t>VENEZUELANOS</t>
        </is>
      </c>
      <c r="F988" t="inlineStr">
        <is>
          <t>PERNAMBUCO</t>
        </is>
      </c>
      <c r="G988" t="inlineStr">
        <is>
          <t>G1 PE</t>
        </is>
      </c>
      <c r="H988" t="inlineStr">
        <is>
          <t>INCÊNDIO ATINGE CASA DE IMIGRANTES VENEZUELANOS E DEIXA UM FERIDO NO RECIFE</t>
        </is>
      </c>
      <c r="I988" t="inlineStr">
        <is>
          <t>SEGUNDO BOMBEIROS, HOUVE VAZAMENTO DE GÁS NA RESIDÊNCIA, NA ÁREA CENTRAL DA CIDADE, NESTA QUINTA (21). CÁRITAS INTERNACIONAL DISSE QUE HOMEM TEVE QUEIMADURA NAS PERNAS.</t>
        </is>
      </c>
      <c r="J988" t="inlineStr"/>
      <c r="K988" t="n">
        <v>0</v>
      </c>
      <c r="L988" t="n">
        <v>2</v>
      </c>
      <c r="M988" t="n">
        <v>1</v>
      </c>
      <c r="N988" t="n">
        <v>0</v>
      </c>
      <c r="O988" t="n">
        <v>1</v>
      </c>
      <c r="P988">
        <f>HYPERLINK("https://g1.globo.com/pe/pernambuco/noticia/2020/05/21/incendio-atinge-casa-de-imigrantes-venezuelanos-e-deixa-um-ferido-no-recife.ghtml", "URL")</f>
        <v/>
      </c>
      <c r="Q988">
        <f>HYPERLINK("https://raw.githubusercontent.com/marcosmapl/dataset_imigrantes/main/materias_filtered/g1/venezuelanos/2020/04_mai/html/g1_76e183ce-231b-11ed-b24f-6dbe51e79fca_3387.html", "HTML")</f>
        <v/>
      </c>
      <c r="R988">
        <f>HYPERLINK("https://raw.githubusercontent.com/marcosmapl/dataset_imigrantes/main/materias_filtered/g1/venezuelanos/2020/04_mai/txt/g1_76e183ce-231b-11ed-b24f-6dbe51e79fca_3387.txt", "TXT")</f>
        <v/>
      </c>
    </row>
    <row r="989">
      <c r="A989" s="1" t="n">
        <v>987</v>
      </c>
      <c r="B989" t="n">
        <v>2020</v>
      </c>
      <c r="C989" s="2" t="n">
        <v>43971.6096412037</v>
      </c>
      <c r="D989" t="inlineStr">
        <is>
          <t>A CRITICA</t>
        </is>
      </c>
      <c r="E989" t="inlineStr">
        <is>
          <t>VENEZUELANOS</t>
        </is>
      </c>
      <c r="F989" t="inlineStr"/>
      <c r="G989" t="inlineStr">
        <is>
          <t>AFP</t>
        </is>
      </c>
      <c r="H989" t="inlineStr">
        <is>
          <t>VENEZUELA PRORROGA TOQUE DE RECOLHER NA FRONTEIRA COM COLÔMBIA E BRASIL</t>
        </is>
      </c>
      <c r="I989" t="inlineStr">
        <is>
          <t>A MEDIDA FOI TOMADA DEPOIS QUE O PRESIDENTE NICOLÁS MADURO ORDENOU UM TOQUE DE RECOLHER COM AS MESMAS CARACTERÍSTICAS NA SEGUNDA-FEIRA (18) NO MUNICÍPIO DE PÁEZ, NO ESTADO DE APURE (OESTE), NA FRONTEIRA COM A COLÔMBIA</t>
        </is>
      </c>
      <c r="J989" t="inlineStr"/>
      <c r="K989" t="n">
        <v>0</v>
      </c>
      <c r="L989" t="n">
        <v>1</v>
      </c>
      <c r="M989" t="n">
        <v>0</v>
      </c>
      <c r="N989" t="n">
        <v>0</v>
      </c>
      <c r="O989" t="n">
        <v>0</v>
      </c>
      <c r="P989">
        <f>HYPERLINK("https://www.acritica.com/venezuela-prorroga-toque-de-recolher-na-fronteira-com-colombia-e-brasil-1.41336", "URL")</f>
        <v/>
      </c>
      <c r="Q989">
        <f>HYPERLINK("https://raw.githubusercontent.com/marcosmapl/dataset_imigrantes/main/materias_filtered/a_critica/venezuelanos/2020/04_mai/html/1.41336_678.html", "HTML")</f>
        <v/>
      </c>
      <c r="R989">
        <f>HYPERLINK("https://raw.githubusercontent.com/marcosmapl/dataset_imigrantes/main/materias_filtered/a_critica/venezuelanos/2020/04_mai/txt/1.41336_678.txt", "TXT")</f>
        <v/>
      </c>
    </row>
    <row r="990">
      <c r="A990" s="1" t="n">
        <v>988</v>
      </c>
      <c r="B990" t="n">
        <v>2020</v>
      </c>
      <c r="C990" s="2" t="n">
        <v>43968.14305555556</v>
      </c>
      <c r="D990" t="inlineStr">
        <is>
          <t>A CRITICA</t>
        </is>
      </c>
      <c r="E990" t="inlineStr">
        <is>
          <t>VENEZUELANOS</t>
        </is>
      </c>
      <c r="F990" t="inlineStr">
        <is>
          <t>POLICIA</t>
        </is>
      </c>
      <c r="G990" t="inlineStr">
        <is>
          <t>JAN NOGUEIRA</t>
        </is>
      </c>
      <c r="H990" t="inlineStr">
        <is>
          <t>RAFAEL CONTA DETALHES DO CRIME E DISPENSA ADVOGADOS AO CHEGAR EM MANAUS</t>
        </is>
      </c>
      <c r="I990" t="inlineStr">
        <is>
          <t>SUSPEITO DISSE TER IDO PARA A CAMA COM A VÍTIMA, COM UMA FACA ESCONDIDA; ELE SE DIZ CULPADO PELA MORTE DO PAI, QUE O ACONSELHOU A SE ENTREGAR ANTES DE COMETER SUICÍDIO</t>
        </is>
      </c>
      <c r="J990" t="inlineStr"/>
      <c r="K990" t="n">
        <v>0</v>
      </c>
      <c r="L990" t="n">
        <v>1</v>
      </c>
      <c r="M990" t="n">
        <v>0</v>
      </c>
      <c r="N990" t="n">
        <v>0</v>
      </c>
      <c r="O990" t="n">
        <v>0</v>
      </c>
      <c r="P990">
        <f>HYPERLINK("https://www.acritica.com/policia/rafael-conta-detalhes-do-crime-e-dispensa-advogados-ao-chegar-em-manaus-1.41717", "URL")</f>
        <v/>
      </c>
      <c r="Q990">
        <f>HYPERLINK("https://raw.githubusercontent.com/marcosmapl/dataset_imigrantes/main/materias_filtered/a_critica/venezuelanos/2020/04_mai/html/1.41717_179.html", "HTML")</f>
        <v/>
      </c>
      <c r="R990">
        <f>HYPERLINK("https://raw.githubusercontent.com/marcosmapl/dataset_imigrantes/main/materias_filtered/a_critica/venezuelanos/2020/04_mai/txt/1.41717_179.txt", "TXT")</f>
        <v/>
      </c>
    </row>
    <row r="991">
      <c r="A991" s="1" t="n">
        <v>989</v>
      </c>
      <c r="B991" t="n">
        <v>2020</v>
      </c>
      <c r="C991" s="2" t="n">
        <v>43968.03306712963</v>
      </c>
      <c r="D991" t="inlineStr">
        <is>
          <t>A CRITICA</t>
        </is>
      </c>
      <c r="E991" t="inlineStr">
        <is>
          <t>VENEZUELANOS</t>
        </is>
      </c>
      <c r="F991" t="inlineStr">
        <is>
          <t>POLICIA</t>
        </is>
      </c>
      <c r="G991" t="inlineStr">
        <is>
          <t>JAN NOGUEIRA</t>
        </is>
      </c>
      <c r="H991" t="inlineStr">
        <is>
          <t>PRINCIPAL SUSPEITO PELA MORTE DE MISS MANICORÉ CHEGA A MANAUS</t>
        </is>
      </c>
      <c r="I991" t="inlineStr">
        <is>
          <t>O ANALISTA JUDICIÁRIO RAFAEL FERNANDEZ, 31 ANOS, CHEGOU NA SEDE DA DELEGACIA ESPECIALIZADA EM HOMICÍDIOS E SEQUESTROS (DEHS) POR VOLTA DAS 21H35 DE HOJE (16). SEGUNDO A POLÍCIA CIVIL DE RORAIMA, O SUSPEITO CONFESSOU A AUTORIA DO CRIME</t>
        </is>
      </c>
      <c r="J991" t="inlineStr"/>
      <c r="K991" t="n">
        <v>0</v>
      </c>
      <c r="L991" t="n">
        <v>1</v>
      </c>
      <c r="M991" t="n">
        <v>0</v>
      </c>
      <c r="N991" t="n">
        <v>0</v>
      </c>
      <c r="O991" t="n">
        <v>0</v>
      </c>
      <c r="P991">
        <f>HYPERLINK("https://www.acritica.com/policia/principal-suspeito-pela-morte-de-miss-manicore-chega-a-manaus-1.41720", "URL")</f>
        <v/>
      </c>
      <c r="Q991">
        <f>HYPERLINK("https://raw.githubusercontent.com/marcosmapl/dataset_imigrantes/main/materias_filtered/a_critica/venezuelanos/2020/04_mai/html/1.41720_568.html", "HTML")</f>
        <v/>
      </c>
      <c r="R991">
        <f>HYPERLINK("https://raw.githubusercontent.com/marcosmapl/dataset_imigrantes/main/materias_filtered/a_critica/venezuelanos/2020/04_mai/txt/1.41720_568.txt", "TXT")</f>
        <v/>
      </c>
    </row>
    <row r="992">
      <c r="A992" s="1" t="n">
        <v>990</v>
      </c>
      <c r="B992" t="n">
        <v>2020</v>
      </c>
      <c r="C992" s="2" t="n">
        <v>43967.84976489584</v>
      </c>
      <c r="D992" t="inlineStr">
        <is>
          <t>G1</t>
        </is>
      </c>
      <c r="E992" t="inlineStr">
        <is>
          <t>VENEZUELANOS</t>
        </is>
      </c>
      <c r="F992" t="inlineStr">
        <is>
          <t>POLÍTICA</t>
        </is>
      </c>
      <c r="G992" t="inlineStr">
        <is>
          <t>MÁRCIO FALCÃO E FERNANDA VIVAS, TV GLOBO</t>
        </is>
      </c>
      <c r="H992" t="inlineStr">
        <is>
          <t>DIPLOMATAS VENEZUELANOS NÃO PODEM SER EXPULSOS ENQUANTO DURAR PANDEMIA, REAFIRMA BARROSO</t>
        </is>
      </c>
      <c r="I992" t="inlineStr">
        <is>
          <t>MINISTRO DO STF É RELATOR DE RECURSO AO TRIBUNAL PARA EVITAR RETIRADA DOS VENEZUELANOS DO PAÍS. ELE ENTENDE QUE ISSO NÃO JUSTIFICA ROMPER ISOLAMENTO SOCIAL RECOMENDADO PELA OMS.</t>
        </is>
      </c>
      <c r="J992" t="inlineStr"/>
      <c r="K992" t="n">
        <v>0</v>
      </c>
      <c r="L992" t="n">
        <v>1</v>
      </c>
      <c r="M992" t="n">
        <v>0</v>
      </c>
      <c r="N992" t="n">
        <v>0</v>
      </c>
      <c r="O992" t="n">
        <v>13</v>
      </c>
      <c r="P992">
        <f>HYPERLINK("https://g1.globo.com/politica/noticia/2020/05/16/barroso-confirma-que-diplomatas-venezuelanos-nao-podem-ser-expulsos-do-brasil-enquanto-durar-estado-de-calamidade.ghtml", "URL")</f>
        <v/>
      </c>
      <c r="Q992">
        <f>HYPERLINK("https://raw.githubusercontent.com/marcosmapl/dataset_imigrantes/main/materias_filtered/g1/venezuelanos/2020/04_mai/html/g1_deeb194c-2318-11ed-b24f-6dbe51e79fca_3285.html", "HTML")</f>
        <v/>
      </c>
      <c r="R992">
        <f>HYPERLINK("https://raw.githubusercontent.com/marcosmapl/dataset_imigrantes/main/materias_filtered/g1/venezuelanos/2020/04_mai/txt/g1_deeb194c-2318-11ed-b24f-6dbe51e79fca_3285.txt", "TXT")</f>
        <v/>
      </c>
    </row>
    <row r="993">
      <c r="A993" s="1" t="n">
        <v>991</v>
      </c>
      <c r="B993" t="n">
        <v>2020</v>
      </c>
      <c r="C993" s="2" t="n">
        <v>43967.82203481482</v>
      </c>
      <c r="D993" t="inlineStr">
        <is>
          <t>G1</t>
        </is>
      </c>
      <c r="E993" t="inlineStr">
        <is>
          <t>HAITIANOS</t>
        </is>
      </c>
      <c r="F993" t="inlineStr">
        <is>
          <t>RIO GRANDE DO SUL</t>
        </is>
      </c>
      <c r="G993" t="inlineStr">
        <is>
          <t>RBS TV</t>
        </is>
      </c>
      <c r="H993" t="inlineStr">
        <is>
          <t>SALDANHA MARINHO, ENCANTADO E SANTA MARIA REGISTRAM MORTES POR COVID-19, SEGUNDO PREFEITURAS</t>
        </is>
      </c>
      <c r="I993" t="inlineStr">
        <is>
          <t>UMA DAS MORTES É DE UM HAITIANO DE 40 ANOS, MORADOR DE ENCANTADO E QUE ESTAVA INTERNADO NO HOSPITAL UNIVERSITÁRIO DE SANTA MARIA.</t>
        </is>
      </c>
      <c r="J993" t="inlineStr"/>
      <c r="K993" t="n">
        <v>0</v>
      </c>
      <c r="L993" t="n">
        <v>1</v>
      </c>
      <c r="M993" t="n">
        <v>1</v>
      </c>
      <c r="N993" t="n">
        <v>0</v>
      </c>
      <c r="O993" t="n">
        <v>12</v>
      </c>
      <c r="P993">
        <f>HYPERLINK("https://g1.globo.com/rs/rio-grande-do-sul/noticia/2020/05/16/santa-maria-e-encantado-registram-mortes-por-covid-19-segundo-prefeituras.ghtml", "URL")</f>
        <v/>
      </c>
      <c r="Q993">
        <f>HYPERLINK("https://raw.githubusercontent.com/marcosmapl/dataset_imigrantes/main/materias_filtered/g1/haitianos/2020/04_mai/html/g1_8461079a-2307-11ed-b24f-6dbe51e79fca_2323.html", "HTML")</f>
        <v/>
      </c>
      <c r="R993">
        <f>HYPERLINK("https://raw.githubusercontent.com/marcosmapl/dataset_imigrantes/main/materias_filtered/g1/haitianos/2020/04_mai/txt/g1_8461079a-2307-11ed-b24f-6dbe51e79fca_2323.txt", "TXT")</f>
        <v/>
      </c>
    </row>
    <row r="994">
      <c r="A994" s="1" t="n">
        <v>992</v>
      </c>
      <c r="B994" t="n">
        <v>2020</v>
      </c>
      <c r="C994" s="2" t="n">
        <v>43967.76408564814</v>
      </c>
      <c r="D994" t="inlineStr">
        <is>
          <t>A CRITICA</t>
        </is>
      </c>
      <c r="E994" t="inlineStr">
        <is>
          <t>VENEZUELANOS</t>
        </is>
      </c>
      <c r="F994" t="inlineStr"/>
      <c r="G994" t="inlineStr">
        <is>
          <t>AGÊNCIA BRASIL</t>
        </is>
      </c>
      <c r="H994" t="inlineStr">
        <is>
          <t>GENERAL DO EB ASSUME MINISTÉRIO DA SAÚDE INTERINAMENTE</t>
        </is>
      </c>
      <c r="I994" t="inlineStr">
        <is>
          <t>ESPECIALISTA EM LOGÍSTICA, O GENERAL PAZUELLO FOI NOMEADO PARA O SEGUNDO CARGO MAIS ALTO DA HIERARQUIA MINISTERIAL NO ÚLTIMO DIA 22, APÓS TEICH ASSUMIR O MINISTÉRIO NO LUGAR DE LUIZ HENRIQUE MANDETTA</t>
        </is>
      </c>
      <c r="J994" t="inlineStr"/>
      <c r="K994" t="n">
        <v>0</v>
      </c>
      <c r="L994" t="n">
        <v>1</v>
      </c>
      <c r="M994" t="n">
        <v>0</v>
      </c>
      <c r="N994" t="n">
        <v>0</v>
      </c>
      <c r="O994" t="n">
        <v>0</v>
      </c>
      <c r="P994">
        <f>HYPERLINK("https://www.acritica.com/general-do-eb-assume-ministerio-da-saude-interinamente-1.41757", "URL")</f>
        <v/>
      </c>
      <c r="Q994">
        <f>HYPERLINK("https://raw.githubusercontent.com/marcosmapl/dataset_imigrantes/main/materias_filtered/a_critica/venezuelanos/2020/04_mai/html/1.41757_681.html", "HTML")</f>
        <v/>
      </c>
      <c r="R994">
        <f>HYPERLINK("https://raw.githubusercontent.com/marcosmapl/dataset_imigrantes/main/materias_filtered/a_critica/venezuelanos/2020/04_mai/txt/1.41757_681.txt", "TXT")</f>
        <v/>
      </c>
    </row>
    <row r="995">
      <c r="A995" s="1" t="n">
        <v>993</v>
      </c>
      <c r="B995" t="n">
        <v>2020</v>
      </c>
      <c r="C995" s="2" t="n">
        <v>43966.89444444444</v>
      </c>
      <c r="D995" t="inlineStr">
        <is>
          <t>A CRITICA</t>
        </is>
      </c>
      <c r="E995" t="inlineStr">
        <is>
          <t>VENEZUELANOS</t>
        </is>
      </c>
      <c r="F995" t="inlineStr">
        <is>
          <t>POLICIA</t>
        </is>
      </c>
      <c r="G995" t="inlineStr">
        <is>
          <t>JOANA QUEIROZ</t>
        </is>
      </c>
      <c r="H995" t="inlineStr">
        <is>
          <t>RAFAEL ESTAVA EM PACARAIMA TENTANDO FAZER AMIZADES COM VENEZUELANOS</t>
        </is>
      </c>
      <c r="I995" t="inlineStr">
        <is>
          <t>COMANDANTE DISSE QUE SUSPEITO DE MATAR A MISS MANICORÉ KIMBERLY KAREN MOTA, 22, ACREDITAVA QUE VENEZUELANOS PODERIAM FACILITAR SEU ACESSO AO PAÍS</t>
        </is>
      </c>
      <c r="J995" t="inlineStr"/>
      <c r="K995" t="n">
        <v>0</v>
      </c>
      <c r="L995" t="n">
        <v>1</v>
      </c>
      <c r="M995" t="n">
        <v>0</v>
      </c>
      <c r="N995" t="n">
        <v>0</v>
      </c>
      <c r="O995" t="n">
        <v>1</v>
      </c>
      <c r="P995">
        <f>HYPERLINK("https://www.acritica.com/policia/rafael-estava-em-pacaraima-tentando-fazer-amizades-com-venezuelanos-1.41718", "URL")</f>
        <v/>
      </c>
      <c r="Q995">
        <f>HYPERLINK("https://raw.githubusercontent.com/marcosmapl/dataset_imigrantes/main/materias_filtered/a_critica/venezuelanos/2020/04_mai/html/1.41718_87.html", "HTML")</f>
        <v/>
      </c>
      <c r="R995">
        <f>HYPERLINK("https://raw.githubusercontent.com/marcosmapl/dataset_imigrantes/main/materias_filtered/a_critica/venezuelanos/2020/04_mai/txt/1.41718_87.txt", "TXT")</f>
        <v/>
      </c>
    </row>
    <row r="996">
      <c r="A996" s="1" t="n">
        <v>994</v>
      </c>
      <c r="B996" t="n">
        <v>2020</v>
      </c>
      <c r="C996" s="2" t="n">
        <v>43966.57488883102</v>
      </c>
      <c r="D996" t="inlineStr">
        <is>
          <t>G1</t>
        </is>
      </c>
      <c r="E996" t="inlineStr">
        <is>
          <t>VENEZUELANOS</t>
        </is>
      </c>
      <c r="F996" t="inlineStr">
        <is>
          <t>PARAÍBA</t>
        </is>
      </c>
      <c r="G996" t="inlineStr">
        <is>
          <t>G1 PB</t>
        </is>
      </c>
      <c r="H996" t="inlineStr">
        <is>
          <t>MPF ABRE INQUÉRITO PARA ACOMPANHAR SITUAÇÃO DE REFUGIADOS VENEZUELANOS EM CAMPINA GRANDE</t>
        </is>
      </c>
      <c r="I996" t="inlineStr">
        <is>
          <t>PROCEDIMENTO É PARA ACOMPANHAR SITUAÇÃO DOS REFUGIADOS ENVIADOS PARA CAMPINA GRANDE DURANTE O PERÍODO DE PANDEMIA.</t>
        </is>
      </c>
      <c r="J996" t="inlineStr"/>
      <c r="K996" t="n">
        <v>0</v>
      </c>
      <c r="L996" t="n">
        <v>1</v>
      </c>
      <c r="M996" t="n">
        <v>0</v>
      </c>
      <c r="N996" t="n">
        <v>0</v>
      </c>
      <c r="O996" t="n">
        <v>2</v>
      </c>
      <c r="P996">
        <f>HYPERLINK("https://g1.globo.com/pb/paraiba/noticia/2020/05/15/mpf-abre-inquerito-para-acompanhar-situacao-de-refugiados-venezuelanos-em-campina-grande.ghtml", "URL")</f>
        <v/>
      </c>
      <c r="Q996">
        <f>HYPERLINK("https://raw.githubusercontent.com/marcosmapl/dataset_imigrantes/main/materias_filtered/g1/venezuelanos/2020/04_mai/html/g1_57472dce-2326-11ed-b24f-6dbe51e79fca_3970.html", "HTML")</f>
        <v/>
      </c>
      <c r="R996">
        <f>HYPERLINK("https://raw.githubusercontent.com/marcosmapl/dataset_imigrantes/main/materias_filtered/g1/venezuelanos/2020/04_mai/txt/g1_57472dce-2326-11ed-b24f-6dbe51e79fca_3970.txt", "TXT")</f>
        <v/>
      </c>
    </row>
    <row r="997">
      <c r="A997" s="1" t="n">
        <v>995</v>
      </c>
      <c r="B997" t="n">
        <v>2020</v>
      </c>
      <c r="C997" s="2" t="n">
        <v>43964.9773037037</v>
      </c>
      <c r="D997" t="inlineStr">
        <is>
          <t>G1</t>
        </is>
      </c>
      <c r="E997" t="inlineStr">
        <is>
          <t>HAITIANOS</t>
        </is>
      </c>
      <c r="F997" t="inlineStr">
        <is>
          <t>RIO GRANDE DO SUL</t>
        </is>
      </c>
      <c r="G997" t="inlineStr">
        <is>
          <t>G1 RS</t>
        </is>
      </c>
      <c r="H997" t="inlineStr">
        <is>
          <t>'ELE VEIO BUSCAR UMA VIDA MELHOR', DIZ AMIGO DE HAITIANO MORTO POR CORONAVÍRUS EM VILA MARIA</t>
        </is>
      </c>
      <c r="I997" t="inlineStr">
        <is>
          <t>JEAN HUIGUES PAUL FALECEU NO ÚLTIMO FINAL DE SEMANA. CONFORME AMIGO, ELE TINHA ESPOSA E FILHOS NO HAITI, E USAVA DOCUMENTOS DE OUTRO FAMILIAR.</t>
        </is>
      </c>
      <c r="J997" t="inlineStr"/>
      <c r="K997" t="n">
        <v>0</v>
      </c>
      <c r="L997" t="n">
        <v>1</v>
      </c>
      <c r="M997" t="n">
        <v>1</v>
      </c>
      <c r="N997" t="n">
        <v>0</v>
      </c>
      <c r="O997" t="n">
        <v>7</v>
      </c>
      <c r="P997">
        <f>HYPERLINK("https://g1.globo.com/rs/rio-grande-do-sul/noticia/2020/05/13/ele-veio-buscar-uma-vida-melhor-diz-amigo-de-haitiano-morto-por-coronavirus-em-vila-maria.ghtml", "URL")</f>
        <v/>
      </c>
      <c r="Q997">
        <f>HYPERLINK("https://raw.githubusercontent.com/marcosmapl/dataset_imigrantes/main/materias_filtered/g1/haitianos/2020/04_mai/html/g1_af5310a4-22f0-11ed-b24f-6dbe51e79fca_1715.html", "HTML")</f>
        <v/>
      </c>
      <c r="R997">
        <f>HYPERLINK("https://raw.githubusercontent.com/marcosmapl/dataset_imigrantes/main/materias_filtered/g1/haitianos/2020/04_mai/txt/g1_af5310a4-22f0-11ed-b24f-6dbe51e79fca_1715.txt", "TXT")</f>
        <v/>
      </c>
    </row>
    <row r="998">
      <c r="A998" s="1" t="n">
        <v>996</v>
      </c>
      <c r="B998" t="n">
        <v>2020</v>
      </c>
      <c r="C998" s="2" t="n">
        <v>43964.66964368056</v>
      </c>
      <c r="D998" t="inlineStr">
        <is>
          <t>G1</t>
        </is>
      </c>
      <c r="E998" t="inlineStr">
        <is>
          <t>VENEZUELANOS</t>
        </is>
      </c>
      <c r="F998" t="inlineStr">
        <is>
          <t>RORAIMA</t>
        </is>
      </c>
      <c r="G998" t="inlineStr">
        <is>
          <t>G1 RR — BOA VISTA</t>
        </is>
      </c>
      <c r="H998" t="inlineStr">
        <is>
          <t>CORPO ENCONTRADO COM PERFURAÇÃO NO PESCOÇO E MÃOS AMARRADAS ERA DE ADOLESCENTE VENEZUELANO</t>
        </is>
      </c>
      <c r="I998" t="inlineStr">
        <is>
          <t>VÍTIMA FOI RECONHECIDA PELA PRÓPRIA MÃE, INFORMOU EM NOTA A OPERAÇÃO ACOLHIDA.</t>
        </is>
      </c>
      <c r="J998" t="inlineStr"/>
      <c r="K998" t="n">
        <v>0</v>
      </c>
      <c r="L998" t="n">
        <v>1</v>
      </c>
      <c r="M998" t="n">
        <v>0</v>
      </c>
      <c r="N998" t="n">
        <v>0</v>
      </c>
      <c r="O998" t="n">
        <v>2</v>
      </c>
      <c r="P998">
        <f>HYPERLINK("https://g1.globo.com/rr/roraima/noticia/2020/05/13/corpo-encontrado-com-perfuracao-no-pescoco-e-maos-amarradas-era-de-adolescente-venezuelano.ghtml", "URL")</f>
        <v/>
      </c>
      <c r="Q998">
        <f>HYPERLINK("https://raw.githubusercontent.com/marcosmapl/dataset_imigrantes/main/materias_filtered/g1/venezuelanos/2020/04_mai/html/g1_76ceb622-230c-11ed-b24f-6dbe51e79fca_2626.html", "HTML")</f>
        <v/>
      </c>
      <c r="R998">
        <f>HYPERLINK("https://raw.githubusercontent.com/marcosmapl/dataset_imigrantes/main/materias_filtered/g1/venezuelanos/2020/04_mai/txt/g1_76ceb622-230c-11ed-b24f-6dbe51e79fca_2626.txt", "TXT")</f>
        <v/>
      </c>
    </row>
    <row r="999">
      <c r="A999" s="1" t="n">
        <v>997</v>
      </c>
      <c r="B999" t="n">
        <v>2020</v>
      </c>
      <c r="C999" s="2" t="n">
        <v>43964.00290524305</v>
      </c>
      <c r="D999" t="inlineStr">
        <is>
          <t>G1</t>
        </is>
      </c>
      <c r="E999" t="inlineStr">
        <is>
          <t>VENEZUELANOS</t>
        </is>
      </c>
      <c r="F999" t="inlineStr">
        <is>
          <t>POLÍTICA</t>
        </is>
      </c>
      <c r="G999" t="inlineStr">
        <is>
          <t>FERNANDA VIVAS E MÁRCIO FALCÃO, TV GLOBO — BRASÍLIA</t>
        </is>
      </c>
      <c r="H999" t="inlineStr">
        <is>
          <t>ARAS DIZ AO STF QUE CABE AO STJ ANALISAR DECISÃO DO ITAMARATY DE EXPULSAR DIPLOMATAS VENEZUELANOS</t>
        </is>
      </c>
      <c r="I999" t="inlineStr">
        <is>
          <t>MINISTÉRIO DAS RELAÇÕES EXTERIORES INFORMOU À EMBAIXADA DA VENEZUELA QUE DIPLOMATAS TINHAM ATÉ 2 DE MAIO PARA DEIXAR O BRASIL, MAS MINISTRO DO STF SUSPENDEU DECISÃO.</t>
        </is>
      </c>
      <c r="J999" t="inlineStr"/>
      <c r="K999" t="n">
        <v>0</v>
      </c>
      <c r="L999" t="n">
        <v>2</v>
      </c>
      <c r="M999" t="n">
        <v>1</v>
      </c>
      <c r="N999" t="n">
        <v>0</v>
      </c>
      <c r="O999" t="n">
        <v>12</v>
      </c>
      <c r="P999">
        <f>HYPERLINK("https://g1.globo.com/politica/noticia/2020/05/12/aras-diz-ao-stf-que-cabe-ao-stj-analisar-decisao-do-itamaraty-de-expulsar-diplomatas-venezuelanos.ghtml", "URL")</f>
        <v/>
      </c>
      <c r="Q999">
        <f>HYPERLINK("https://raw.githubusercontent.com/marcosmapl/dataset_imigrantes/main/materias_filtered/g1/venezuelanos/2020/04_mai/html/g1_f1b6da2c-2316-11ed-b24f-6dbe51e79fca_3179.html", "HTML")</f>
        <v/>
      </c>
      <c r="R999">
        <f>HYPERLINK("https://raw.githubusercontent.com/marcosmapl/dataset_imigrantes/main/materias_filtered/g1/venezuelanos/2020/04_mai/txt/g1_f1b6da2c-2316-11ed-b24f-6dbe51e79fca_3179.txt", "TXT")</f>
        <v/>
      </c>
    </row>
    <row r="1000">
      <c r="A1000" s="1" t="n">
        <v>998</v>
      </c>
      <c r="B1000" t="n">
        <v>2020</v>
      </c>
      <c r="C1000" s="2" t="n">
        <v>43963.86609771991</v>
      </c>
      <c r="D1000" t="inlineStr">
        <is>
          <t>G1</t>
        </is>
      </c>
      <c r="E1000" t="inlineStr">
        <is>
          <t>HAITIANOS</t>
        </is>
      </c>
      <c r="F1000" t="inlineStr">
        <is>
          <t>RIO GRANDE DO SUL</t>
        </is>
      </c>
      <c r="G1000" t="inlineStr">
        <is>
          <t>G1 RS</t>
        </is>
      </c>
      <c r="H1000" t="inlineStr">
        <is>
          <t>IMIGRANTE HAITIANO DE 70 ANOS É A PRIMEIRA MORTE POR CORONAVÍRUS DE VILA MARIA, DIZ PREFEITURA</t>
        </is>
      </c>
      <c r="I1000" t="inlineStr">
        <is>
          <t>HOMEM, CUJA IDENTIDADE NÃO FOI DIVULGADA, TINHA DIABETES E MORREU EM HOSPITAL DE PASSO FUNDO, NO SÁBADO (9).</t>
        </is>
      </c>
      <c r="J1000" t="inlineStr"/>
      <c r="K1000" t="n">
        <v>0</v>
      </c>
      <c r="L1000" t="n">
        <v>2</v>
      </c>
      <c r="M1000" t="n">
        <v>1</v>
      </c>
      <c r="N1000" t="n">
        <v>0</v>
      </c>
      <c r="O1000" t="n">
        <v>10</v>
      </c>
      <c r="P1000">
        <f>HYPERLINK("https://g1.globo.com/rs/rio-grande-do-sul/noticia/2020/05/12/imigrante-haitiano-de-70-anos-e-a-primeira-morte-de-coronavirus-de-vila-maria-diz-prefeitura.ghtml", "URL")</f>
        <v/>
      </c>
      <c r="Q1000">
        <f>HYPERLINK("https://raw.githubusercontent.com/marcosmapl/dataset_imigrantes/main/materias_filtered/g1/haitianos/2020/04_mai/html/g1_dfac8976-22f8-11ed-b24f-6dbe51e79fca_2163.html", "HTML")</f>
        <v/>
      </c>
      <c r="R1000">
        <f>HYPERLINK("https://raw.githubusercontent.com/marcosmapl/dataset_imigrantes/main/materias_filtered/g1/haitianos/2020/04_mai/txt/g1_dfac8976-22f8-11ed-b24f-6dbe51e79fca_2163.txt", "TXT")</f>
        <v/>
      </c>
    </row>
    <row r="1001">
      <c r="A1001" s="1" t="n">
        <v>999</v>
      </c>
      <c r="B1001" t="n">
        <v>2020</v>
      </c>
      <c r="C1001" s="2" t="n">
        <v>43963.84919313657</v>
      </c>
      <c r="D1001" t="inlineStr">
        <is>
          <t>G1</t>
        </is>
      </c>
      <c r="E1001" t="inlineStr">
        <is>
          <t>VENEZUELANOS</t>
        </is>
      </c>
      <c r="F1001" t="inlineStr">
        <is>
          <t>RORAIMA</t>
        </is>
      </c>
      <c r="G1001" t="inlineStr">
        <is>
          <t>SUZANNE OLIVEIRA, G1 RR — BOA VISTA</t>
        </is>
      </c>
      <c r="H1001" t="inlineStr">
        <is>
          <t>MAIS DOIS VENEZUELANOS MORREM POR CORONAVÍRUS EM RR</t>
        </is>
      </c>
      <c r="I1001" t="inlineStr">
        <is>
          <t>FORAM REGISTRADOS TRÊS ÓBITOS EM DECORRÊNCIA DA DOENÇA, NESTA SEGUNDA-FEIRA (11), INFORMOU A SESAU. DESTES, DOIS ERAM IMIGRANTES VENEZUELANOS IDOSOS.</t>
        </is>
      </c>
      <c r="J1001" t="inlineStr"/>
      <c r="K1001" t="n">
        <v>0</v>
      </c>
      <c r="L1001" t="n">
        <v>1</v>
      </c>
      <c r="M1001" t="n">
        <v>0</v>
      </c>
      <c r="N1001" t="n">
        <v>0</v>
      </c>
      <c r="O1001" t="n">
        <v>9</v>
      </c>
      <c r="P1001">
        <f>HYPERLINK("https://g1.globo.com/rr/roraima/noticia/2020/05/12/mais-dois-venezuelanos-morrem-por-coronavirus-em-rr.ghtml", "URL")</f>
        <v/>
      </c>
      <c r="Q1001">
        <f>HYPERLINK("https://raw.githubusercontent.com/marcosmapl/dataset_imigrantes/main/materias_filtered/g1/venezuelanos/2020/04_mai/html/g1_d29d1c30-2309-11ed-b24f-6dbe51e79fca_2466.html", "HTML")</f>
        <v/>
      </c>
      <c r="R1001">
        <f>HYPERLINK("https://raw.githubusercontent.com/marcosmapl/dataset_imigrantes/main/materias_filtered/g1/venezuelanos/2020/04_mai/txt/g1_d29d1c30-2309-11ed-b24f-6dbe51e79fca_2466.txt", "TXT")</f>
        <v/>
      </c>
    </row>
    <row r="1002">
      <c r="A1002" s="1" t="n">
        <v>1000</v>
      </c>
      <c r="B1002" t="n">
        <v>2020</v>
      </c>
      <c r="C1002" s="2" t="n">
        <v>43962.82500138889</v>
      </c>
      <c r="D1002" t="inlineStr">
        <is>
          <t>G1</t>
        </is>
      </c>
      <c r="E1002" t="inlineStr">
        <is>
          <t>VENEZUELANOS</t>
        </is>
      </c>
      <c r="F1002" t="inlineStr">
        <is>
          <t>GOIÁS</t>
        </is>
      </c>
      <c r="G1002" t="inlineStr">
        <is>
          <t>GUILHERME RODRIGUES, TV ANHANGUERA</t>
        </is>
      </c>
      <c r="H1002" t="inlineStr">
        <is>
          <t>VENEZUELANA SE DESESPERA COM FURTO DE FOOD TRUCK EM RUA DE GOIÂNIA: 'ESTOU SEM ACREDITAR'</t>
        </is>
      </c>
      <c r="I1002" t="inlineStr">
        <is>
          <t>VEÍCULO ESTAVA ESTACIONADO NA PORTA DA CASA DA PROPRIETÁRIA DESDE O INÍCIO DO ISOLAMENTO SOCIAL. CARRO ERA USADO PARA VENDA DE SANDUÍCHES, ÚNICA RENDA DA FAMÍLIA.</t>
        </is>
      </c>
      <c r="J1002" t="inlineStr"/>
      <c r="K1002" t="n">
        <v>0</v>
      </c>
      <c r="L1002" t="n">
        <v>1</v>
      </c>
      <c r="M1002" t="n">
        <v>1</v>
      </c>
      <c r="N1002" t="n">
        <v>0</v>
      </c>
      <c r="O1002" t="n">
        <v>1</v>
      </c>
      <c r="P1002">
        <f>HYPERLINK("https://g1.globo.com/go/goias/noticia/2020/05/11/criminosos-roubam-carrinho-de-food-truck-em-rua-de-goiania.ghtml", "URL")</f>
        <v/>
      </c>
      <c r="Q1002">
        <f>HYPERLINK("https://raw.githubusercontent.com/marcosmapl/dataset_imigrantes/main/materias_filtered/g1/venezuelanos/2020/04_mai/html/g1_1ea42536-2320-11ed-b24f-6dbe51e79fca_3664.html", "HTML")</f>
        <v/>
      </c>
      <c r="R1002">
        <f>HYPERLINK("https://raw.githubusercontent.com/marcosmapl/dataset_imigrantes/main/materias_filtered/g1/venezuelanos/2020/04_mai/txt/g1_1ea42536-2320-11ed-b24f-6dbe51e79fca_3664.txt", "TXT")</f>
        <v/>
      </c>
    </row>
    <row r="1003">
      <c r="A1003" s="1" t="n">
        <v>1001</v>
      </c>
      <c r="B1003" t="n">
        <v>2020</v>
      </c>
      <c r="C1003" s="2" t="n">
        <v>43962.67763318287</v>
      </c>
      <c r="D1003" t="inlineStr">
        <is>
          <t>G1</t>
        </is>
      </c>
      <c r="E1003" t="inlineStr">
        <is>
          <t>VENEZUELANOS</t>
        </is>
      </c>
      <c r="F1003" t="inlineStr">
        <is>
          <t>RORAIMA</t>
        </is>
      </c>
      <c r="G1003" t="inlineStr">
        <is>
          <t>G1 RR — BOA VISTA</t>
        </is>
      </c>
      <c r="H1003" t="inlineStr">
        <is>
          <t>INDÍGENA VENEZUELANA MORRE DE CORONAVÍRUS EM RORAIMA</t>
        </is>
      </c>
      <c r="I1003" t="inlineStr">
        <is>
          <t>MULHER DA ETNIA WARAO, DE 59 ANOS, FICOU 10 DIAS INTERNADA NO HOSPITAL GERAL DE RORAIMA.</t>
        </is>
      </c>
      <c r="J1003" t="inlineStr"/>
      <c r="K1003" t="n">
        <v>0</v>
      </c>
      <c r="L1003" t="n">
        <v>1</v>
      </c>
      <c r="M1003" t="n">
        <v>0</v>
      </c>
      <c r="N1003" t="n">
        <v>0</v>
      </c>
      <c r="O1003" t="n">
        <v>7</v>
      </c>
      <c r="P1003">
        <f>HYPERLINK("https://g1.globo.com/rr/roraima/noticia/2020/05/11/indigena-venezuelana-morre-de-coronavirus-em-roraima.ghtml", "URL")</f>
        <v/>
      </c>
      <c r="Q1003">
        <f>HYPERLINK("https://raw.githubusercontent.com/marcosmapl/dataset_imigrantes/main/materias_filtered/g1/venezuelanos/2020/04_mai/html/g1_c9697b5a-2326-11ed-b24f-6dbe51e79fca_3998.html", "HTML")</f>
        <v/>
      </c>
      <c r="R1003">
        <f>HYPERLINK("https://raw.githubusercontent.com/marcosmapl/dataset_imigrantes/main/materias_filtered/g1/venezuelanos/2020/04_mai/txt/g1_c9697b5a-2326-11ed-b24f-6dbe51e79fca_3998.txt", "TXT")</f>
        <v/>
      </c>
    </row>
    <row r="1004">
      <c r="A1004" s="1" t="n">
        <v>1002</v>
      </c>
      <c r="B1004" t="n">
        <v>2020</v>
      </c>
      <c r="C1004" s="2" t="n">
        <v>43962.51307870371</v>
      </c>
      <c r="D1004" t="inlineStr">
        <is>
          <t>A CRITICA</t>
        </is>
      </c>
      <c r="E1004" t="inlineStr">
        <is>
          <t>VENEZUELANOS</t>
        </is>
      </c>
      <c r="F1004" t="inlineStr">
        <is>
          <t>SAUDE</t>
        </is>
      </c>
      <c r="G1004" t="inlineStr">
        <is>
          <t>AGÊNCIA BRASIL</t>
        </is>
      </c>
      <c r="H1004" t="inlineStr">
        <is>
          <t>REFUGIADOS E IMIGRANTES PROMOVEM CURSOS ONLINE DURANTE ISOLAMENTO</t>
        </is>
      </c>
      <c r="I1004" t="inlineStr">
        <is>
          <t>STARTUP MIGRAFLIX DE ROSALVA CARDONA E LESTER SILVA, QUE CHEGOU AO BRASIL EM 2015 PROMOVE TROCAS CULTURAIS NO AMBIENTE VIRTUAL</t>
        </is>
      </c>
      <c r="J1004" t="inlineStr"/>
      <c r="K1004" t="n">
        <v>0</v>
      </c>
      <c r="L1004" t="n">
        <v>1</v>
      </c>
      <c r="M1004" t="n">
        <v>0</v>
      </c>
      <c r="N1004" t="n">
        <v>0</v>
      </c>
      <c r="O1004" t="n">
        <v>0</v>
      </c>
      <c r="P1004">
        <f>HYPERLINK("https://www.acritica.com/saude/refugiados-e-imigrantes-promovem-cursos-online-durante-isolamento-1.42020", "URL")</f>
        <v/>
      </c>
      <c r="Q1004">
        <f>HYPERLINK("https://raw.githubusercontent.com/marcosmapl/dataset_imigrantes/main/materias_filtered/a_critica/venezuelanos/2020/04_mai/html/1.42020_222.html", "HTML")</f>
        <v/>
      </c>
      <c r="R1004">
        <f>HYPERLINK("https://raw.githubusercontent.com/marcosmapl/dataset_imigrantes/main/materias_filtered/a_critica/venezuelanos/2020/04_mai/txt/1.42020_222.txt", "TXT")</f>
        <v/>
      </c>
    </row>
    <row r="1005">
      <c r="A1005" s="1" t="n">
        <v>1003</v>
      </c>
      <c r="B1005" t="n">
        <v>2020</v>
      </c>
      <c r="C1005" s="2" t="n">
        <v>43962.42708333334</v>
      </c>
      <c r="D1005" t="inlineStr">
        <is>
          <t>PORTAL AMAZONIA</t>
        </is>
      </c>
      <c r="E1005" t="inlineStr">
        <is>
          <t>VENEZUELANOS</t>
        </is>
      </c>
      <c r="F1005" t="inlineStr">
        <is>
          <t>CULTURA,GASTRONOMIA,AMAZÔNIA INTERNACIONAL</t>
        </is>
      </c>
      <c r="G1005" t="inlineStr">
        <is>
          <t>PORTAL AMAZÔNIA, COM INFORMAÇÕES DA AGÊNCIA BRASIL</t>
        </is>
      </c>
      <c r="H1005" t="inlineStr">
        <is>
          <t>REFUGIADOS E IMIGRANTES PROMOVEM CURSOS ONLINE DURANTE ISOLAMENTO</t>
        </is>
      </c>
      <c r="I1005" t="inlineStr">
        <is>
          <t>COM A COVID-19, ELES PASSARAM A TER DIFICULDADES PARA GARANTIR RENDA.</t>
        </is>
      </c>
      <c r="J1005" t="inlineStr">
        <is>
          <t>ABRACO CULTURAL, AMAZÔNIA, AMAZÔNIA INTERNACIONAL, CULTURA, GASTRONOMIA, MIGRAFLIX, OPENTASTE</t>
        </is>
      </c>
      <c r="K1005" t="n">
        <v>7</v>
      </c>
      <c r="L1005" t="n">
        <v>3</v>
      </c>
      <c r="M1005" t="n">
        <v>0</v>
      </c>
      <c r="N1005" t="n">
        <v>0</v>
      </c>
      <c r="O1005" t="n">
        <v>23</v>
      </c>
      <c r="P1005">
        <f>HYPERLINK("https://portalamazonia.com/cultura/gastronomia/refugiados-e-imigrantes-promovem-cursos-online-durante-isolamento", "URL")</f>
        <v/>
      </c>
      <c r="Q1005">
        <f>HYPERLINK("https://raw.githubusercontent.com/marcosmapl/dataset_imigrantes/main/materias_filtered/portal_amazonia/venezuelanos/2020/04_mai/html/26714.35749_1469.html", "HTML")</f>
        <v/>
      </c>
      <c r="R1005">
        <f>HYPERLINK("https://raw.githubusercontent.com/marcosmapl/dataset_imigrantes/main/materias_filtered/portal_amazonia/venezuelanos/2020/04_mai/txt/26714.35749_1469.txt", "TXT")</f>
        <v/>
      </c>
    </row>
    <row r="1006">
      <c r="A1006" s="1" t="n">
        <v>1004</v>
      </c>
      <c r="B1006" t="n">
        <v>2020</v>
      </c>
      <c r="C1006" s="2" t="n">
        <v>43961.59862528935</v>
      </c>
      <c r="D1006" t="inlineStr">
        <is>
          <t>G1</t>
        </is>
      </c>
      <c r="E1006" t="inlineStr">
        <is>
          <t>VENEZUELANOS</t>
        </is>
      </c>
      <c r="F1006" t="inlineStr">
        <is>
          <t>POLÍTICA</t>
        </is>
      </c>
      <c r="G1006" t="inlineStr">
        <is>
          <t>MÁRCIO FALCÃO, TV GLOBO — BRASÍLIA</t>
        </is>
      </c>
      <c r="H1006" t="inlineStr">
        <is>
          <t>AGU CHAMA DE 'INTERFERÊNCIA' DECISÃO DO STF QUE SUSPENDEU EXPULSÃO DE VENEZUELANOS</t>
        </is>
      </c>
      <c r="I1006" t="inlineStr">
        <is>
          <t>ADVOCACIA GERAL DA UNIÃO DEFENDEU QUE MINISTRO LUÍS ROBERTO BARROSO REVEJA A SUSPENSÃO. EXPULSÃO DE DIPLOMATAS OCORRE EM MEIO A RUPTURA NAS RELAÇÕES ENTRE BRASIL E VENEZUELA.</t>
        </is>
      </c>
      <c r="J1006" t="inlineStr"/>
      <c r="K1006" t="n">
        <v>0</v>
      </c>
      <c r="L1006" t="n">
        <v>2</v>
      </c>
      <c r="M1006" t="n">
        <v>2</v>
      </c>
      <c r="N1006" t="n">
        <v>0</v>
      </c>
      <c r="O1006" t="n">
        <v>4</v>
      </c>
      <c r="P1006">
        <f>HYPERLINK("https://g1.globo.com/politica/noticia/2020/05/10/agu-chama-de-interferencia-decisao-do-stf-que-suspendeu-expulsao-venezuelanos.ghtml", "URL")</f>
        <v/>
      </c>
      <c r="Q1006">
        <f>HYPERLINK("https://raw.githubusercontent.com/marcosmapl/dataset_imigrantes/main/materias_filtered/g1/venezuelanos/2020/04_mai/html/g1_6b9e783e-2323-11ed-b24f-6dbe51e79fca_3806.html", "HTML")</f>
        <v/>
      </c>
      <c r="R1006">
        <f>HYPERLINK("https://raw.githubusercontent.com/marcosmapl/dataset_imigrantes/main/materias_filtered/g1/venezuelanos/2020/04_mai/txt/g1_6b9e783e-2323-11ed-b24f-6dbe51e79fca_3806.txt", "TXT")</f>
        <v/>
      </c>
    </row>
    <row r="1007">
      <c r="A1007" s="1" t="n">
        <v>1005</v>
      </c>
      <c r="B1007" t="n">
        <v>2020</v>
      </c>
      <c r="C1007" s="2" t="n">
        <v>43959.80013854166</v>
      </c>
      <c r="D1007" t="inlineStr">
        <is>
          <t>G1</t>
        </is>
      </c>
      <c r="E1007" t="inlineStr">
        <is>
          <t>VENEZUELANOS</t>
        </is>
      </c>
      <c r="F1007" t="inlineStr">
        <is>
          <t>MUNDO</t>
        </is>
      </c>
      <c r="G1007" t="inlineStr">
        <is>
          <t>FRANCE PRESSE</t>
        </is>
      </c>
      <c r="H1007" t="inlineStr">
        <is>
          <t>TRUMP NEGA SUPOSTO COMPLÔ NA VENEZUELA: 'SE QUISESSE, NÃO FARIA EM SEGREDO'</t>
        </is>
      </c>
      <c r="I1007" t="inlineStr">
        <is>
          <t>OPERAÇÃO NA COSTA VENEZUELANA E SUSPEITA DE QUE SUPOSTOS INVASORES AGIRAM COMANDADOS PELOS EUA ELEVOU O TOM DA CRISE ENTRE WASHINGTON E O REGIME DE NICOLÁS MADURO.</t>
        </is>
      </c>
      <c r="J1007" t="inlineStr"/>
      <c r="K1007" t="n">
        <v>0</v>
      </c>
      <c r="L1007" t="n">
        <v>3</v>
      </c>
      <c r="M1007" t="n">
        <v>1</v>
      </c>
      <c r="N1007" t="n">
        <v>0</v>
      </c>
      <c r="O1007" t="n">
        <v>7</v>
      </c>
      <c r="P1007">
        <f>HYPERLINK("https://g1.globo.com/mundo/noticia/2020/05/08/trump-nega-suposto-complo-na-venezuela-se-quisesse-nao-faria-em-segredo.ghtml", "URL")</f>
        <v/>
      </c>
      <c r="Q1007">
        <f>HYPERLINK("https://raw.githubusercontent.com/marcosmapl/dataset_imigrantes/main/materias_filtered/g1/venezuelanos/2020/04_mai/html/g1_24e50d1a-2321-11ed-b24f-6dbe51e79fca_3681.html", "HTML")</f>
        <v/>
      </c>
      <c r="R1007">
        <f>HYPERLINK("https://raw.githubusercontent.com/marcosmapl/dataset_imigrantes/main/materias_filtered/g1/venezuelanos/2020/04_mai/txt/g1_24e50d1a-2321-11ed-b24f-6dbe51e79fca_3681.txt", "TXT")</f>
        <v/>
      </c>
    </row>
    <row r="1008">
      <c r="A1008" s="1" t="n">
        <v>1006</v>
      </c>
      <c r="B1008" t="n">
        <v>2020</v>
      </c>
      <c r="C1008" s="2" t="n">
        <v>43958.67549142361</v>
      </c>
      <c r="D1008" t="inlineStr">
        <is>
          <t>G1</t>
        </is>
      </c>
      <c r="E1008" t="inlineStr">
        <is>
          <t>VENEZUELANOS</t>
        </is>
      </c>
      <c r="F1008" t="inlineStr">
        <is>
          <t>PARAÍBA</t>
        </is>
      </c>
      <c r="G1008" t="inlineStr">
        <is>
          <t>G1 PB</t>
        </is>
      </c>
      <c r="H1008" t="inlineStr">
        <is>
          <t>TESTAGEM CONFIRMA 40 INDÍGENAS VENEZUELANOS REFUGIADOS COM COVID-19 NA PARAÍBA</t>
        </is>
      </c>
      <c r="I1008" t="inlineStr">
        <is>
          <t>TESTAGEM FEITA EM 48 REFUGIADOS CONFIRMOU COVID-19 EM 40 INDÍGENAS, COM UM CASO DE INTUBAÇÃO DE UMA GRÁVIDA. PREFEITURA DE JOÃO PESSOA CONFIRMOU 59 VENEZUALANOS INFECTADOS NO TOTAL.</t>
        </is>
      </c>
      <c r="J1008" t="inlineStr"/>
      <c r="K1008" t="n">
        <v>0</v>
      </c>
      <c r="L1008" t="n">
        <v>2</v>
      </c>
      <c r="M1008" t="n">
        <v>1</v>
      </c>
      <c r="N1008" t="n">
        <v>0</v>
      </c>
      <c r="O1008" t="n">
        <v>0</v>
      </c>
      <c r="P1008">
        <f>HYPERLINK("https://g1.globo.com/pb/paraiba/noticia/2020/05/07/testagem-confirma-40-indigenas-venezuelanos-refugiados-com-covid-19-na-paraiba.ghtml", "URL")</f>
        <v/>
      </c>
      <c r="Q1008">
        <f>HYPERLINK("https://raw.githubusercontent.com/marcosmapl/dataset_imigrantes/main/materias_filtered/g1/venezuelanos/2020/04_mai/html/g1_6b2686a6-2325-11ed-b24f-6dbe51e79fca_3912.html", "HTML")</f>
        <v/>
      </c>
      <c r="R1008">
        <f>HYPERLINK("https://raw.githubusercontent.com/marcosmapl/dataset_imigrantes/main/materias_filtered/g1/venezuelanos/2020/04_mai/txt/g1_6b2686a6-2325-11ed-b24f-6dbe51e79fca_3912.txt", "TXT")</f>
        <v/>
      </c>
    </row>
    <row r="1009">
      <c r="A1009" s="1" t="n">
        <v>1007</v>
      </c>
      <c r="B1009" t="n">
        <v>2020</v>
      </c>
      <c r="C1009" s="2" t="n">
        <v>43957.89858796296</v>
      </c>
      <c r="D1009" t="inlineStr">
        <is>
          <t>A CRITICA</t>
        </is>
      </c>
      <c r="E1009" t="inlineStr">
        <is>
          <t>VENEZUELANOS</t>
        </is>
      </c>
      <c r="F1009" t="inlineStr">
        <is>
          <t>MANAUS</t>
        </is>
      </c>
      <c r="G1009" t="inlineStr">
        <is>
          <t>PORTAL A CRÍTICA</t>
        </is>
      </c>
      <c r="H1009" t="inlineStr">
        <is>
          <t>MAIS DE 15 TONELADAS DE ALIMENTOS SÃO ENTREGUES A ENTIDADES SOCIOASSISTENCIAIS DO AM</t>
        </is>
      </c>
      <c r="I1009" t="inlineStr">
        <is>
          <t>MAIS DE 700 TONELADAS DE PRODUTOS REGIONAIS DA AGRICULTURA LOCAL FORAM ADQUIRIDAS PELO GOVERNO DO AM E DISPONIBILIZADAS PARA PESSOAS EM VULNERABILIDADE SOCIAL</t>
        </is>
      </c>
      <c r="J1009" t="inlineStr"/>
      <c r="K1009" t="n">
        <v>0</v>
      </c>
      <c r="L1009" t="n">
        <v>1</v>
      </c>
      <c r="M1009" t="n">
        <v>0</v>
      </c>
      <c r="N1009" t="n">
        <v>0</v>
      </c>
      <c r="O1009" t="n">
        <v>0</v>
      </c>
      <c r="P1009">
        <f>HYPERLINK("https://www.acritica.com/manaus/mais-de-15-toneladas-de-alimentos-s-o-entregues-a-entidades-socioassistenciais-do-am-1.42306", "URL")</f>
        <v/>
      </c>
      <c r="Q1009">
        <f>HYPERLINK("https://raw.githubusercontent.com/marcosmapl/dataset_imigrantes/main/materias_filtered/a_critica/venezuelanos/2020/04_mai/html/1.42306_1225.html", "HTML")</f>
        <v/>
      </c>
      <c r="R1009">
        <f>HYPERLINK("https://raw.githubusercontent.com/marcosmapl/dataset_imigrantes/main/materias_filtered/a_critica/venezuelanos/2020/04_mai/txt/1.42306_1225.txt", "TXT")</f>
        <v/>
      </c>
    </row>
    <row r="1010">
      <c r="A1010" s="1" t="n">
        <v>1008</v>
      </c>
      <c r="B1010" t="n">
        <v>2020</v>
      </c>
      <c r="C1010" s="2" t="n">
        <v>43957.5671993287</v>
      </c>
      <c r="D1010" t="inlineStr">
        <is>
          <t>G1</t>
        </is>
      </c>
      <c r="E1010" t="inlineStr">
        <is>
          <t>VENEZUELANOS</t>
        </is>
      </c>
      <c r="F1010" t="inlineStr">
        <is>
          <t>DISTRITO FEDERAL</t>
        </is>
      </c>
      <c r="G1010" t="inlineStr">
        <is>
          <t>G1 DF</t>
        </is>
      </c>
      <c r="H1010" t="inlineStr">
        <is>
          <t>TRAFICANTE VENEZUELANO CONHECIDO COMO 'BARÃO DO SKUNK' É PRESO EM BRASÍLIA</t>
        </is>
      </c>
      <c r="I1010" t="inlineStr">
        <is>
          <t>IMIGRANTE VENDIA DROGAS POR MEIO DE APLICATIVO DE MENSAGENS. NA CASA DELE, NA ASA NORTE, FORAM APREENDIDOS TABLETES DE MACONHA E ENTORPECENTES SINTÉTICOS.</t>
        </is>
      </c>
      <c r="J1010" t="inlineStr"/>
      <c r="K1010" t="n">
        <v>0</v>
      </c>
      <c r="L1010" t="n">
        <v>2</v>
      </c>
      <c r="M1010" t="n">
        <v>1</v>
      </c>
      <c r="N1010" t="n">
        <v>0</v>
      </c>
      <c r="O1010" t="n">
        <v>3</v>
      </c>
      <c r="P1010">
        <f>HYPERLINK("https://g1.globo.com/df/distrito-federal/noticia/2020/05/06/traficante-venezuelano-conhecido-como-barao-do-skunk-e-preso-em-brasilia.ghtml", "URL")</f>
        <v/>
      </c>
      <c r="Q1010">
        <f>HYPERLINK("https://raw.githubusercontent.com/marcosmapl/dataset_imigrantes/main/materias_filtered/g1/venezuelanos/2020/04_mai/html/g1_3485ce66-2322-11ed-b24f-6dbe51e79fca_3741.html", "HTML")</f>
        <v/>
      </c>
      <c r="R1010">
        <f>HYPERLINK("https://raw.githubusercontent.com/marcosmapl/dataset_imigrantes/main/materias_filtered/g1/venezuelanos/2020/04_mai/txt/g1_3485ce66-2322-11ed-b24f-6dbe51e79fca_3741.txt", "TXT")</f>
        <v/>
      </c>
    </row>
    <row r="1011">
      <c r="A1011" s="1" t="n">
        <v>1009</v>
      </c>
      <c r="B1011" t="n">
        <v>2020</v>
      </c>
      <c r="C1011" s="2" t="n">
        <v>43957.12218278935</v>
      </c>
      <c r="D1011" t="inlineStr">
        <is>
          <t>G1</t>
        </is>
      </c>
      <c r="E1011" t="inlineStr">
        <is>
          <t>VENEZUELANOS</t>
        </is>
      </c>
      <c r="F1011" t="inlineStr">
        <is>
          <t>PARÁ</t>
        </is>
      </c>
      <c r="G1011" t="inlineStr">
        <is>
          <t>G1 PA — BELÉM</t>
        </is>
      </c>
      <c r="H1011" t="inlineStr">
        <is>
          <t>REFUGIADOS VENEZUELANOS COMEÇAM A SER REALOCADOS EM NOVO ESPAÇO DE ACOLHIMENTO, EM BELÉM</t>
        </is>
      </c>
      <c r="I1011" t="inlineStr">
        <is>
          <t>A MUDANÇA É REALIZADA DE MANEIRA GRADATIVA. AO TODO ESPAÇO VAI ACOLHER MAIS DE 400 VENEZUELANOS.</t>
        </is>
      </c>
      <c r="J1011" t="inlineStr"/>
      <c r="K1011" t="n">
        <v>0</v>
      </c>
      <c r="L1011" t="n">
        <v>1</v>
      </c>
      <c r="M1011" t="n">
        <v>0</v>
      </c>
      <c r="N1011" t="n">
        <v>0</v>
      </c>
      <c r="O1011" t="n">
        <v>0</v>
      </c>
      <c r="P1011">
        <f>HYPERLINK("https://g1.globo.com/pa/para/noticia/2020/05/05/refugiados-venezuelanos-comecam-a-ser-realocados-em-novo-espaco-de-acolhimento-em-belem.ghtml", "URL")</f>
        <v/>
      </c>
      <c r="Q1011">
        <f>HYPERLINK("https://raw.githubusercontent.com/marcosmapl/dataset_imigrantes/main/materias_filtered/g1/venezuelanos/2020/04_mai/html/g1_ea6e9694-2328-11ed-b24f-6dbe51e79fca_4089.html", "HTML")</f>
        <v/>
      </c>
      <c r="R1011">
        <f>HYPERLINK("https://raw.githubusercontent.com/marcosmapl/dataset_imigrantes/main/materias_filtered/g1/venezuelanos/2020/04_mai/txt/g1_ea6e9694-2328-11ed-b24f-6dbe51e79fca_4089.txt", "TXT")</f>
        <v/>
      </c>
    </row>
    <row r="1012">
      <c r="A1012" s="1" t="n">
        <v>1010</v>
      </c>
      <c r="B1012" t="n">
        <v>2020</v>
      </c>
      <c r="C1012" s="2" t="n">
        <v>43956.70928209491</v>
      </c>
      <c r="D1012" t="inlineStr">
        <is>
          <t>G1</t>
        </is>
      </c>
      <c r="E1012" t="inlineStr">
        <is>
          <t>VENEZUELANOS</t>
        </is>
      </c>
      <c r="F1012" t="inlineStr">
        <is>
          <t>PERNAMBUCO</t>
        </is>
      </c>
      <c r="G1012" t="inlineStr">
        <is>
          <t>G1 PE</t>
        </is>
      </c>
      <c r="H1012" t="inlineStr">
        <is>
          <t>REFUGIADO VENEZUELANO MORRE COM COVID-19 EM ABRIGO NO RECIFE</t>
        </is>
      </c>
      <c r="I1012" t="inlineStr">
        <is>
          <t>SEGUNDO A SECRETARIA DE SAÚDE DO RECIFE, IDOSO TINHA 81 ANOS E VEIO A ÓBITO NO ABRIGO LOCALIZADO NO BAIRRO DOS COELHOS, NA REGIÃO CENTRAL DA CAPITAL PERNAMBUCANA.</t>
        </is>
      </c>
      <c r="J1012" t="inlineStr"/>
      <c r="K1012" t="n">
        <v>0</v>
      </c>
      <c r="L1012" t="n">
        <v>2</v>
      </c>
      <c r="M1012" t="n">
        <v>1</v>
      </c>
      <c r="N1012" t="n">
        <v>0</v>
      </c>
      <c r="O1012" t="n">
        <v>13</v>
      </c>
      <c r="P1012">
        <f>HYPERLINK("https://g1.globo.com/pe/pernambuco/noticia/2020/05/05/refugiado-venezuelano-morre-com-covid-19-em-abrigo-no-recife.ghtml", "URL")</f>
        <v/>
      </c>
      <c r="Q1012">
        <f>HYPERLINK("https://raw.githubusercontent.com/marcosmapl/dataset_imigrantes/main/materias_filtered/g1/venezuelanos/2020/04_mai/html/g1_10fc5574-2326-11ed-b24f-6dbe51e79fca_3953.html", "HTML")</f>
        <v/>
      </c>
      <c r="R1012">
        <f>HYPERLINK("https://raw.githubusercontent.com/marcosmapl/dataset_imigrantes/main/materias_filtered/g1/venezuelanos/2020/04_mai/txt/g1_10fc5574-2326-11ed-b24f-6dbe51e79fca_3953.txt", "TXT")</f>
        <v/>
      </c>
    </row>
    <row r="1013">
      <c r="A1013" s="1" t="n">
        <v>1011</v>
      </c>
      <c r="B1013" t="n">
        <v>2020</v>
      </c>
      <c r="C1013" s="2" t="n">
        <v>43956.05973484954</v>
      </c>
      <c r="D1013" t="inlineStr">
        <is>
          <t>G1</t>
        </is>
      </c>
      <c r="E1013" t="inlineStr">
        <is>
          <t>VENEZUELANOS</t>
        </is>
      </c>
      <c r="F1013" t="inlineStr">
        <is>
          <t>MUNDO</t>
        </is>
      </c>
      <c r="G1013" t="inlineStr">
        <is>
          <t>REUTERS</t>
        </is>
      </c>
      <c r="H1013" t="inlineStr">
        <is>
          <t>APÓS SUPOSTA 'INVASÃO DE MERCENÁRIOS' DA COLÔMBIA À VENEZUELA, GOVERNO CHAVISTA ANUNCIA PRISÕES</t>
        </is>
      </c>
      <c r="I1013" t="inlineStr">
        <is>
          <t>OPOSIÇÃO AO REGIME DE NICOLÁS MADURO CHAMA DE ENCENAÇÃO INCIDENTE NA COSTA VENEZUELANA.</t>
        </is>
      </c>
      <c r="J1013" t="inlineStr"/>
      <c r="K1013" t="n">
        <v>0</v>
      </c>
      <c r="L1013" t="n">
        <v>2</v>
      </c>
      <c r="M1013" t="n">
        <v>0</v>
      </c>
      <c r="N1013" t="n">
        <v>0</v>
      </c>
      <c r="O1013" t="n">
        <v>3</v>
      </c>
      <c r="P1013">
        <f>HYPERLINK("https://g1.globo.com/mundo/noticia/2020/05/04/apos-suposta-invasao-de-mercenarios-da-colombia-a-venezuela-governo-chavista-anuncia-prisoes.ghtml", "URL")</f>
        <v/>
      </c>
      <c r="Q1013">
        <f>HYPERLINK("https://raw.githubusercontent.com/marcosmapl/dataset_imigrantes/main/materias_filtered/g1/venezuelanos/2020/04_mai/html/g1_1d9d0d64-2312-11ed-b24f-6dbe51e79fca_2949.html", "HTML")</f>
        <v/>
      </c>
      <c r="R1013">
        <f>HYPERLINK("https://raw.githubusercontent.com/marcosmapl/dataset_imigrantes/main/materias_filtered/g1/venezuelanos/2020/04_mai/txt/g1_1d9d0d64-2312-11ed-b24f-6dbe51e79fca_2949.txt", "TXT")</f>
        <v/>
      </c>
    </row>
    <row r="1014">
      <c r="A1014" s="1" t="n">
        <v>1012</v>
      </c>
      <c r="B1014" t="n">
        <v>2020</v>
      </c>
      <c r="C1014" s="2" t="n">
        <v>43954.86876157407</v>
      </c>
      <c r="D1014" t="inlineStr">
        <is>
          <t>A CRITICA</t>
        </is>
      </c>
      <c r="E1014" t="inlineStr">
        <is>
          <t>VENEZUELANOS</t>
        </is>
      </c>
      <c r="F1014" t="inlineStr">
        <is>
          <t>POLICIA</t>
        </is>
      </c>
      <c r="G1014" t="inlineStr">
        <is>
          <t>JAN NOGUEIRA</t>
        </is>
      </c>
      <c r="H1014" t="inlineStr">
        <is>
          <t>HOMEM É PRESO EM FLAGRANTE SUSPEITO DE ESTUPRAR MENINA DE 12 ANOS</t>
        </is>
      </c>
      <c r="I1014" t="inlineStr">
        <is>
          <t>CRIME OCORREU EM UM CONSULTÓRIO ODONTOLÓGICO, NA CACHOEIRINHA, ZONA SUL DE MANAUS. HOMEM FOI PRESO APÓS A CRIANÇA RELATAR O OCORRIDO AOS PAIS</t>
        </is>
      </c>
      <c r="J1014" t="inlineStr"/>
      <c r="K1014" t="n">
        <v>0</v>
      </c>
      <c r="L1014" t="n">
        <v>1</v>
      </c>
      <c r="M1014" t="n">
        <v>0</v>
      </c>
      <c r="N1014" t="n">
        <v>0</v>
      </c>
      <c r="O1014" t="n">
        <v>0</v>
      </c>
      <c r="P1014">
        <f>HYPERLINK("https://www.acritica.com/policia/homem-e-preso-em-flagrante-suspeito-de-estuprar-menina-de-12-anos-1.42569", "URL")</f>
        <v/>
      </c>
      <c r="Q1014">
        <f>HYPERLINK("https://raw.githubusercontent.com/marcosmapl/dataset_imigrantes/main/materias_filtered/a_critica/venezuelanos/2020/04_mai/html/1.42569_38.html", "HTML")</f>
        <v/>
      </c>
      <c r="R1014">
        <f>HYPERLINK("https://raw.githubusercontent.com/marcosmapl/dataset_imigrantes/main/materias_filtered/a_critica/venezuelanos/2020/04_mai/txt/1.42569_38.txt", "TXT")</f>
        <v/>
      </c>
    </row>
    <row r="1015">
      <c r="A1015" s="1" t="n">
        <v>1013</v>
      </c>
      <c r="B1015" t="n">
        <v>2020</v>
      </c>
      <c r="C1015" s="2" t="n">
        <v>43954.73541666667</v>
      </c>
      <c r="D1015" t="inlineStr">
        <is>
          <t>A CRITICA</t>
        </is>
      </c>
      <c r="E1015" t="inlineStr">
        <is>
          <t>VENEZUELANOS</t>
        </is>
      </c>
      <c r="F1015" t="inlineStr">
        <is>
          <t>MANAUS</t>
        </is>
      </c>
      <c r="G1015" t="inlineStr">
        <is>
          <t>LANE AZEVEDO</t>
        </is>
      </c>
      <c r="H1015" t="inlineStr">
        <is>
          <t>'BOLSONECO' É ERGUIDO POR MANIFESTANTES EM ATO DE APOIO A BOLSONARO EM MANAUS</t>
        </is>
      </c>
      <c r="I1015" t="inlineStr">
        <is>
          <t>MANIFESTAÇÃO BOLSONARISTA TAMBÉM FOI REGISTRADA EM OUTRAS CIDADES DO PAÍS. EM BRASÍLIA, OS MANIFESTANTES FURAM O ISOLAMENTO SOCIAL E SE AGLOMERAM EM FRENTE AO MUSEU DA REPÚBLICA, E DA CATEDRAL DE BRASÍLIA. HÁ REGISTRO DE VIOLÊNCIA EM ALGUNS ATOS</t>
        </is>
      </c>
      <c r="J1015" t="inlineStr"/>
      <c r="K1015" t="n">
        <v>0</v>
      </c>
      <c r="L1015" t="n">
        <v>1</v>
      </c>
      <c r="M1015" t="n">
        <v>0</v>
      </c>
      <c r="N1015" t="n">
        <v>0</v>
      </c>
      <c r="O1015" t="n">
        <v>0</v>
      </c>
      <c r="P1015">
        <f>HYPERLINK("https://www.acritica.com/manaus/bolsoneco-e-erguido-por-manifestantes-em-ato-de-apoio-a-bolsonaro-em-manaus-1.42579", "URL")</f>
        <v/>
      </c>
      <c r="Q1015">
        <f>HYPERLINK("https://raw.githubusercontent.com/marcosmapl/dataset_imigrantes/main/materias_filtered/a_critica/venezuelanos/2020/04_mai/html/1.42579_695.html", "HTML")</f>
        <v/>
      </c>
      <c r="R1015">
        <f>HYPERLINK("https://raw.githubusercontent.com/marcosmapl/dataset_imigrantes/main/materias_filtered/a_critica/venezuelanos/2020/04_mai/txt/1.42579_695.txt", "TXT")</f>
        <v/>
      </c>
    </row>
    <row r="1016">
      <c r="A1016" s="1" t="n">
        <v>1014</v>
      </c>
      <c r="B1016" t="n">
        <v>2020</v>
      </c>
      <c r="C1016" s="2" t="n">
        <v>43953.80948746527</v>
      </c>
      <c r="D1016" t="inlineStr">
        <is>
          <t>G1</t>
        </is>
      </c>
      <c r="E1016" t="inlineStr">
        <is>
          <t>VENEZUELANOS</t>
        </is>
      </c>
      <c r="F1016" t="inlineStr">
        <is>
          <t>POLÍTICA</t>
        </is>
      </c>
      <c r="G1016" t="inlineStr">
        <is>
          <t>MÁRCIO FALCÃO, TV GLOBO — BRASÍLIA</t>
        </is>
      </c>
      <c r="H1016" t="inlineStr">
        <is>
          <t>MINISTRO DO STF SUSPENDE EXPULSÃO DE 34 DIPLOMATAS VENEZUELANOS DO BRASIL</t>
        </is>
      </c>
      <c r="I1016" t="inlineStr">
        <is>
          <t>LUÍS ROBERTO BARROSO DEU PRAZO DE DEZ DIAS PARA O GOVERNO FEDERAL APRESENTAR EXPLICAÇÕES. MINISTRO ATENDEU PEDIDO FEITO PELO DEPUTADO FEDERAL PAULO PIMENTA (PT-RS).</t>
        </is>
      </c>
      <c r="J1016" t="inlineStr"/>
      <c r="K1016" t="n">
        <v>0</v>
      </c>
      <c r="L1016" t="n">
        <v>2</v>
      </c>
      <c r="M1016" t="n">
        <v>2</v>
      </c>
      <c r="N1016" t="n">
        <v>0</v>
      </c>
      <c r="O1016" t="n">
        <v>10</v>
      </c>
      <c r="P1016">
        <f>HYPERLINK("https://g1.globo.com/politica/noticia/2020/05/02/ministro-do-stf-suspende-expulsao-de-34-diplomatas-venezuelanos-do-brasil.ghtml", "URL")</f>
        <v/>
      </c>
      <c r="Q1016">
        <f>HYPERLINK("https://raw.githubusercontent.com/marcosmapl/dataset_imigrantes/main/materias_filtered/g1/venezuelanos/2020/04_mai/html/g1_a0cf3942-2316-11ed-b24f-6dbe51e79fca_3160.html", "HTML")</f>
        <v/>
      </c>
      <c r="R1016">
        <f>HYPERLINK("https://raw.githubusercontent.com/marcosmapl/dataset_imigrantes/main/materias_filtered/g1/venezuelanos/2020/04_mai/txt/g1_a0cf3942-2316-11ed-b24f-6dbe51e79fca_3160.txt", "TXT")</f>
        <v/>
      </c>
    </row>
    <row r="1017">
      <c r="A1017" s="1" t="n">
        <v>1015</v>
      </c>
      <c r="B1017" t="n">
        <v>2020</v>
      </c>
      <c r="C1017" s="2" t="n">
        <v>43953.49363425926</v>
      </c>
      <c r="D1017" t="inlineStr">
        <is>
          <t>A CRITICA</t>
        </is>
      </c>
      <c r="E1017" t="inlineStr">
        <is>
          <t>VENEZUELANOS</t>
        </is>
      </c>
      <c r="F1017" t="inlineStr"/>
      <c r="G1017" t="inlineStr">
        <is>
          <t>AGÊNCIA BRASIL</t>
        </is>
      </c>
      <c r="H1017" t="inlineStr">
        <is>
          <t>PGR PEDE QUE ITAMARATY SUSPENDA SAÍDA DE DIPLOMATAS VENEZUELANOS</t>
        </is>
      </c>
      <c r="I1017" t="inlineStr">
        <is>
          <t>ALÉM DO CORPO DIPLOMÁTICO, A PROVIDÊNCIA SUGERIDA PELO PROCURADOR-GERAL, AUGUSTO ARAS, DEVE ALCANÇAR AS PESSOAS QUE ATUAM NOS SERVIÇOS DE APOIO E SEUS RESPECTIVOS FAMILIARES.</t>
        </is>
      </c>
      <c r="J1017" t="inlineStr"/>
      <c r="K1017" t="n">
        <v>0</v>
      </c>
      <c r="L1017" t="n">
        <v>1</v>
      </c>
      <c r="M1017" t="n">
        <v>0</v>
      </c>
      <c r="N1017" t="n">
        <v>0</v>
      </c>
      <c r="O1017" t="n">
        <v>0</v>
      </c>
      <c r="P1017">
        <f>HYPERLINK("https://www.acritica.com/pgr-pede-que-itamaraty-suspenda-saida-de-diplomatas-venezuelanos-1.42684", "URL")</f>
        <v/>
      </c>
      <c r="Q1017">
        <f>HYPERLINK("https://raw.githubusercontent.com/marcosmapl/dataset_imigrantes/main/materias_filtered/a_critica/venezuelanos/2020/04_mai/html/1.42684_197.html", "HTML")</f>
        <v/>
      </c>
      <c r="R1017">
        <f>HYPERLINK("https://raw.githubusercontent.com/marcosmapl/dataset_imigrantes/main/materias_filtered/a_critica/venezuelanos/2020/04_mai/txt/1.42684_197.txt", "TXT")</f>
        <v/>
      </c>
    </row>
    <row r="1018">
      <c r="A1018" s="1" t="n">
        <v>1016</v>
      </c>
      <c r="B1018" t="n">
        <v>2020</v>
      </c>
      <c r="C1018" s="2" t="n">
        <v>43953.02193262731</v>
      </c>
      <c r="D1018" t="inlineStr">
        <is>
          <t>G1</t>
        </is>
      </c>
      <c r="E1018" t="inlineStr">
        <is>
          <t>VENEZUELANOS</t>
        </is>
      </c>
      <c r="F1018" t="inlineStr">
        <is>
          <t>JORNAL NACIONAL</t>
        </is>
      </c>
      <c r="G1018" t="inlineStr">
        <is>
          <t>JORNAL NACIONAL</t>
        </is>
      </c>
      <c r="H1018" t="inlineStr">
        <is>
          <t>PGR RECOMENDA AO ITAMARATY QUE SUSPENDA ORDEM PARA DIPLOMATAS VENEZUELANOS DEIXAREM O PAÍS</t>
        </is>
      </c>
      <c r="I1018" t="inlineStr">
        <is>
          <t>EM MARÇO, O BRASIL RETIROU DIPLOMATAS DA VENEZUELA E NEGOCIOU UM PRAZO PARA QUE O PAÍS VIZINHO FIZESSE O MESMO.</t>
        </is>
      </c>
      <c r="J1018" t="inlineStr"/>
      <c r="K1018" t="n">
        <v>0</v>
      </c>
      <c r="L1018" t="n">
        <v>1</v>
      </c>
      <c r="M1018" t="n">
        <v>1</v>
      </c>
      <c r="N1018" t="n">
        <v>0</v>
      </c>
      <c r="O1018" t="n">
        <v>0</v>
      </c>
      <c r="P1018">
        <f>HYPERLINK("https://g1.globo.com/jornal-nacional/noticia/2020/05/01/pgr-recomenda-ao-itamaraty-que-suspenda-ordem-para-diplomatas-venezuelanos-deixarem-o-pais.ghtml", "URL")</f>
        <v/>
      </c>
      <c r="Q1018">
        <f>HYPERLINK("https://raw.githubusercontent.com/marcosmapl/dataset_imigrantes/main/materias_filtered/g1/venezuelanos/2020/04_mai/html/g1_535dd574-2311-11ed-b24f-6dbe51e79fca_2911.html", "HTML")</f>
        <v/>
      </c>
      <c r="R1018">
        <f>HYPERLINK("https://raw.githubusercontent.com/marcosmapl/dataset_imigrantes/main/materias_filtered/g1/venezuelanos/2020/04_mai/txt/g1_535dd574-2311-11ed-b24f-6dbe51e79fca_2911.txt", "TXT")</f>
        <v/>
      </c>
    </row>
    <row r="1019">
      <c r="A1019" s="1" t="n">
        <v>1017</v>
      </c>
      <c r="B1019" t="n">
        <v>2020</v>
      </c>
      <c r="C1019" s="2" t="n">
        <v>43952.55561178241</v>
      </c>
      <c r="D1019" t="inlineStr">
        <is>
          <t>G1</t>
        </is>
      </c>
      <c r="E1019" t="inlineStr">
        <is>
          <t>VENEZUELANOS</t>
        </is>
      </c>
      <c r="F1019" t="inlineStr">
        <is>
          <t>POLÍTICA</t>
        </is>
      </c>
      <c r="G1019" t="inlineStr">
        <is>
          <t>MÁRCIO FALCÃO, TV GLOBO — BRASÍLIA</t>
        </is>
      </c>
      <c r="H1019" t="inlineStr">
        <is>
          <t>PGR PEDE AO ITAMARATY QUE SUSPENDA DECISÃO DE DETERMINAR SAÍDA DE DIPLOMATAS VENEZUELANOS</t>
        </is>
      </c>
      <c r="I1019" t="inlineStr">
        <is>
          <t>MINISTÉRIO DAS RELAÇÕES EXTERIORES ENVIOU OFÍCIO À EMBAIXADA DA VENEZUELA PARA INFORMAR QUE DIPLOMATAS TÊM ATÉ 2 DE MAIO PARA DEIXAR O BRASIL. PGR DIZ QUE ATO VIOLA TRATADOS INTERNACIONAIS.</t>
        </is>
      </c>
      <c r="J1019" t="inlineStr"/>
      <c r="K1019" t="n">
        <v>0</v>
      </c>
      <c r="L1019" t="n">
        <v>2</v>
      </c>
      <c r="M1019" t="n">
        <v>1</v>
      </c>
      <c r="N1019" t="n">
        <v>0</v>
      </c>
      <c r="O1019" t="n">
        <v>7</v>
      </c>
      <c r="P1019">
        <f>HYPERLINK("https://g1.globo.com/politica/noticia/2020/05/01/pgr-pede-ao-itamaraty-que-suspenda-decisao-de-determinar-saida-de-diplomatas-venezuelanos.ghtml", "URL")</f>
        <v/>
      </c>
      <c r="Q1019">
        <f>HYPERLINK("https://raw.githubusercontent.com/marcosmapl/dataset_imigrantes/main/materias_filtered/g1/venezuelanos/2020/04_mai/html/g1_a4b816a8-2318-11ed-b24f-6dbe51e79fca_3271.html", "HTML")</f>
        <v/>
      </c>
      <c r="R1019">
        <f>HYPERLINK("https://raw.githubusercontent.com/marcosmapl/dataset_imigrantes/main/materias_filtered/g1/venezuelanos/2020/04_mai/txt/g1_a4b816a8-2318-11ed-b24f-6dbe51e79fca_3271.txt", "TXT")</f>
        <v/>
      </c>
    </row>
    <row r="1020">
      <c r="A1020" s="1" t="n">
        <v>1018</v>
      </c>
      <c r="B1020" t="n">
        <v>2020</v>
      </c>
      <c r="C1020" s="2" t="n">
        <v>43951.91597222222</v>
      </c>
      <c r="D1020" t="inlineStr">
        <is>
          <t>A CRITICA</t>
        </is>
      </c>
      <c r="E1020" t="inlineStr">
        <is>
          <t>VENEZUELANOS</t>
        </is>
      </c>
      <c r="F1020" t="inlineStr">
        <is>
          <t>ESPORTES</t>
        </is>
      </c>
      <c r="G1020" t="inlineStr">
        <is>
          <t>LEONARDO SENA</t>
        </is>
      </c>
      <c r="H1020" t="inlineStr">
        <is>
          <t>3B SPORT PROMOVE ENTREGAS DE 500 MÁSCARAS E 300 CESTAS BÁSICAS NA APARECIDA</t>
        </is>
      </c>
      <c r="I1020" t="inlineStr">
        <is>
          <t>AÇÃO ACONTECE NO BAIRRO ONDE ESTÁ SITUADO O CENTRO DE TREINAMENTO DO CLUBE E VAI CONTAR COM A PRESENÇA DE JOGADORAS DO ELENCO</t>
        </is>
      </c>
      <c r="J1020" t="inlineStr"/>
      <c r="K1020" t="n">
        <v>0</v>
      </c>
      <c r="L1020" t="n">
        <v>1</v>
      </c>
      <c r="M1020" t="n">
        <v>0</v>
      </c>
      <c r="N1020" t="n">
        <v>0</v>
      </c>
      <c r="O1020" t="n">
        <v>0</v>
      </c>
      <c r="P1020">
        <f>HYPERLINK("https://www.acritica.com/esportes/3b-sport-promove-entregas-de-500-mascaras-e-300-cestas-basicas-na-aparecida-1.42747", "URL")</f>
        <v/>
      </c>
      <c r="Q1020">
        <f>HYPERLINK("https://raw.githubusercontent.com/marcosmapl/dataset_imigrantes/main/materias_filtered/a_critica/venezuelanos/2020/03_abr/html/1.42747_1132.html", "HTML")</f>
        <v/>
      </c>
      <c r="R1020">
        <f>HYPERLINK("https://raw.githubusercontent.com/marcosmapl/dataset_imigrantes/main/materias_filtered/a_critica/venezuelanos/2020/03_abr/txt/1.42747_1132.txt", "TXT")</f>
        <v/>
      </c>
    </row>
    <row r="1021">
      <c r="A1021" s="1" t="n">
        <v>1019</v>
      </c>
      <c r="B1021" t="n">
        <v>2020</v>
      </c>
      <c r="C1021" s="2" t="n">
        <v>43951.65547453704</v>
      </c>
      <c r="D1021" t="inlineStr">
        <is>
          <t>A CRITICA</t>
        </is>
      </c>
      <c r="E1021" t="inlineStr">
        <is>
          <t>VENEZUELANOS</t>
        </is>
      </c>
      <c r="F1021" t="inlineStr"/>
      <c r="G1021" t="inlineStr">
        <is>
          <t>PORTAL A CRÍTICA</t>
        </is>
      </c>
      <c r="H1021" t="inlineStr">
        <is>
          <t>ALIMENTOS DOADOS PELA SEJUSC DEVEM BENEFICIAR 5 MIL PESSOAS NO AM</t>
        </is>
      </c>
      <c r="I1021" t="inlineStr">
        <is>
          <t>CERCA DE 101 INSTITUIÇÕES SOCIAIS EM TODO O ESTADO DEVEM SER ABASTECIDAS COM 90 TONELADAS DE ALIMENTOS</t>
        </is>
      </c>
      <c r="J1021" t="inlineStr"/>
      <c r="K1021" t="n">
        <v>0</v>
      </c>
      <c r="L1021" t="n">
        <v>1</v>
      </c>
      <c r="M1021" t="n">
        <v>0</v>
      </c>
      <c r="N1021" t="n">
        <v>0</v>
      </c>
      <c r="O1021" t="n">
        <v>0</v>
      </c>
      <c r="P1021">
        <f>HYPERLINK("https://www.acritica.com/alimentos-doados-pela-sejusc-devem-beneficiar-5-mil-pessoas-no-am-1.42822", "URL")</f>
        <v/>
      </c>
      <c r="Q1021">
        <f>HYPERLINK("https://raw.githubusercontent.com/marcosmapl/dataset_imigrantes/main/materias_filtered/a_critica/venezuelanos/2020/03_abr/html/1.42822_1315.html", "HTML")</f>
        <v/>
      </c>
      <c r="R1021">
        <f>HYPERLINK("https://raw.githubusercontent.com/marcosmapl/dataset_imigrantes/main/materias_filtered/a_critica/venezuelanos/2020/03_abr/txt/1.42822_1315.txt", "TXT")</f>
        <v/>
      </c>
    </row>
    <row r="1022">
      <c r="A1022" s="1" t="n">
        <v>1020</v>
      </c>
      <c r="B1022" t="n">
        <v>2020</v>
      </c>
      <c r="C1022" s="2" t="n">
        <v>43951.60348296296</v>
      </c>
      <c r="D1022" t="inlineStr">
        <is>
          <t>G1</t>
        </is>
      </c>
      <c r="E1022" t="inlineStr">
        <is>
          <t>VENEZUELANOS</t>
        </is>
      </c>
      <c r="F1022" t="inlineStr">
        <is>
          <t>PARAÍBA</t>
        </is>
      </c>
      <c r="G1022" t="inlineStr">
        <is>
          <t>G1 PB</t>
        </is>
      </c>
      <c r="H1022" t="inlineStr">
        <is>
          <t>DEFENSORIA RECOMENDA ACOLHIMENTO DE VENEZUELANOS À PREFEITURA DE CAMPINA GRANDE</t>
        </is>
      </c>
      <c r="I1022" t="inlineStr">
        <is>
          <t>ENTRE AS RECOMENDAÇÕES ESTÁ O ACELERAMENTO DAS OBRAS DE UMA ESCOLA DESATIVADA PARA O ACOLHIMENTO DE IMIGRANTES VENEZUELANOS REFUGIADOS NO MUNICÍPIO.</t>
        </is>
      </c>
      <c r="J1022" t="inlineStr"/>
      <c r="K1022" t="n">
        <v>0</v>
      </c>
      <c r="L1022" t="n">
        <v>2</v>
      </c>
      <c r="M1022" t="n">
        <v>0</v>
      </c>
      <c r="N1022" t="n">
        <v>0</v>
      </c>
      <c r="O1022" t="n">
        <v>0</v>
      </c>
      <c r="P1022">
        <f>HYPERLINK("https://g1.globo.com/pb/paraiba/noticia/2020/04/30/defensoria-recomenda-acolhimento-de-venezuelanos-a-prefeitura-de-campina-grande.ghtml", "URL")</f>
        <v/>
      </c>
      <c r="Q1022">
        <f>HYPERLINK("https://raw.githubusercontent.com/marcosmapl/dataset_imigrantes/main/materias_filtered/g1/venezuelanos/2020/03_abr/html/g1_c0518136-231a-11ed-b24f-6dbe51e79fca_3351.html", "HTML")</f>
        <v/>
      </c>
      <c r="R1022">
        <f>HYPERLINK("https://raw.githubusercontent.com/marcosmapl/dataset_imigrantes/main/materias_filtered/g1/venezuelanos/2020/03_abr/txt/g1_c0518136-231a-11ed-b24f-6dbe51e79fca_3351.txt", "TXT")</f>
        <v/>
      </c>
    </row>
    <row r="1023">
      <c r="A1023" s="1" t="n">
        <v>1021</v>
      </c>
      <c r="B1023" t="n">
        <v>2020</v>
      </c>
      <c r="C1023" s="2" t="n">
        <v>43951.52777777778</v>
      </c>
      <c r="D1023" t="inlineStr">
        <is>
          <t>A CRITICA</t>
        </is>
      </c>
      <c r="E1023" t="inlineStr">
        <is>
          <t>VENEZUELANOS</t>
        </is>
      </c>
      <c r="F1023" t="inlineStr">
        <is>
          <t>OPINIAO</t>
        </is>
      </c>
      <c r="G1023" t="inlineStr">
        <is>
          <t>DULCE RODRIGUEZ</t>
        </is>
      </c>
      <c r="H1023" t="inlineStr">
        <is>
          <t>NÃO VAI FALTAR COMIDA NO PRATO DOS BRASILEIROS</t>
        </is>
      </c>
      <c r="I1023" t="inlineStr">
        <is>
          <t>ESTOU CIENTE QUE O GOVERNO SÓ CUMPRE COM SEU DEVER E CONCORDO QUE FOI PARA ISSO QUE FORAM ELEITOS, MAS TENHA A CERTEZA QUE EM OUTROS PAÍSES, NA REAL, AS AUTORIDADES NÃO SE IMPORTAM COM A FOME DO POVO</t>
        </is>
      </c>
      <c r="J1023" t="inlineStr">
        <is>
          <t>VIDA-DE-IMIGRANTE</t>
        </is>
      </c>
      <c r="K1023" t="n">
        <v>1</v>
      </c>
      <c r="L1023" t="n">
        <v>1</v>
      </c>
      <c r="M1023" t="n">
        <v>0</v>
      </c>
      <c r="N1023" t="n">
        <v>0</v>
      </c>
      <c r="O1023" t="n">
        <v>1</v>
      </c>
      <c r="P1023">
        <f>HYPERLINK("https://www.acritica.com/opiniao/n-o-vai-faltar-comida-no-prato-dos-brasileiros-1.215905", "URL")</f>
        <v/>
      </c>
      <c r="Q1023">
        <f>HYPERLINK("https://raw.githubusercontent.com/marcosmapl/dataset_imigrantes/main/materias_filtered/a_critica/venezuelanos/2020/03_abr/html/1.215905_609.html", "HTML")</f>
        <v/>
      </c>
      <c r="R1023">
        <f>HYPERLINK("https://raw.githubusercontent.com/marcosmapl/dataset_imigrantes/main/materias_filtered/a_critica/venezuelanos/2020/03_abr/txt/1.215905_609.txt", "TXT")</f>
        <v/>
      </c>
    </row>
    <row r="1024">
      <c r="A1024" s="1" t="n">
        <v>1022</v>
      </c>
      <c r="B1024" t="n">
        <v>2020</v>
      </c>
      <c r="C1024" s="2" t="n">
        <v>43951.11268170139</v>
      </c>
      <c r="D1024" t="inlineStr">
        <is>
          <t>G1</t>
        </is>
      </c>
      <c r="E1024" t="inlineStr">
        <is>
          <t>VENEZUELANOS</t>
        </is>
      </c>
      <c r="F1024" t="inlineStr">
        <is>
          <t>PERNAMBUCO</t>
        </is>
      </c>
      <c r="G1024" t="inlineStr">
        <is>
          <t>BRUNO FONTES, TV GLOBO</t>
        </is>
      </c>
      <c r="H1024" t="inlineStr">
        <is>
          <t>VENEZUELANOS QUE VIVIAM EM RUAS DO RECIFE GANHAM MORADIA PROVISÓRIA E ALIMENTOS PARA SE PREVENIR DA COVID-19</t>
        </is>
      </c>
      <c r="I1024" t="inlineStr">
        <is>
          <t>GRUPO DE REFUGIADOS DA VENEZUELA RECEBE ASSISTÊNCIA DA CÁRITAS BRASILEIRA, UMA ORGANIZAÇÃO HUMANITÁRIA DA CNBB, E DA PREFEITURA DA CAPITAL PERNAMBUCANA.</t>
        </is>
      </c>
      <c r="J1024" t="inlineStr"/>
      <c r="K1024" t="n">
        <v>0</v>
      </c>
      <c r="L1024" t="n">
        <v>2</v>
      </c>
      <c r="M1024" t="n">
        <v>1</v>
      </c>
      <c r="N1024" t="n">
        <v>0</v>
      </c>
      <c r="O1024" t="n">
        <v>13</v>
      </c>
      <c r="P1024">
        <f>HYPERLINK("https://g1.globo.com/pe/pernambuco/noticia/2020/04/29/venezuelanos-que-viviam-em-ruas-do-recife-ganham-moradia-provisoria-e-alimentos-para-se-prevenir-da-covid-19.ghtml", "URL")</f>
        <v/>
      </c>
      <c r="Q1024">
        <f>HYPERLINK("https://raw.githubusercontent.com/marcosmapl/dataset_imigrantes/main/materias_filtered/g1/venezuelanos/2020/03_abr/html/g1_46d92dc6-2316-11ed-b24f-6dbe51e79fca_3138.html", "HTML")</f>
        <v/>
      </c>
      <c r="R1024">
        <f>HYPERLINK("https://raw.githubusercontent.com/marcosmapl/dataset_imigrantes/main/materias_filtered/g1/venezuelanos/2020/03_abr/txt/g1_46d92dc6-2316-11ed-b24f-6dbe51e79fca_3138.txt", "TXT")</f>
        <v/>
      </c>
    </row>
    <row r="1025">
      <c r="A1025" s="1" t="n">
        <v>1023</v>
      </c>
      <c r="B1025" t="n">
        <v>2020</v>
      </c>
      <c r="C1025" s="2" t="n">
        <v>43950.90672921296</v>
      </c>
      <c r="D1025" t="inlineStr">
        <is>
          <t>G1</t>
        </is>
      </c>
      <c r="E1025" t="inlineStr">
        <is>
          <t>VENEZUELANOS</t>
        </is>
      </c>
      <c r="F1025" t="inlineStr">
        <is>
          <t>RORAIMA</t>
        </is>
      </c>
      <c r="G1025" t="inlineStr">
        <is>
          <t>G1 RR — BOA VISTA</t>
        </is>
      </c>
      <c r="H1025" t="inlineStr">
        <is>
          <t>EMBAIXADA DA VENEZUELA DISTRIBUI 4 MIL MÁSCARAS DE PROTEÇÃO PARA IMIGRANTES EM BOA VISTA</t>
        </is>
      </c>
      <c r="I1025" t="inlineStr">
        <is>
          <t>MÁSCARAS DE PROTEÇÃO FORAM PRODUZIDOS POR MULHERES VENEZUELANAS QUE VIVEM EM BOA VISTA E FORAM DOADAS NA RODOVIÁRIA E EM UMA OCUPAÇÃO NO BAIRRO JÓQUEI CLUBE.</t>
        </is>
      </c>
      <c r="J1025" t="inlineStr"/>
      <c r="K1025" t="n">
        <v>0</v>
      </c>
      <c r="L1025" t="n">
        <v>2</v>
      </c>
      <c r="M1025" t="n">
        <v>0</v>
      </c>
      <c r="N1025" t="n">
        <v>0</v>
      </c>
      <c r="O1025" t="n">
        <v>2</v>
      </c>
      <c r="P1025">
        <f>HYPERLINK("https://g1.globo.com/rr/roraima/noticia/2020/04/29/embaixada-da-venezuela-distribui-4-mil-mascaras-de-protecao-para-imigrantes-em-boa-vista.ghtml", "URL")</f>
        <v/>
      </c>
      <c r="Q1025">
        <f>HYPERLINK("https://raw.githubusercontent.com/marcosmapl/dataset_imigrantes/main/materias_filtered/g1/venezuelanos/2020/03_abr/html/g1_5794e9c0-2316-11ed-b24f-6dbe51e79fca_3141.html", "HTML")</f>
        <v/>
      </c>
      <c r="R1025">
        <f>HYPERLINK("https://raw.githubusercontent.com/marcosmapl/dataset_imigrantes/main/materias_filtered/g1/venezuelanos/2020/03_abr/txt/g1_5794e9c0-2316-11ed-b24f-6dbe51e79fca_3141.txt", "TXT")</f>
        <v/>
      </c>
    </row>
    <row r="1026">
      <c r="A1026" s="1" t="n">
        <v>1024</v>
      </c>
      <c r="B1026" t="n">
        <v>2020</v>
      </c>
      <c r="C1026" s="2" t="n">
        <v>43950.59173611111</v>
      </c>
      <c r="D1026" t="inlineStr">
        <is>
          <t>A CRITICA</t>
        </is>
      </c>
      <c r="E1026" t="inlineStr">
        <is>
          <t>VENEZUELANOS</t>
        </is>
      </c>
      <c r="F1026" t="inlineStr">
        <is>
          <t>MANAUS</t>
        </is>
      </c>
      <c r="G1026" t="inlineStr">
        <is>
          <t>FILIPE TÁVORA</t>
        </is>
      </c>
      <c r="H1026" t="inlineStr">
        <is>
          <t>INCÊNDIO DESTRÓI TRÊS PAVIMENTOS DA APACC E CAUSA PREJUÍZO DE R$ 50 MIL</t>
        </is>
      </c>
      <c r="I1026" t="inlineStr">
        <is>
          <t>JHONY CARVALHO, PRESIDENTE DA ASSOCIAÇÃO DE PAIS DE CRIANÇAS CARDIOPATAS DO ESTADO DO AMAZONAS, UM AQUECIMENTO NO COMPRESSOR DO AR-CONDICIONADO TERIA INICIADO O SINISTRO. NÃO HOUVE VÍTIMAS</t>
        </is>
      </c>
      <c r="J1026" t="inlineStr"/>
      <c r="K1026" t="n">
        <v>0</v>
      </c>
      <c r="L1026" t="n">
        <v>1</v>
      </c>
      <c r="M1026" t="n">
        <v>0</v>
      </c>
      <c r="N1026" t="n">
        <v>0</v>
      </c>
      <c r="O1026" t="n">
        <v>0</v>
      </c>
      <c r="P1026">
        <f>HYPERLINK("https://www.acritica.com/manaus/incendio-destroi-tres-pavimentos-da-apacc-e-causa-prejuizo-de-r-50-mil-1.42915", "URL")</f>
        <v/>
      </c>
      <c r="Q1026">
        <f>HYPERLINK("https://raw.githubusercontent.com/marcosmapl/dataset_imigrantes/main/materias_filtered/a_critica/venezuelanos/2020/03_abr/html/1.42915_432.html", "HTML")</f>
        <v/>
      </c>
      <c r="R1026">
        <f>HYPERLINK("https://raw.githubusercontent.com/marcosmapl/dataset_imigrantes/main/materias_filtered/a_critica/venezuelanos/2020/03_abr/txt/1.42915_432.txt", "TXT")</f>
        <v/>
      </c>
    </row>
    <row r="1027">
      <c r="A1027" s="1" t="n">
        <v>1025</v>
      </c>
      <c r="B1027" t="n">
        <v>2020</v>
      </c>
      <c r="C1027" s="2" t="n">
        <v>43949.69371527778</v>
      </c>
      <c r="D1027" t="inlineStr">
        <is>
          <t>A CRITICA</t>
        </is>
      </c>
      <c r="E1027" t="inlineStr">
        <is>
          <t>VENEZUELANOS</t>
        </is>
      </c>
      <c r="F1027" t="inlineStr">
        <is>
          <t>SAUDE</t>
        </is>
      </c>
      <c r="G1027" t="inlineStr">
        <is>
          <t>DANIEL AMORIM</t>
        </is>
      </c>
      <c r="H1027" t="inlineStr">
        <is>
          <t>MOVIMENTAÇÃO NA FEIRA DA MANAUS MODERNA CONTINUA INTENSA DURANTE A SEMANA</t>
        </is>
      </c>
      <c r="I1027" t="inlineStr">
        <is>
          <t>DIVERSAS AGLOMERAÇÕES DE PESSOAS SEM MÁSCARAS FORAM OBSERVADAS NO LOCAL. INDIFERENÇA DA POPULAÇÃO AO DISTANCIAMENTO SOCIAL CONTINUA EM MEIO AO AUMENTO DE MORTES NO ESTADO</t>
        </is>
      </c>
      <c r="J1027" t="inlineStr"/>
      <c r="K1027" t="n">
        <v>0</v>
      </c>
      <c r="L1027" t="n">
        <v>1</v>
      </c>
      <c r="M1027" t="n">
        <v>0</v>
      </c>
      <c r="N1027" t="n">
        <v>0</v>
      </c>
      <c r="O1027" t="n">
        <v>0</v>
      </c>
      <c r="P1027">
        <f>HYPERLINK("https://www.acritica.com/saude/movimentac-o-na-feira-da-manaus-moderna-continua-intensa-durante-a-semana-1.42960", "URL")</f>
        <v/>
      </c>
      <c r="Q1027">
        <f>HYPERLINK("https://raw.githubusercontent.com/marcosmapl/dataset_imigrantes/main/materias_filtered/a_critica/venezuelanos/2020/03_abr/html/1.42960_581.html", "HTML")</f>
        <v/>
      </c>
      <c r="R1027">
        <f>HYPERLINK("https://raw.githubusercontent.com/marcosmapl/dataset_imigrantes/main/materias_filtered/a_critica/venezuelanos/2020/03_abr/txt/1.42960_581.txt", "TXT")</f>
        <v/>
      </c>
    </row>
    <row r="1028">
      <c r="A1028" s="1" t="n">
        <v>1026</v>
      </c>
      <c r="B1028" t="n">
        <v>2020</v>
      </c>
      <c r="C1028" s="2" t="n">
        <v>43949.6178194213</v>
      </c>
      <c r="D1028" t="inlineStr">
        <is>
          <t>G1</t>
        </is>
      </c>
      <c r="E1028" t="inlineStr">
        <is>
          <t>VENEZUELANOS</t>
        </is>
      </c>
      <c r="F1028" t="inlineStr">
        <is>
          <t>MUNDO</t>
        </is>
      </c>
      <c r="G1028" t="inlineStr">
        <is>
          <t>LUCAS VIDIGAL, G1</t>
        </is>
      </c>
      <c r="H1028" t="inlineStr">
        <is>
          <t>BRASIL CONCEDE DIREITOS DE REFUGIADOS A 722 CRIANÇAS E ADOLESCENTES VENEZUELANOS</t>
        </is>
      </c>
      <c r="I1028" t="inlineStr">
        <is>
          <t>MENORES SÃO FILHOS DOS MAIS DE 20 MIL CIDADÃOS DA VENEZUELA QUE TIVERAM O PEDIDO DE REFÚGIO NO BRASIL CONCEDIDO EM DEZEMBRO. OUTROS CASOS AINDA ESTÃO EM ANÁLISE.</t>
        </is>
      </c>
      <c r="J1028" t="inlineStr"/>
      <c r="K1028" t="n">
        <v>0</v>
      </c>
      <c r="L1028" t="n">
        <v>1</v>
      </c>
      <c r="M1028" t="n">
        <v>0</v>
      </c>
      <c r="N1028" t="n">
        <v>0</v>
      </c>
      <c r="O1028" t="n">
        <v>12</v>
      </c>
      <c r="P1028">
        <f>HYPERLINK("https://g1.globo.com/mundo/noticia/2020/04/28/brasil-concede-direitos-de-refugiados-a-722-criancas-e-adolescentes-venezuelanos.ghtml", "URL")</f>
        <v/>
      </c>
      <c r="Q1028">
        <f>HYPERLINK("https://raw.githubusercontent.com/marcosmapl/dataset_imigrantes/main/materias_filtered/g1/venezuelanos/2020/03_abr/html/g1_922b712a-2326-11ed-b24f-6dbe51e79fca_3985.html", "HTML")</f>
        <v/>
      </c>
      <c r="R1028">
        <f>HYPERLINK("https://raw.githubusercontent.com/marcosmapl/dataset_imigrantes/main/materias_filtered/g1/venezuelanos/2020/03_abr/txt/g1_922b712a-2326-11ed-b24f-6dbe51e79fca_3985.txt", "TXT")</f>
        <v/>
      </c>
    </row>
    <row r="1029">
      <c r="A1029" s="1" t="n">
        <v>1027</v>
      </c>
      <c r="B1029" t="n">
        <v>2020</v>
      </c>
      <c r="C1029" s="2" t="n">
        <v>43948.39583333334</v>
      </c>
      <c r="D1029" t="inlineStr">
        <is>
          <t>A CRITICA</t>
        </is>
      </c>
      <c r="E1029" t="inlineStr">
        <is>
          <t>VENEZUELANOS</t>
        </is>
      </c>
      <c r="F1029" t="inlineStr">
        <is>
          <t>SAUDE</t>
        </is>
      </c>
      <c r="G1029" t="inlineStr">
        <is>
          <t>LUIZ G. MELO</t>
        </is>
      </c>
      <c r="H1029" t="inlineStr">
        <is>
          <t>DESABRIGADOS DE MANAUS VIVEM EM RISCO CONSTANTE À COVID-19</t>
        </is>
      </c>
      <c r="I1029" t="inlineStr">
        <is>
          <t>SEAS MONTOU BASES EMERGENCIAIS PARA REDUZIR PERIGO DE PESSOAS EM SITUAÇÃO DE RUA CONTRAÍREM A DOENÇA</t>
        </is>
      </c>
      <c r="J1029" t="inlineStr"/>
      <c r="K1029" t="n">
        <v>0</v>
      </c>
      <c r="L1029" t="n">
        <v>1</v>
      </c>
      <c r="M1029" t="n">
        <v>0</v>
      </c>
      <c r="N1029" t="n">
        <v>0</v>
      </c>
      <c r="O1029" t="n">
        <v>0</v>
      </c>
      <c r="P1029">
        <f>HYPERLINK("https://www.acritica.com/saude/desabrigados-de-manaus-vivem-em-risco-constante-a-covid-19-1.43261", "URL")</f>
        <v/>
      </c>
      <c r="Q1029">
        <f>HYPERLINK("https://raw.githubusercontent.com/marcosmapl/dataset_imigrantes/main/materias_filtered/a_critica/venezuelanos/2020/03_abr/html/1.43261_949.html", "HTML")</f>
        <v/>
      </c>
      <c r="R1029">
        <f>HYPERLINK("https://raw.githubusercontent.com/marcosmapl/dataset_imigrantes/main/materias_filtered/a_critica/venezuelanos/2020/03_abr/txt/1.43261_949.txt", "TXT")</f>
        <v/>
      </c>
    </row>
    <row r="1030">
      <c r="A1030" s="1" t="n">
        <v>1028</v>
      </c>
      <c r="B1030" t="n">
        <v>2020</v>
      </c>
      <c r="C1030" s="2" t="n">
        <v>43939.96298042824</v>
      </c>
      <c r="D1030" t="inlineStr">
        <is>
          <t>G1</t>
        </is>
      </c>
      <c r="E1030" t="inlineStr">
        <is>
          <t>VENEZUELANOS</t>
        </is>
      </c>
      <c r="F1030" t="inlineStr">
        <is>
          <t>RORAIMA</t>
        </is>
      </c>
      <c r="G1030" t="inlineStr">
        <is>
          <t>SUZANNE OLIVEIRA, G1 RR — BOA VISTA</t>
        </is>
      </c>
      <c r="H1030" t="inlineStr">
        <is>
          <t>OPERAÇÃO ACOLHIDA TEM TRÊS CRIANÇAS VENEZUELANAS E 66 MILITARES INFECTADOS PELO CORONAVÍRUS</t>
        </is>
      </c>
      <c r="I1030" t="inlineStr">
        <is>
          <t>CRIANÇAS ESTÃO EM ISOLAMENTO NO HOSPITAL SANTO ANTÔNIO.</t>
        </is>
      </c>
      <c r="J1030" t="inlineStr"/>
      <c r="K1030" t="n">
        <v>0</v>
      </c>
      <c r="L1030" t="n">
        <v>1</v>
      </c>
      <c r="M1030" t="n">
        <v>0</v>
      </c>
      <c r="N1030" t="n">
        <v>0</v>
      </c>
      <c r="O1030" t="n">
        <v>1</v>
      </c>
      <c r="P1030">
        <f>HYPERLINK("https://g1.globo.com/rr/roraima/noticia/2020/04/18/roraima-tem-tres-criancas-venezuelanas-e-66-militares-da-acolhida-infectados-pelo-coronavirus.ghtml", "URL")</f>
        <v/>
      </c>
      <c r="Q1030">
        <f>HYPERLINK("https://raw.githubusercontent.com/marcosmapl/dataset_imigrantes/main/materias_filtered/g1/venezuelanos/2020/03_abr/html/g1_613451b0-2310-11ed-b24f-6dbe51e79fca_2857.html", "HTML")</f>
        <v/>
      </c>
      <c r="R1030">
        <f>HYPERLINK("https://raw.githubusercontent.com/marcosmapl/dataset_imigrantes/main/materias_filtered/g1/venezuelanos/2020/03_abr/txt/g1_613451b0-2310-11ed-b24f-6dbe51e79fca_2857.txt", "TXT")</f>
        <v/>
      </c>
    </row>
    <row r="1031">
      <c r="A1031" s="1" t="n">
        <v>1029</v>
      </c>
      <c r="B1031" t="n">
        <v>2020</v>
      </c>
      <c r="C1031" s="2" t="n">
        <v>43938.62749993055</v>
      </c>
      <c r="D1031" t="inlineStr">
        <is>
          <t>G1</t>
        </is>
      </c>
      <c r="E1031" t="inlineStr">
        <is>
          <t>VENEZUELANOS</t>
        </is>
      </c>
      <c r="F1031" t="inlineStr">
        <is>
          <t>RORAIMA</t>
        </is>
      </c>
      <c r="G1031" t="inlineStr">
        <is>
          <t>G1 RR — BOA VISTA</t>
        </is>
      </c>
      <c r="H1031" t="inlineStr">
        <is>
          <t>DUAS CRIANÇAS VENEZUELANAS SÃO INFECTADAS POR CORONAVÍRUS EM RORAIMA</t>
        </is>
      </c>
      <c r="I1031" t="inlineStr">
        <is>
          <t>PACIENTES SÃO UMA BEBÊ DE 6 MESES E UM MENINO INDÍGENA, DE 12 ANOS, QUE VIVEM EM ABRIGOS DA OPERAÇÃO ACOLHIDA; 55 MILITARES TAMBÉM ESTÃO INFECTADOS. RORAIMA TEM 164 CASOS POSITIVOS DA COVID-19.</t>
        </is>
      </c>
      <c r="J1031" t="inlineStr"/>
      <c r="K1031" t="n">
        <v>0</v>
      </c>
      <c r="L1031" t="n">
        <v>1</v>
      </c>
      <c r="M1031" t="n">
        <v>0</v>
      </c>
      <c r="N1031" t="n">
        <v>0</v>
      </c>
      <c r="O1031" t="n">
        <v>4</v>
      </c>
      <c r="P1031">
        <f>HYPERLINK("https://g1.globo.com/rr/roraima/noticia/2020/04/17/duas-criancas-venezuelanas-sao-infectadas-por-coronavius-em-roraima.ghtml", "URL")</f>
        <v/>
      </c>
      <c r="Q1031">
        <f>HYPERLINK("https://raw.githubusercontent.com/marcosmapl/dataset_imigrantes/main/materias_filtered/g1/venezuelanos/2020/03_abr/html/g1_461891da-2323-11ed-b24f-6dbe51e79fca_3796.html", "HTML")</f>
        <v/>
      </c>
      <c r="R1031">
        <f>HYPERLINK("https://raw.githubusercontent.com/marcosmapl/dataset_imigrantes/main/materias_filtered/g1/venezuelanos/2020/03_abr/txt/g1_461891da-2323-11ed-b24f-6dbe51e79fca_3796.txt", "TXT")</f>
        <v/>
      </c>
    </row>
    <row r="1032">
      <c r="A1032" s="1" t="n">
        <v>1030</v>
      </c>
      <c r="B1032" t="n">
        <v>2020</v>
      </c>
      <c r="C1032" s="2" t="n">
        <v>43937.99355304398</v>
      </c>
      <c r="D1032" t="inlineStr">
        <is>
          <t>G1</t>
        </is>
      </c>
      <c r="E1032" t="inlineStr">
        <is>
          <t>VENEZUELANOS</t>
        </is>
      </c>
      <c r="F1032" t="inlineStr">
        <is>
          <t>RORAIMA</t>
        </is>
      </c>
      <c r="G1032" t="inlineStr">
        <is>
          <t>G1 RR — BOA VISTA</t>
        </is>
      </c>
      <c r="H1032" t="inlineStr">
        <is>
          <t>GENERAL CHEFE DE ACOLHIDA A VENEZUELANOS E MAIS 54 MILITARES  ESTÃO COM CORONAVÍRUS EM RR</t>
        </is>
      </c>
      <c r="I1032" t="inlineStr">
        <is>
          <t>MAIS 16 MILITARES TESTARAM POSITIVO PARA O VÍRUS, DE ACORDO COM A ASSESSORIA DA OPERAÇÃO ACOLHIDA. O ESTADO AINDA NÃO POSSUI CASOS CONFIRMADOS DA DOENÇA EM VENEZUELANOS.</t>
        </is>
      </c>
      <c r="J1032" t="inlineStr"/>
      <c r="K1032" t="n">
        <v>0</v>
      </c>
      <c r="L1032" t="n">
        <v>1</v>
      </c>
      <c r="M1032" t="n">
        <v>0</v>
      </c>
      <c r="N1032" t="n">
        <v>0</v>
      </c>
      <c r="O1032" t="n">
        <v>3</v>
      </c>
      <c r="P1032">
        <f>HYPERLINK("https://g1.globo.com/rr/roraima/noticia/2020/04/16/general-chefe-de-acolhida-a-venezuelanos-e-mais-54-militares-estao-com-coronavirus-em-rr.ghtml", "URL")</f>
        <v/>
      </c>
      <c r="Q1032">
        <f>HYPERLINK("https://raw.githubusercontent.com/marcosmapl/dataset_imigrantes/main/materias_filtered/g1/venezuelanos/2020/03_abr/html/g1_4978908e-232b-11ed-b24f-6dbe51e79fca_4236.html", "HTML")</f>
        <v/>
      </c>
      <c r="R1032">
        <f>HYPERLINK("https://raw.githubusercontent.com/marcosmapl/dataset_imigrantes/main/materias_filtered/g1/venezuelanos/2020/03_abr/txt/g1_4978908e-232b-11ed-b24f-6dbe51e79fca_4236.txt", "TXT")</f>
        <v/>
      </c>
    </row>
    <row r="1033">
      <c r="A1033" s="1" t="n">
        <v>1031</v>
      </c>
      <c r="B1033" t="n">
        <v>2020</v>
      </c>
      <c r="C1033" s="2" t="n">
        <v>43937.81124243056</v>
      </c>
      <c r="D1033" t="inlineStr">
        <is>
          <t>G1</t>
        </is>
      </c>
      <c r="E1033" t="inlineStr">
        <is>
          <t>VENEZUELANOS</t>
        </is>
      </c>
      <c r="F1033" t="inlineStr">
        <is>
          <t>ACRE</t>
        </is>
      </c>
      <c r="G1033" t="inlineStr">
        <is>
          <t>ALINE VIEIRA, JORNAL DO ACRE 2ª EDIÇÃO — RIO BRANCO</t>
        </is>
      </c>
      <c r="H1033" t="inlineStr">
        <is>
          <t>APÓS CONFLITO COM GOVERNO, INDÍGENAS VENEZUELANOS DEIXAM ABRIGO NO AC E VOLTAM PARA PRÉDIO ABANDONADO</t>
        </is>
      </c>
      <c r="I1033" t="inlineStr">
        <is>
          <t>GRUPO DE MAIS DE 60 ÍNDIOS DA ETNIA WARAO TINHA SIDO LEVADO PELO GOVERNO DO ACRE PARA UMA ESCOLA NO CONJUNTO HABITACIONAL CIDADE DO POVO, EM RIO BRANCO, HÁ TRÊS SEMANAS.</t>
        </is>
      </c>
      <c r="J1033" t="inlineStr"/>
      <c r="K1033" t="n">
        <v>0</v>
      </c>
      <c r="L1033" t="n">
        <v>2</v>
      </c>
      <c r="M1033" t="n">
        <v>1</v>
      </c>
      <c r="N1033" t="n">
        <v>0</v>
      </c>
      <c r="O1033" t="n">
        <v>3</v>
      </c>
      <c r="P1033">
        <f>HYPERLINK("https://g1.globo.com/ac/acre/noticia/2020/04/16/apos-conflito-com-governo-indigenas-venezuelanos-deixam-abrigo-no-ac-e-voltam-para-predio-abandonado.ghtml", "URL")</f>
        <v/>
      </c>
      <c r="Q1033">
        <f>HYPERLINK("https://raw.githubusercontent.com/marcosmapl/dataset_imigrantes/main/materias_filtered/g1/venezuelanos/2020/03_abr/html/g1_c80f12da-2306-11ed-b24f-6dbe51e79fca_2277.html", "HTML")</f>
        <v/>
      </c>
      <c r="R1033">
        <f>HYPERLINK("https://raw.githubusercontent.com/marcosmapl/dataset_imigrantes/main/materias_filtered/g1/venezuelanos/2020/03_abr/txt/g1_c80f12da-2306-11ed-b24f-6dbe51e79fca_2277.txt", "TXT")</f>
        <v/>
      </c>
    </row>
    <row r="1034">
      <c r="A1034" s="1" t="n">
        <v>1032</v>
      </c>
      <c r="B1034" t="n">
        <v>2020</v>
      </c>
      <c r="C1034" s="2" t="n">
        <v>43937.73888888889</v>
      </c>
      <c r="D1034" t="inlineStr">
        <is>
          <t>A CRITICA</t>
        </is>
      </c>
      <c r="E1034" t="inlineStr">
        <is>
          <t>VENEZUELANOS</t>
        </is>
      </c>
      <c r="F1034" t="inlineStr">
        <is>
          <t>SAUDE</t>
        </is>
      </c>
      <c r="G1034" t="inlineStr">
        <is>
          <t>PORTAL A CRÍTICA</t>
        </is>
      </c>
      <c r="H1034" t="inlineStr">
        <is>
          <t>BEBÊ INDÍGENA COM COVID-19 POSSUI QUADRO ESTÁVEL, AFIRMA FVS-AM</t>
        </is>
      </c>
      <c r="I1034" t="inlineStr">
        <is>
          <t>A CRIANÇA FOI DIAGNOSTICADA NO ÍNICIO DESTA SEMANA APÓS UMA VISITA DE ROTINA EM UM ABRIGO DE REFUGIADOS NO BAIRRO COROADO, ZONA LESTE DE MANAUS. PAIS NÃO APRESENTA SINTOMAS</t>
        </is>
      </c>
      <c r="J1034" t="inlineStr"/>
      <c r="K1034" t="n">
        <v>0</v>
      </c>
      <c r="L1034" t="n">
        <v>1</v>
      </c>
      <c r="M1034" t="n">
        <v>0</v>
      </c>
      <c r="N1034" t="n">
        <v>0</v>
      </c>
      <c r="O1034" t="n">
        <v>0</v>
      </c>
      <c r="P1034">
        <f>HYPERLINK("https://www.acritica.com/saude/bebe-indigena-com-covid-19-possui-quadro-estavel-afirma-fvs-am-1.43597", "URL")</f>
        <v/>
      </c>
      <c r="Q1034">
        <f>HYPERLINK("https://raw.githubusercontent.com/marcosmapl/dataset_imigrantes/main/materias_filtered/a_critica/venezuelanos/2020/03_abr/html/1.43597_1290.html", "HTML")</f>
        <v/>
      </c>
      <c r="R1034">
        <f>HYPERLINK("https://raw.githubusercontent.com/marcosmapl/dataset_imigrantes/main/materias_filtered/a_critica/venezuelanos/2020/03_abr/txt/1.43597_1290.txt", "TXT")</f>
        <v/>
      </c>
    </row>
    <row r="1035">
      <c r="A1035" s="1" t="n">
        <v>1033</v>
      </c>
      <c r="B1035" t="n">
        <v>2020</v>
      </c>
      <c r="C1035" s="2" t="n">
        <v>43937.41729459491</v>
      </c>
      <c r="D1035" t="inlineStr">
        <is>
          <t>G1</t>
        </is>
      </c>
      <c r="E1035" t="inlineStr">
        <is>
          <t>VENEZUELANOS</t>
        </is>
      </c>
      <c r="F1035" t="inlineStr">
        <is>
          <t>AMAZONAS</t>
        </is>
      </c>
      <c r="G1035" t="inlineStr">
        <is>
          <t>REBECA BEATRIZ, G1 AM</t>
        </is>
      </c>
      <c r="H1035" t="inlineStr">
        <is>
          <t>INDÍGENAS VENEZUELANOS DENUNCIAM QUARTOS AGLOMERADOS E FALTA DE ÁGUA E SABÃO EM ABRIGO DE MANAUS</t>
        </is>
      </c>
      <c r="I1035" t="inlineStr">
        <is>
          <t>ABRIGO DA ZONA NORTE DA CAPITAL É O MESMO ONDE MORAVA A BEBÊ DE DOIS MESES, DIAGNOSTICADA COM O NOVO CORONAVÍRUS. REFUGIADAS DIZEM QUE APOIO ENVIADO PELA PREFEITURA DE MANAUS NÃO É SUFICIENTE. PREFEITURA NÃO RESPONDEU SOBRE DENÚNCIAS.</t>
        </is>
      </c>
      <c r="J1035" t="inlineStr"/>
      <c r="K1035" t="n">
        <v>0</v>
      </c>
      <c r="L1035" t="n">
        <v>2</v>
      </c>
      <c r="M1035" t="n">
        <v>0</v>
      </c>
      <c r="N1035" t="n">
        <v>0</v>
      </c>
      <c r="O1035" t="n">
        <v>13</v>
      </c>
      <c r="P1035">
        <f>HYPERLINK("https://g1.globo.com/am/amazonas/noticia/2020/04/16/indigenas-venezuelanos-denunciam-quartos-aglomerados-e-falta-de-agua-e-sabao-em-abrigo-de-manaus.ghtml", "URL")</f>
        <v/>
      </c>
      <c r="Q1035">
        <f>HYPERLINK("https://raw.githubusercontent.com/marcosmapl/dataset_imigrantes/main/materias_filtered/g1/venezuelanos/2020/03_abr/html/g1_c16283ba-2318-11ed-b24f-6dbe51e79fca_3277.html", "HTML")</f>
        <v/>
      </c>
      <c r="R1035">
        <f>HYPERLINK("https://raw.githubusercontent.com/marcosmapl/dataset_imigrantes/main/materias_filtered/g1/venezuelanos/2020/03_abr/txt/g1_c16283ba-2318-11ed-b24f-6dbe51e79fca_3277.txt", "TXT")</f>
        <v/>
      </c>
    </row>
    <row r="1036">
      <c r="A1036" s="1" t="n">
        <v>1034</v>
      </c>
      <c r="B1036" t="n">
        <v>2020</v>
      </c>
      <c r="C1036" s="2" t="n">
        <v>43937.03380787037</v>
      </c>
      <c r="D1036" t="inlineStr">
        <is>
          <t>A CRITICA</t>
        </is>
      </c>
      <c r="E1036" t="inlineStr">
        <is>
          <t>VENEZUELANOS</t>
        </is>
      </c>
      <c r="F1036" t="inlineStr"/>
      <c r="G1036" t="inlineStr">
        <is>
          <t>GIOVANNA MARINHO</t>
        </is>
      </c>
      <c r="H1036" t="inlineStr">
        <is>
          <t>RESTAURANTE FAZ DOAÇÃO DE ALIMENTOS PARA INSTITUIÇÃO RELIGIOSA EM MANAUS</t>
        </is>
      </c>
      <c r="I1036" t="inlineStr">
        <is>
          <t>DOAÇÃO PROMOVIDA PELO RESTAURANTE BAROLLO VAI ATENDER FAMÍLIAS MORADORES DE RUA, IMIGRANTES VENEZUELANOS, CRIANÇAS E FAMÍLIAS CARENTES DA CASA RESTAURA-ME</t>
        </is>
      </c>
      <c r="J1036" t="inlineStr"/>
      <c r="K1036" t="n">
        <v>0</v>
      </c>
      <c r="L1036" t="n">
        <v>1</v>
      </c>
      <c r="M1036" t="n">
        <v>0</v>
      </c>
      <c r="N1036" t="n">
        <v>0</v>
      </c>
      <c r="O1036" t="n">
        <v>0</v>
      </c>
      <c r="P1036">
        <f>HYPERLINK("https://www.acritica.com/restaurante-faz-doac-o-de-alimentos-para-instituic-o-religiosa-em-manaus-1.44146", "URL")</f>
        <v/>
      </c>
      <c r="Q1036">
        <f>HYPERLINK("https://raw.githubusercontent.com/marcosmapl/dataset_imigrantes/main/materias_filtered/a_critica/venezuelanos/2020/03_abr/html/1.44146_275.html", "HTML")</f>
        <v/>
      </c>
      <c r="R1036">
        <f>HYPERLINK("https://raw.githubusercontent.com/marcosmapl/dataset_imigrantes/main/materias_filtered/a_critica/venezuelanos/2020/03_abr/txt/1.44146_275.txt", "TXT")</f>
        <v/>
      </c>
    </row>
    <row r="1037">
      <c r="A1037" s="1" t="n">
        <v>1035</v>
      </c>
      <c r="B1037" t="n">
        <v>2020</v>
      </c>
      <c r="C1037" s="2" t="n">
        <v>43936.86273148148</v>
      </c>
      <c r="D1037" t="inlineStr">
        <is>
          <t>A CRITICA</t>
        </is>
      </c>
      <c r="E1037" t="inlineStr">
        <is>
          <t>VENEZUELANOS</t>
        </is>
      </c>
      <c r="F1037" t="inlineStr">
        <is>
          <t>ESPORTES</t>
        </is>
      </c>
      <c r="G1037" t="inlineStr">
        <is>
          <t>LEONARDO SENA</t>
        </is>
      </c>
      <c r="H1037" t="inlineStr">
        <is>
          <t>UM MÊS DEPOIS DE ESTREAR GOLEANDO NA SÉRIE A2, 3B SPORT VIVE INCERTEZAS</t>
        </is>
      </c>
      <c r="I1037" t="inlineStr">
        <is>
          <t>FERA DA AMAZÔNIA ESTREOU NA TEMPORADA NO ÚLTIMO DIA DE ATIVIDADES DO FUTEBOL AMAZONENSE ANTES DA PARALISAÇÃO. 30 DIAS DEPOIS, CLUBE AGUARDA RETORNO COM INCERTEZAS ENQUANTO MANTÉM ATLETAS NO CENTRO DE TREINAMENTO</t>
        </is>
      </c>
      <c r="J1037" t="inlineStr"/>
      <c r="K1037" t="n">
        <v>0</v>
      </c>
      <c r="L1037" t="n">
        <v>1</v>
      </c>
      <c r="M1037" t="n">
        <v>0</v>
      </c>
      <c r="N1037" t="n">
        <v>0</v>
      </c>
      <c r="O1037" t="n">
        <v>0</v>
      </c>
      <c r="P1037">
        <f>HYPERLINK("https://www.acritica.com/esportes/um-mes-depois-de-estrear-goleando-na-serie-a2-3b-sport-vive-incertezas-1.44177", "URL")</f>
        <v/>
      </c>
      <c r="Q1037">
        <f>HYPERLINK("https://raw.githubusercontent.com/marcosmapl/dataset_imigrantes/main/materias_filtered/a_critica/venezuelanos/2020/03_abr/html/1.44177_1317.html", "HTML")</f>
        <v/>
      </c>
      <c r="R1037">
        <f>HYPERLINK("https://raw.githubusercontent.com/marcosmapl/dataset_imigrantes/main/materias_filtered/a_critica/venezuelanos/2020/03_abr/txt/1.44177_1317.txt", "TXT")</f>
        <v/>
      </c>
    </row>
    <row r="1038">
      <c r="A1038" s="1" t="n">
        <v>1036</v>
      </c>
      <c r="B1038" t="n">
        <v>2020</v>
      </c>
      <c r="C1038" s="2" t="n">
        <v>43936.01056712963</v>
      </c>
      <c r="D1038" t="inlineStr">
        <is>
          <t>A CRITICA</t>
        </is>
      </c>
      <c r="E1038" t="inlineStr">
        <is>
          <t>VENEZUELANOS</t>
        </is>
      </c>
      <c r="F1038" t="inlineStr">
        <is>
          <t>SAUDE</t>
        </is>
      </c>
      <c r="G1038" t="inlineStr">
        <is>
          <t>PORTAL A CRÍTICA</t>
        </is>
      </c>
      <c r="H1038" t="inlineStr">
        <is>
          <t>BEBÊ DE DOIS MESES É PRIMEIRO INDÍGENA VENEZUELANO A TESTAR POSITIVO PARA COVID-19</t>
        </is>
      </c>
      <c r="I1038" t="inlineStr">
        <is>
          <t>CRIANÇA FOI ENCAMINHADA PARA O HOSPITAL DE REFERÊNCIA DELPHINA AZIZ, NA ZONA NORTE, DURANTE A MADRUGADA DESTA TERÇA-FEIRA (14)</t>
        </is>
      </c>
      <c r="J1038" t="inlineStr"/>
      <c r="K1038" t="n">
        <v>0</v>
      </c>
      <c r="L1038" t="n">
        <v>1</v>
      </c>
      <c r="M1038" t="n">
        <v>0</v>
      </c>
      <c r="N1038" t="n">
        <v>0</v>
      </c>
      <c r="O1038" t="n">
        <v>0</v>
      </c>
      <c r="P1038">
        <f>HYPERLINK("https://www.acritica.com/saude/bebe-de-dois-meses-e-primeiro-indigena-venezuelano-a-testar-positivo-para-covid-19-1.43639", "URL")</f>
        <v/>
      </c>
      <c r="Q1038">
        <f>HYPERLINK("https://raw.githubusercontent.com/marcosmapl/dataset_imigrantes/main/materias_filtered/a_critica/venezuelanos/2020/03_abr/html/1.43639_103.html", "HTML")</f>
        <v/>
      </c>
      <c r="R1038">
        <f>HYPERLINK("https://raw.githubusercontent.com/marcosmapl/dataset_imigrantes/main/materias_filtered/a_critica/venezuelanos/2020/03_abr/txt/1.43639_103.txt", "TXT")</f>
        <v/>
      </c>
    </row>
    <row r="1039">
      <c r="A1039" s="1" t="n">
        <v>1037</v>
      </c>
      <c r="B1039" t="n">
        <v>2020</v>
      </c>
      <c r="C1039" s="2" t="n">
        <v>43935.9909556713</v>
      </c>
      <c r="D1039" t="inlineStr">
        <is>
          <t>G1</t>
        </is>
      </c>
      <c r="E1039" t="inlineStr">
        <is>
          <t>VENEZUELANOS</t>
        </is>
      </c>
      <c r="F1039" t="inlineStr">
        <is>
          <t>AMAZONAS</t>
        </is>
      </c>
      <c r="G1039" t="inlineStr">
        <is>
          <t>G1 AM</t>
        </is>
      </c>
      <c r="H1039" t="inlineStr">
        <is>
          <t>BEBÊ INDÍGENA VENEZUELANA DE DOIS MESES TESTA POSITIVO PARA NOVO CORONAVÍRUS, EM MANAUS</t>
        </is>
      </c>
      <c r="I1039" t="inlineStr">
        <is>
          <t>PREFEITURA DE MANAUS IDENTIFICOU CASO DURANTE TRABALHO DE TRANSFERÊNCIA DE VENEZUELANOS, MAS AINDA NÃO SABE DIZER SE CONTAMINAÇÃO FOI EM ABRIGO OU EM HOSPITAL. BEBÊ ESTÁ INTERNADA E TEM QUADRO ESTÁVEL.</t>
        </is>
      </c>
      <c r="J1039" t="inlineStr"/>
      <c r="K1039" t="n">
        <v>0</v>
      </c>
      <c r="L1039" t="n">
        <v>1</v>
      </c>
      <c r="M1039" t="n">
        <v>0</v>
      </c>
      <c r="N1039" t="n">
        <v>0</v>
      </c>
      <c r="O1039" t="n">
        <v>13</v>
      </c>
      <c r="P1039">
        <f>HYPERLINK("https://g1.globo.com/am/amazonas/noticia/2020/04/14/bebe-indigena-venezuelano-de-dois-meses-testa-positivo-para-novo-coronavirus-diz-prefeitura-de-manaus.ghtml", "URL")</f>
        <v/>
      </c>
      <c r="Q1039">
        <f>HYPERLINK("https://raw.githubusercontent.com/marcosmapl/dataset_imigrantes/main/materias_filtered/g1/venezuelanos/2020/03_abr/html/g1_bd3416fa-2327-11ed-b24f-6dbe51e79fca_4046.html", "HTML")</f>
        <v/>
      </c>
      <c r="R1039">
        <f>HYPERLINK("https://raw.githubusercontent.com/marcosmapl/dataset_imigrantes/main/materias_filtered/g1/venezuelanos/2020/03_abr/txt/g1_bd3416fa-2327-11ed-b24f-6dbe51e79fca_4046.txt", "TXT")</f>
        <v/>
      </c>
    </row>
    <row r="1040">
      <c r="A1040" s="1" t="n">
        <v>1038</v>
      </c>
      <c r="B1040" t="n">
        <v>2020</v>
      </c>
      <c r="C1040" s="2" t="n">
        <v>43935.84299086806</v>
      </c>
      <c r="D1040" t="inlineStr">
        <is>
          <t>G1</t>
        </is>
      </c>
      <c r="E1040" t="inlineStr">
        <is>
          <t>AMBOS</t>
        </is>
      </c>
      <c r="F1040" t="inlineStr">
        <is>
          <t>SANTA CATARINA</t>
        </is>
      </c>
      <c r="G1040" t="inlineStr">
        <is>
          <t>CAROLINA HOLLAND, G1 SC</t>
        </is>
      </c>
      <c r="H1040" t="inlineStr">
        <is>
          <t>IMIGRANTES EM FLORIANÓPOLIS RELATAM DIFICULDADES E PERDA DE EMPREGO DURANTE QUARENTENA</t>
        </is>
      </c>
      <c r="I1040" t="inlineStr">
        <is>
          <t>ONG E PASTORAL DO MIGRANTE ATUAM PARA TENTAR DIMINUIR SITUAÇÃO DE VULNERABILIDADE.</t>
        </is>
      </c>
      <c r="J1040" t="inlineStr"/>
      <c r="K1040" t="n">
        <v>0</v>
      </c>
      <c r="L1040" t="n">
        <v>1</v>
      </c>
      <c r="M1040" t="n">
        <v>0</v>
      </c>
      <c r="N1040" t="n">
        <v>0</v>
      </c>
      <c r="O1040" t="n">
        <v>11</v>
      </c>
      <c r="P1040">
        <f>HYPERLINK("https://g1.globo.com/sc/santa-catarina/noticia/2020/04/14/imigrantes-em-florianopolis-relatam-dificuldades-e-perda-de-emprego-durante-quarentena.ghtml", "URL")</f>
        <v/>
      </c>
      <c r="Q1040">
        <f>HYPERLINK("https://raw.githubusercontent.com/marcosmapl/dataset_imigrantes/main/materias_filtered/g1/ambos/2020/03_abr/html/g1_91a55014-2311-11ed-b24f-6dbe51e79fca_2922.html", "HTML")</f>
        <v/>
      </c>
      <c r="R1040">
        <f>HYPERLINK("https://raw.githubusercontent.com/marcosmapl/dataset_imigrantes/main/materias_filtered/g1/ambos/2020/03_abr/txt/g1_91a55014-2311-11ed-b24f-6dbe51e79fca_2922.txt", "TXT")</f>
        <v/>
      </c>
    </row>
    <row r="1041">
      <c r="A1041" s="1" t="n">
        <v>1039</v>
      </c>
      <c r="B1041" t="n">
        <v>2020</v>
      </c>
      <c r="C1041" s="2" t="n">
        <v>43932.70171513889</v>
      </c>
      <c r="D1041" t="inlineStr">
        <is>
          <t>G1</t>
        </is>
      </c>
      <c r="E1041" t="inlineStr">
        <is>
          <t>VENEZUELANOS</t>
        </is>
      </c>
      <c r="F1041" t="inlineStr">
        <is>
          <t>RORAIMA</t>
        </is>
      </c>
      <c r="G1041" t="inlineStr">
        <is>
          <t>VALÉRIA OLIVEIRA, G1 RR — BOA VISTA</t>
        </is>
      </c>
      <c r="H1041" t="inlineStr">
        <is>
          <t>SETE MILITARES QUE ATUAM EM ACOLHIDA A VENEZUELANOS SÃO INFECTADOS PELO CORONAVÍRUS EM RR</t>
        </is>
      </c>
      <c r="I1041" t="inlineStr">
        <is>
          <t>PACIENTES ESTÃO ISOLADOS. INFORMAÇÃO FOI DIVULGADA NESTE SÁBADO (11) PELA OPERAÇÃO ACOLHIDA; RORAIMA TEM 75 CASOS DE COVID-19.</t>
        </is>
      </c>
      <c r="J1041" t="inlineStr"/>
      <c r="K1041" t="n">
        <v>0</v>
      </c>
      <c r="L1041" t="n">
        <v>1</v>
      </c>
      <c r="M1041" t="n">
        <v>0</v>
      </c>
      <c r="N1041" t="n">
        <v>0</v>
      </c>
      <c r="O1041" t="n">
        <v>5</v>
      </c>
      <c r="P1041">
        <f>HYPERLINK("https://g1.globo.com/rr/roraima/noticia/2020/04/11/sete-militares-que-atuam-em-acolhida-a-venezuelanos-sao-infectados-pelo-coronavirus-em-rr.ghtml", "URL")</f>
        <v/>
      </c>
      <c r="Q1041">
        <f>HYPERLINK("https://raw.githubusercontent.com/marcosmapl/dataset_imigrantes/main/materias_filtered/g1/venezuelanos/2020/03_abr/html/g1_854fe12c-231a-11ed-b24f-6dbe51e79fca_3340.html", "HTML")</f>
        <v/>
      </c>
      <c r="R1041">
        <f>HYPERLINK("https://raw.githubusercontent.com/marcosmapl/dataset_imigrantes/main/materias_filtered/g1/venezuelanos/2020/03_abr/txt/g1_854fe12c-231a-11ed-b24f-6dbe51e79fca_3340.txt", "TXT")</f>
        <v/>
      </c>
    </row>
    <row r="1042">
      <c r="A1042" s="1" t="n">
        <v>1040</v>
      </c>
      <c r="B1042" t="n">
        <v>2020</v>
      </c>
      <c r="C1042" s="2" t="n">
        <v>43924.91682407408</v>
      </c>
      <c r="D1042" t="inlineStr">
        <is>
          <t>G1</t>
        </is>
      </c>
      <c r="E1042" t="inlineStr">
        <is>
          <t>VENEZUELANOS</t>
        </is>
      </c>
      <c r="F1042" t="inlineStr">
        <is>
          <t>ACRE</t>
        </is>
      </c>
      <c r="G1042" t="inlineStr">
        <is>
          <t>ALINE NASCIMENTO, G1 AC — RIO BRANCO</t>
        </is>
      </c>
      <c r="H1042" t="inlineStr">
        <is>
          <t>INDÍGENAS VENEZUELANOS INSTALADOS EM ESCOLA NA CAPITAL DO ACRE RECEBEM DOAÇÃO DE ALIMENTOS</t>
        </is>
      </c>
      <c r="I1042" t="inlineStr">
        <is>
          <t>SECRETARIA DE ASSISTÊNCIA SOCIAL ENTREGOU 350 QUILOS DE ALIMENTOS PARA OS INDÍGENAS INSTALADOS NO CONJUNTO HABITACIONAL CIDADE DO POVO, EM RIO BRANCO.</t>
        </is>
      </c>
      <c r="J1042" t="inlineStr"/>
      <c r="K1042" t="n">
        <v>0</v>
      </c>
      <c r="L1042" t="n">
        <v>2</v>
      </c>
      <c r="M1042" t="n">
        <v>0</v>
      </c>
      <c r="N1042" t="n">
        <v>0</v>
      </c>
      <c r="O1042" t="n">
        <v>13</v>
      </c>
      <c r="P1042">
        <f>HYPERLINK("https://g1.globo.com/ac/acre/noticia/2020/04/03/indigenas-venezuelanos-instalados-em-escola-na-capital-do-acre-recebem-doacao-de-alimentos.ghtml", "URL")</f>
        <v/>
      </c>
      <c r="Q1042">
        <f>HYPERLINK("https://raw.githubusercontent.com/marcosmapl/dataset_imigrantes/main/materias_filtered/g1/venezuelanos/2020/03_abr/html/g1_1151ef34-232b-11ed-b24f-6dbe51e79fca_4219.html", "HTML")</f>
        <v/>
      </c>
      <c r="R1042">
        <f>HYPERLINK("https://raw.githubusercontent.com/marcosmapl/dataset_imigrantes/main/materias_filtered/g1/venezuelanos/2020/03_abr/txt/g1_1151ef34-232b-11ed-b24f-6dbe51e79fca_4219.txt", "TXT")</f>
        <v/>
      </c>
    </row>
    <row r="1043">
      <c r="A1043" s="1" t="n">
        <v>1041</v>
      </c>
      <c r="B1043" t="n">
        <v>2020</v>
      </c>
      <c r="C1043" s="2" t="n">
        <v>43924.88876157408</v>
      </c>
      <c r="D1043" t="inlineStr">
        <is>
          <t>A CRITICA</t>
        </is>
      </c>
      <c r="E1043" t="inlineStr">
        <is>
          <t>VENEZUELANOS</t>
        </is>
      </c>
      <c r="F1043" t="inlineStr">
        <is>
          <t>OPINIAO</t>
        </is>
      </c>
      <c r="G1043" t="inlineStr">
        <is>
          <t>DULCE RODRIGUEZ</t>
        </is>
      </c>
      <c r="H1043" t="inlineStr">
        <is>
          <t>QUANDO VOLTARMOS AO NORMAL</t>
        </is>
      </c>
      <c r="I1043" t="inlineStr">
        <is>
          <t>DEPOIS DE 17 ANOS QUE ACONTECEU O “PARO PETROLEIRO”, NA VENEZUELA, COM CERTEZA EU POSSO LHES DIZER QUE TUDO PASSA.</t>
        </is>
      </c>
      <c r="J1043" t="inlineStr">
        <is>
          <t>VIDA-DE-IMIGRANTE</t>
        </is>
      </c>
      <c r="K1043" t="n">
        <v>1</v>
      </c>
      <c r="L1043" t="n">
        <v>1</v>
      </c>
      <c r="M1043" t="n">
        <v>0</v>
      </c>
      <c r="N1043" t="n">
        <v>0</v>
      </c>
      <c r="O1043" t="n">
        <v>1</v>
      </c>
      <c r="P1043">
        <f>HYPERLINK("https://www.acritica.com/opiniao/quando-voltarmos-ao-normal-1.216476", "URL")</f>
        <v/>
      </c>
      <c r="Q1043">
        <f>HYPERLINK("https://raw.githubusercontent.com/marcosmapl/dataset_imigrantes/main/materias_filtered/a_critica/venezuelanos/2020/03_abr/html/1.216476_1281.html", "HTML")</f>
        <v/>
      </c>
      <c r="R1043">
        <f>HYPERLINK("https://raw.githubusercontent.com/marcosmapl/dataset_imigrantes/main/materias_filtered/a_critica/venezuelanos/2020/03_abr/txt/1.216476_1281.txt", "TXT")</f>
        <v/>
      </c>
    </row>
    <row r="1044">
      <c r="A1044" s="1" t="n">
        <v>1042</v>
      </c>
      <c r="B1044" t="n">
        <v>2020</v>
      </c>
      <c r="C1044" s="2" t="n">
        <v>43924.81313043981</v>
      </c>
      <c r="D1044" t="inlineStr">
        <is>
          <t>G1</t>
        </is>
      </c>
      <c r="E1044" t="inlineStr">
        <is>
          <t>HAITIANOS</t>
        </is>
      </c>
      <c r="F1044" t="inlineStr">
        <is>
          <t>MATO GROSSO</t>
        </is>
      </c>
      <c r="G1044" t="inlineStr">
        <is>
          <t>G1 MT</t>
        </is>
      </c>
      <c r="H1044" t="inlineStr">
        <is>
          <t>DOAÇÕES DE ALIMENTOS E MATERIAIS DE HIGIENE SÃO ARRECADADAS EM MT PARA AJUDAR FAMÍLIAS HAITIANAS QUE ESTÃO DESEMPREGADAS</t>
        </is>
      </c>
      <c r="I1044" t="inlineStr">
        <is>
          <t>ARRECADAÇÕES SERÃO DESTINADAS ÀS FAMÍLIAS DE IMIGRANTES QUE ESTÃO DESEMPREGADAS E EM ESTADO DE VULNERABILIDADE.</t>
        </is>
      </c>
      <c r="J1044" t="inlineStr"/>
      <c r="K1044" t="n">
        <v>0</v>
      </c>
      <c r="L1044" t="n">
        <v>2</v>
      </c>
      <c r="M1044" t="n">
        <v>0</v>
      </c>
      <c r="N1044" t="n">
        <v>0</v>
      </c>
      <c r="O1044" t="n">
        <v>6</v>
      </c>
      <c r="P1044">
        <f>HYPERLINK("https://g1.globo.com/mt/mato-grosso/noticia/2020/04/03/doacoes-de-alimentos-e-materiais-de-higiene-sao-arrecadadas-em-mt-para-familias-haitianas-desempregadas-durante-pandemia-do-coronavirus.ghtml", "URL")</f>
        <v/>
      </c>
      <c r="Q1044">
        <f>HYPERLINK("https://raw.githubusercontent.com/marcosmapl/dataset_imigrantes/main/materias_filtered/g1/haitianos/2020/03_abr/html/g1_8fc893b6-2323-11ed-b24f-6dbe51e79fca_3815.html", "HTML")</f>
        <v/>
      </c>
      <c r="R1044">
        <f>HYPERLINK("https://raw.githubusercontent.com/marcosmapl/dataset_imigrantes/main/materias_filtered/g1/haitianos/2020/03_abr/txt/g1_8fc893b6-2323-11ed-b24f-6dbe51e79fca_3815.txt", "TXT")</f>
        <v/>
      </c>
    </row>
    <row r="1045">
      <c r="A1045" s="1" t="n">
        <v>1043</v>
      </c>
      <c r="B1045" t="n">
        <v>2020</v>
      </c>
      <c r="C1045" s="2" t="n">
        <v>43924.00076575232</v>
      </c>
      <c r="D1045" t="inlineStr">
        <is>
          <t>G1</t>
        </is>
      </c>
      <c r="E1045" t="inlineStr">
        <is>
          <t>VENEZUELANOS</t>
        </is>
      </c>
      <c r="F1045" t="inlineStr">
        <is>
          <t>AMAZONAS</t>
        </is>
      </c>
      <c r="G1045" t="inlineStr">
        <is>
          <t>G1 AM</t>
        </is>
      </c>
      <c r="H1045" t="inlineStr">
        <is>
          <t>INDÍGENAS VENEZUELANOS SÃO TRANSFERIDOS PARA ESPAÇO PROVISÓRIO EM PREVENÇÃO AO CORONAVÍRUS, EM MANAUS</t>
        </is>
      </c>
      <c r="I1045" t="inlineStr">
        <is>
          <t>MEDIDA TEM INTUITO DE EVITAR AGLOMERAÇÃO DE PESSOAS E REDUZIR RISCOS DE TRANSMISSÃO DA COVID-19 ENTRE INDÍGENAS VENEZUELANOS DA ETNIA WARAO.</t>
        </is>
      </c>
      <c r="J1045" t="inlineStr"/>
      <c r="K1045" t="n">
        <v>0</v>
      </c>
      <c r="L1045" t="n">
        <v>1</v>
      </c>
      <c r="M1045" t="n">
        <v>0</v>
      </c>
      <c r="N1045" t="n">
        <v>0</v>
      </c>
      <c r="O1045" t="n">
        <v>0</v>
      </c>
      <c r="P1045">
        <f>HYPERLINK("https://g1.globo.com/am/amazonas/noticia/2020/04/02/indigenas-venezuelanos-sao-transferidos-para-espaco-provisorio-em-prevencao-ao-coronavirus-em-manaus.ghtml", "URL")</f>
        <v/>
      </c>
      <c r="Q1045">
        <f>HYPERLINK("https://raw.githubusercontent.com/marcosmapl/dataset_imigrantes/main/materias_filtered/g1/venezuelanos/2020/03_abr/html/g1_1c17b87c-231c-11ed-b24f-6dbe51e79fca_3429.html", "HTML")</f>
        <v/>
      </c>
      <c r="R1045">
        <f>HYPERLINK("https://raw.githubusercontent.com/marcosmapl/dataset_imigrantes/main/materias_filtered/g1/venezuelanos/2020/03_abr/txt/g1_1c17b87c-231c-11ed-b24f-6dbe51e79fca_3429.txt", "TXT")</f>
        <v/>
      </c>
    </row>
    <row r="1046">
      <c r="A1046" s="1" t="n">
        <v>1044</v>
      </c>
      <c r="B1046" t="n">
        <v>2020</v>
      </c>
      <c r="C1046" s="2" t="n">
        <v>43923.66938392361</v>
      </c>
      <c r="D1046" t="inlineStr">
        <is>
          <t>G1</t>
        </is>
      </c>
      <c r="E1046" t="inlineStr">
        <is>
          <t>VENEZUELANOS</t>
        </is>
      </c>
      <c r="F1046" t="inlineStr">
        <is>
          <t>RIBEIRÃO E FRANCA</t>
        </is>
      </c>
      <c r="G1046" t="inlineStr">
        <is>
          <t>G1 RIBEIRÃO PRETO E FRANCA</t>
        </is>
      </c>
      <c r="H1046" t="inlineStr">
        <is>
          <t>ASSISTÊNCIA SOCIAL ACOMPANHA GRUPO DE INDÍGENAS VENEZUELANOS ABRIGADO EM RIBEIRÃO PRETO</t>
        </is>
      </c>
      <c r="I1046" t="inlineStr">
        <is>
          <t>PREFEITURA AFIRMA QUE 24 PESSOAS, SENDO 15 CRIANÇAS, ESTÃO NA CIDADE HÁ DUAS SEMANAS. GRUPO CHEGOU A FICAR NA CASA DE PASSAGEM, MAS DEIXOU O LOCAL.</t>
        </is>
      </c>
      <c r="J1046" t="inlineStr"/>
      <c r="K1046" t="n">
        <v>0</v>
      </c>
      <c r="L1046" t="n">
        <v>2</v>
      </c>
      <c r="M1046" t="n">
        <v>1</v>
      </c>
      <c r="N1046" t="n">
        <v>0</v>
      </c>
      <c r="O1046" t="n">
        <v>2</v>
      </c>
      <c r="P1046">
        <f>HYPERLINK("https://g1.globo.com/sp/ribeirao-preto-franca/noticia/2020/04/02/assistencia-social-acompanha-grupo-de-indigenas-venezuelanos-abrigados-em-ribeirao-preto.ghtml", "URL")</f>
        <v/>
      </c>
      <c r="Q1046">
        <f>HYPERLINK("https://raw.githubusercontent.com/marcosmapl/dataset_imigrantes/main/materias_filtered/g1/venezuelanos/2020/03_abr/html/g1_dab6cfc4-2318-11ed-b24f-6dbe51e79fca_3284.html", "HTML")</f>
        <v/>
      </c>
      <c r="R1046">
        <f>HYPERLINK("https://raw.githubusercontent.com/marcosmapl/dataset_imigrantes/main/materias_filtered/g1/venezuelanos/2020/03_abr/txt/g1_dab6cfc4-2318-11ed-b24f-6dbe51e79fca_3284.txt", "TXT")</f>
        <v/>
      </c>
    </row>
    <row r="1047">
      <c r="A1047" s="1" t="n">
        <v>1045</v>
      </c>
      <c r="B1047" t="n">
        <v>2020</v>
      </c>
      <c r="C1047" s="2" t="n">
        <v>43921.94643592593</v>
      </c>
      <c r="D1047" t="inlineStr">
        <is>
          <t>G1</t>
        </is>
      </c>
      <c r="E1047" t="inlineStr">
        <is>
          <t>VENEZUELANOS</t>
        </is>
      </c>
      <c r="F1047" t="inlineStr">
        <is>
          <t>MUNDO</t>
        </is>
      </c>
      <c r="G1047" t="inlineStr">
        <is>
          <t>FRANCE PRESSE</t>
        </is>
      </c>
      <c r="H1047" t="inlineStr">
        <is>
          <t>GOVERNO MADURO CHAMA DE 'ABERRAÇÃO' PROPOSTA DE NOVAS ELEIÇÕES NA VENEZUELA</t>
        </is>
      </c>
      <c r="I1047" t="inlineStr">
        <is>
          <t>GUAIDÓ FOI CONVOCADO PELA PROCURADORIA VENEZUELANA NA QUINTA-FEIRA POR UMA INVESTIGAÇÃO DE UM PLANO DE 'GOLPE DE ESTADO' E 'MAGNICÍDIO'.</t>
        </is>
      </c>
      <c r="J1047" t="inlineStr"/>
      <c r="K1047" t="n">
        <v>0</v>
      </c>
      <c r="L1047" t="n">
        <v>1</v>
      </c>
      <c r="M1047" t="n">
        <v>0</v>
      </c>
      <c r="N1047" t="n">
        <v>0</v>
      </c>
      <c r="O1047" t="n">
        <v>0</v>
      </c>
      <c r="P1047">
        <f>HYPERLINK("https://g1.globo.com/mundo/noticia/2020/03/31/governo-maduro-chama-de-aberracao-proposta-de-novas-eleicoes-na-venezuela.ghtml", "URL")</f>
        <v/>
      </c>
      <c r="Q1047">
        <f>HYPERLINK("https://raw.githubusercontent.com/marcosmapl/dataset_imigrantes/main/materias_filtered/g1/venezuelanos/2020/02_mar/html/g1_08d0967e-231e-11ed-b24f-6dbe51e79fca_3535.html", "HTML")</f>
        <v/>
      </c>
      <c r="R1047">
        <f>HYPERLINK("https://raw.githubusercontent.com/marcosmapl/dataset_imigrantes/main/materias_filtered/g1/venezuelanos/2020/02_mar/txt/g1_08d0967e-231e-11ed-b24f-6dbe51e79fca_3535.txt", "TXT")</f>
        <v/>
      </c>
    </row>
    <row r="1048">
      <c r="A1048" s="1" t="n">
        <v>1046</v>
      </c>
      <c r="B1048" t="n">
        <v>2020</v>
      </c>
      <c r="C1048" s="2" t="n">
        <v>43921.63648583333</v>
      </c>
      <c r="D1048" t="inlineStr">
        <is>
          <t>G1</t>
        </is>
      </c>
      <c r="E1048" t="inlineStr">
        <is>
          <t>VENEZUELANOS</t>
        </is>
      </c>
      <c r="F1048" t="inlineStr">
        <is>
          <t>BAHIA</t>
        </is>
      </c>
      <c r="G1048" t="inlineStr">
        <is>
          <t>TV BAHIA</t>
        </is>
      </c>
      <c r="H1048" t="inlineStr">
        <is>
          <t>GRUPO DE VENEZUELANOS ACAMPA EM RODOVIÁRIA DA BA APÓS NÃO CONSEGUIR VIAJAR; TERMINAIS ESTÃO FECHADOS POR CAUSA DA COVID-19</t>
        </is>
      </c>
      <c r="I1048" t="inlineStr">
        <is>
          <t>POR CAUSA DA SITUAÇÃO, ELES ESTÃO DORMINDO NAS CADEIRAS DA RODOVIÁRIA. SEGUNDO DIREÇÃO DO TERMINAL, APENAS BANHEIROS DO LOCAL FORAM LIBERADOS PARA USO DO GRUPO.</t>
        </is>
      </c>
      <c r="J1048" t="inlineStr"/>
      <c r="K1048" t="n">
        <v>0</v>
      </c>
      <c r="L1048" t="n">
        <v>1</v>
      </c>
      <c r="M1048" t="n">
        <v>1</v>
      </c>
      <c r="N1048" t="n">
        <v>0</v>
      </c>
      <c r="O1048" t="n">
        <v>12</v>
      </c>
      <c r="P1048">
        <f>HYPERLINK("https://g1.globo.com/ba/bahia/noticia/2020/03/31/grupo-de-venezuelanos-acampa-em-rodoviaria-da-ba-apos-nao-conseguir-viajar-terminais-estao-fechados-por-causa-da-covid-19.ghtml", "URL")</f>
        <v/>
      </c>
      <c r="Q1048">
        <f>HYPERLINK("https://raw.githubusercontent.com/marcosmapl/dataset_imigrantes/main/materias_filtered/g1/venezuelanos/2020/02_mar/html/g1_075e7946-230f-11ed-b24f-6dbe51e79fca_2774.html", "HTML")</f>
        <v/>
      </c>
      <c r="R1048">
        <f>HYPERLINK("https://raw.githubusercontent.com/marcosmapl/dataset_imigrantes/main/materias_filtered/g1/venezuelanos/2020/02_mar/txt/g1_075e7946-230f-11ed-b24f-6dbe51e79fca_2774.txt", "TXT")</f>
        <v/>
      </c>
    </row>
    <row r="1049">
      <c r="A1049" s="1" t="n">
        <v>1047</v>
      </c>
      <c r="B1049" t="n">
        <v>2020</v>
      </c>
      <c r="C1049" s="2" t="n">
        <v>43920.77847222222</v>
      </c>
      <c r="D1049" t="inlineStr">
        <is>
          <t>PORTAL AMAZONIA</t>
        </is>
      </c>
      <c r="E1049" t="inlineStr">
        <is>
          <t>VENEZUELANOS</t>
        </is>
      </c>
      <c r="F1049" t="inlineStr">
        <is>
          <t>NOTÍCIAS,INOVAÇÃO E TECNOLOGIA</t>
        </is>
      </c>
      <c r="G1049" t="inlineStr">
        <is>
          <t>MARIAH BRANDT</t>
        </is>
      </c>
      <c r="H1049" t="inlineStr">
        <is>
          <t>EM MANAUS, PANDEMIC HACKFEST SAÚDE BUSCA SOLUÇÕES PARA SAÚDE PÚBLICA</t>
        </is>
      </c>
      <c r="I1049" t="inlineStr">
        <is>
          <t>DE FORMA TOTALMENTE ONLINE, PODEM PARTICIPAR QUEM TEM UM COMPUTADOR OU CELULAR CONECTADO À INTERNET EM SUA CASA, TER BOAS IDEIAS NA CABEÇA E SABER TRABALHAR EM EQUIPE</t>
        </is>
      </c>
      <c r="J1049" t="inlineStr">
        <is>
          <t>CORONARIVUS, CORONA VIRUS, CORONAVIRUS, CORONAVÍRUS, CORONAVÍRUS 2020, COVID, COVID 19 NO AMAZONAS, COVID EM MANAUS, HACKATHON, INOVAÇÃO, MANAUS HACKATHON, NOTÍCIAS, PANDEMIC HACKFEST, TECNOLOGIA</t>
        </is>
      </c>
      <c r="K1049" t="n">
        <v>14</v>
      </c>
      <c r="L1049" t="n">
        <v>1</v>
      </c>
      <c r="M1049" t="n">
        <v>0</v>
      </c>
      <c r="N1049" t="n">
        <v>0</v>
      </c>
      <c r="O1049" t="n">
        <v>22</v>
      </c>
      <c r="P1049">
        <f>HYPERLINK("https://portalamazonia.com/noticias/em-manaus-pandemic-hackfest-saude-busca-solucoes-para-saude-publica", "URL")</f>
        <v/>
      </c>
      <c r="Q1049">
        <f>HYPERLINK("https://raw.githubusercontent.com/marcosmapl/dataset_imigrantes/main/materias_filtered/portal_amazonia/venezuelanos/2020/02_mar/html/24954.31622_1450.html", "HTML")</f>
        <v/>
      </c>
      <c r="R1049">
        <f>HYPERLINK("https://raw.githubusercontent.com/marcosmapl/dataset_imigrantes/main/materias_filtered/portal_amazonia/venezuelanos/2020/02_mar/txt/24954.31622_1450.txt", "TXT")</f>
        <v/>
      </c>
    </row>
    <row r="1050">
      <c r="A1050" s="1" t="n">
        <v>1048</v>
      </c>
      <c r="B1050" t="n">
        <v>2020</v>
      </c>
      <c r="C1050" s="2" t="n">
        <v>43918.8084375</v>
      </c>
      <c r="D1050" t="inlineStr">
        <is>
          <t>A CRITICA</t>
        </is>
      </c>
      <c r="E1050" t="inlineStr">
        <is>
          <t>VENEZUELANOS</t>
        </is>
      </c>
      <c r="F1050" t="inlineStr">
        <is>
          <t>SAUDE</t>
        </is>
      </c>
      <c r="G1050" t="inlineStr">
        <is>
          <t>LUIZ G. MELO</t>
        </is>
      </c>
      <c r="H1050" t="inlineStr">
        <is>
          <t>IMIGRANTES VENEZUELANOS SENTEM EFEITOS DE PANDEMIA LONGE DA TERRA NATAL</t>
        </is>
      </c>
      <c r="I1050" t="inlineStr">
        <is>
          <t>FAMÍLIAS TEMEM EFEITOS ECONÔMICOS DO ISOLAMENTO SOCIAL IMPOSTO PELO GOVERNO. ABRIGOS ADOTAM MEDIDAS PREVENTIVAS</t>
        </is>
      </c>
      <c r="J1050" t="inlineStr"/>
      <c r="K1050" t="n">
        <v>0</v>
      </c>
      <c r="L1050" t="n">
        <v>1</v>
      </c>
      <c r="M1050" t="n">
        <v>0</v>
      </c>
      <c r="N1050" t="n">
        <v>0</v>
      </c>
      <c r="O1050" t="n">
        <v>0</v>
      </c>
      <c r="P1050">
        <f>HYPERLINK("https://www.acritica.com/saude/imigrantes-venezuelanos-sentem-efeitos-de-pandemia-longe-da-terra-natal-1.44956", "URL")</f>
        <v/>
      </c>
      <c r="Q1050">
        <f>HYPERLINK("https://raw.githubusercontent.com/marcosmapl/dataset_imigrantes/main/materias_filtered/a_critica/venezuelanos/2020/02_mar/html/1.44956_475.html", "HTML")</f>
        <v/>
      </c>
      <c r="R1050">
        <f>HYPERLINK("https://raw.githubusercontent.com/marcosmapl/dataset_imigrantes/main/materias_filtered/a_critica/venezuelanos/2020/02_mar/txt/1.44956_475.txt", "TXT")</f>
        <v/>
      </c>
    </row>
    <row r="1051">
      <c r="A1051" s="1" t="n">
        <v>1049</v>
      </c>
      <c r="B1051" t="n">
        <v>2020</v>
      </c>
      <c r="C1051" s="2" t="n">
        <v>43918.75282199074</v>
      </c>
      <c r="D1051" t="inlineStr">
        <is>
          <t>G1</t>
        </is>
      </c>
      <c r="E1051" t="inlineStr">
        <is>
          <t>VENEZUELANOS</t>
        </is>
      </c>
      <c r="F1051" t="inlineStr">
        <is>
          <t>ACRE</t>
        </is>
      </c>
      <c r="G1051" t="inlineStr">
        <is>
          <t>IRYÁ RODRIGUES, G1 AC — RIO BRANCO</t>
        </is>
      </c>
      <c r="H1051" t="inlineStr">
        <is>
          <t>INDÍGENAS VENEZUELANOS QUE VIVEM NO AC SÃO LEVADOS PARA ABRIGO NA CIDADE DO POVO</t>
        </is>
      </c>
      <c r="I1051" t="inlineStr">
        <is>
          <t>GRUPO DA ETNIA WARAO ESTAVA VIVENDO EM CONDIÇÕES SUBUMANAS EM UM PRÉDIO ABANDONADO PRÓXIMO AO CENTRO DA CAPITAL ACREANA.</t>
        </is>
      </c>
      <c r="J1051" t="inlineStr"/>
      <c r="K1051" t="n">
        <v>0</v>
      </c>
      <c r="L1051" t="n">
        <v>1</v>
      </c>
      <c r="M1051" t="n">
        <v>0</v>
      </c>
      <c r="N1051" t="n">
        <v>0</v>
      </c>
      <c r="O1051" t="n">
        <v>4</v>
      </c>
      <c r="P1051">
        <f>HYPERLINK("https://g1.globo.com/ac/acre/noticia/2020/03/28/apos-casos-de-covid-19-indigenas-venezuelanos-que-vivem-no-ac-sao-levados-para-abrigo-na-cidade-do-povo.ghtml", "URL")</f>
        <v/>
      </c>
      <c r="Q1051">
        <f>HYPERLINK("https://raw.githubusercontent.com/marcosmapl/dataset_imigrantes/main/materias_filtered/g1/venezuelanos/2020/02_mar/html/g1_4b6f5d7a-2310-11ed-b24f-6dbe51e79fca_2852.html", "HTML")</f>
        <v/>
      </c>
      <c r="R1051">
        <f>HYPERLINK("https://raw.githubusercontent.com/marcosmapl/dataset_imigrantes/main/materias_filtered/g1/venezuelanos/2020/02_mar/txt/g1_4b6f5d7a-2310-11ed-b24f-6dbe51e79fca_2852.txt", "TXT")</f>
        <v/>
      </c>
    </row>
    <row r="1052">
      <c r="A1052" s="1" t="n">
        <v>1050</v>
      </c>
      <c r="B1052" t="n">
        <v>2020</v>
      </c>
      <c r="C1052" s="2" t="n">
        <v>43917.48125</v>
      </c>
      <c r="D1052" t="inlineStr">
        <is>
          <t>PORTAL AMAZONIA</t>
        </is>
      </c>
      <c r="E1052" t="inlineStr">
        <is>
          <t>VENEZUELANOS</t>
        </is>
      </c>
      <c r="F1052" t="inlineStr">
        <is>
          <t>ACRE,NOTÍCIAS,CIDADANIA</t>
        </is>
      </c>
      <c r="G1052" t="inlineStr">
        <is>
          <t>PORTAL AMAZÔNIA, COM INFORMAÇÕES DA AGÊNCIA ACRE</t>
        </is>
      </c>
      <c r="H1052" t="inlineStr">
        <is>
          <t>PARCERIA LEVA AJUDA HUMANITÁRIA A IMIGRANTES VENEZUELANOS E CUBANOS EM RIO BRANCO</t>
        </is>
      </c>
      <c r="I1052" t="inlineStr">
        <is>
          <t>O SISTEMA FECOMÉRCIO/AC ESTUDA FORNECER 500 SACOLÕES DE ALIMENTOS PARA SEREM ENTREGUES ÀS FAMÍLIAS NECESSITADAS.</t>
        </is>
      </c>
      <c r="J1052" t="inlineStr">
        <is>
          <t>ACRE, AJUDA HUMANITÁRIA, CIDADANIA, CUBANOS NO ACRE, NOTÍCIAS, RIO BRANCO, VENEZUELANOS NO ACRE, WARAO</t>
        </is>
      </c>
      <c r="K1052" t="n">
        <v>8</v>
      </c>
      <c r="L1052" t="n">
        <v>5</v>
      </c>
      <c r="M1052" t="n">
        <v>0</v>
      </c>
      <c r="N1052" t="n">
        <v>0</v>
      </c>
      <c r="O1052" t="n">
        <v>18</v>
      </c>
      <c r="P1052">
        <f>HYPERLINK("https://portalamazonia.com/noticias/parceria-leva-ajuda-humanitaria-a-imigrantes-venezuelanos-e-cubanos-em-rio-branco", "URL")</f>
        <v/>
      </c>
      <c r="Q1052">
        <f>HYPERLINK("https://raw.githubusercontent.com/marcosmapl/dataset_imigrantes/main/materias_filtered/portal_amazonia/venezuelanos/2020/02_mar/html/24895.31470_1587.html", "HTML")</f>
        <v/>
      </c>
      <c r="R1052">
        <f>HYPERLINK("https://raw.githubusercontent.com/marcosmapl/dataset_imigrantes/main/materias_filtered/portal_amazonia/venezuelanos/2020/02_mar/txt/24895.31470_1587.txt", "TXT")</f>
        <v/>
      </c>
    </row>
    <row r="1053">
      <c r="A1053" s="1" t="n">
        <v>1051</v>
      </c>
      <c r="B1053" t="n">
        <v>2020</v>
      </c>
      <c r="C1053" s="2" t="n">
        <v>43917.07847222222</v>
      </c>
      <c r="D1053" t="inlineStr">
        <is>
          <t>A CRITICA</t>
        </is>
      </c>
      <c r="E1053" t="inlineStr">
        <is>
          <t>HAITIANOS</t>
        </is>
      </c>
      <c r="F1053" t="inlineStr">
        <is>
          <t>POLICIA</t>
        </is>
      </c>
      <c r="G1053" t="inlineStr">
        <is>
          <t>JAN NOGUEIRA</t>
        </is>
      </c>
      <c r="H1053" t="inlineStr">
        <is>
          <t>HAITIANO É MORTO APÓS SER COBRADO POR CONTA DE EMPRÉSTIMO DE R$ 500</t>
        </is>
      </c>
      <c r="I1053" t="inlineStr">
        <is>
          <t>JEAN JOSEP, 30, TRABALHAVA COMO MOTORISTA DE APLICATIVO E PEGOU O VALOR EMPRESTADO PARA CONSERTAR O ERRO; ELE FOI MORTO POR ESPANCAMENTO E TEVE O CORPO JOGADO EM FRENTE A HOSPITAL</t>
        </is>
      </c>
      <c r="J1053" t="inlineStr"/>
      <c r="K1053" t="n">
        <v>0</v>
      </c>
      <c r="L1053" t="n">
        <v>1</v>
      </c>
      <c r="M1053" t="n">
        <v>0</v>
      </c>
      <c r="N1053" t="n">
        <v>0</v>
      </c>
      <c r="O1053" t="n">
        <v>0</v>
      </c>
      <c r="P1053">
        <f>HYPERLINK("https://www.acritica.com/policia/haitiano-e-morto-apos-ser-cobrado-por-conta-de-emprestimo-de-r-500-1.45999", "URL")</f>
        <v/>
      </c>
      <c r="Q1053">
        <f>HYPERLINK("https://raw.githubusercontent.com/marcosmapl/dataset_imigrantes/main/materias_filtered/a_critica/haitianos/2020/02_mar/html/1.45999_79.html", "HTML")</f>
        <v/>
      </c>
      <c r="R1053">
        <f>HYPERLINK("https://raw.githubusercontent.com/marcosmapl/dataset_imigrantes/main/materias_filtered/a_critica/haitianos/2020/02_mar/txt/1.45999_79.txt", "TXT")</f>
        <v/>
      </c>
    </row>
    <row r="1054">
      <c r="A1054" s="1" t="n">
        <v>1052</v>
      </c>
      <c r="B1054" t="n">
        <v>2020</v>
      </c>
      <c r="C1054" s="2" t="n">
        <v>43916.82708333333</v>
      </c>
      <c r="D1054" t="inlineStr">
        <is>
          <t>A CRITICA</t>
        </is>
      </c>
      <c r="E1054" t="inlineStr">
        <is>
          <t>VENEZUELANOS</t>
        </is>
      </c>
      <c r="F1054" t="inlineStr"/>
      <c r="G1054" t="inlineStr">
        <is>
          <t>AFP</t>
        </is>
      </c>
      <c r="H1054" t="inlineStr">
        <is>
          <t>EUA INDICIA MADURO POR NARCOTERRORISMO E OFERECE ATÉ US$ 15 MILHÕES POR INFORMAÇÕES</t>
        </is>
      </c>
      <c r="I1054" t="inlineStr">
        <is>
          <t>SEGUNDO PROCURADORIA AMERICANA, O PRESIDENTE VENEZUELANO É ACUSADO DE 'TER PARTICIPADO DE UMA ASSOCIAÇÃO CRIMINOSA QUE ENVOLVE UMA ORGANIZAÇÃO TERRORISTA EXTREMAMENTE VIOLENTA, AS FARC, EM UM ESFORÇO PARA INUNDAR OS ESTADOS UNIDOS COM COCAÍNA'</t>
        </is>
      </c>
      <c r="J1054" t="inlineStr"/>
      <c r="K1054" t="n">
        <v>0</v>
      </c>
      <c r="L1054" t="n">
        <v>1</v>
      </c>
      <c r="M1054" t="n">
        <v>0</v>
      </c>
      <c r="N1054" t="n">
        <v>0</v>
      </c>
      <c r="O1054" t="n">
        <v>0</v>
      </c>
      <c r="P1054">
        <f>HYPERLINK("https://www.acritica.com/eua-indicia-maduro-por-narcoterrorismo-e-oferece-ate-us-15-milh-es-por-informac-es-1.44979", "URL")</f>
        <v/>
      </c>
      <c r="Q1054">
        <f>HYPERLINK("https://raw.githubusercontent.com/marcosmapl/dataset_imigrantes/main/materias_filtered/a_critica/venezuelanos/2020/02_mar/html/1.44979_940.html", "HTML")</f>
        <v/>
      </c>
      <c r="R1054">
        <f>HYPERLINK("https://raw.githubusercontent.com/marcosmapl/dataset_imigrantes/main/materias_filtered/a_critica/venezuelanos/2020/02_mar/txt/1.44979_940.txt", "TXT")</f>
        <v/>
      </c>
    </row>
    <row r="1055">
      <c r="A1055" s="1" t="n">
        <v>1053</v>
      </c>
      <c r="B1055" t="n">
        <v>2020</v>
      </c>
      <c r="C1055" s="2" t="n">
        <v>43915.98973703704</v>
      </c>
      <c r="D1055" t="inlineStr">
        <is>
          <t>G1</t>
        </is>
      </c>
      <c r="E1055" t="inlineStr">
        <is>
          <t>HAITIANOS</t>
        </is>
      </c>
      <c r="F1055" t="inlineStr">
        <is>
          <t>CAMPINAS E REGIÃO</t>
        </is>
      </c>
      <c r="G1055" t="inlineStr">
        <is>
          <t>G1 CAMPINAS E REGIÃO</t>
        </is>
      </c>
      <c r="H1055" t="inlineStr">
        <is>
          <t>CORONAVÍRUS: PARCERIA ENTRE CAMPINAS E UNICAMP TRADUZ MATERIAL INFORMATIVO PARA IMIGRANTES E REFUGIADOS</t>
        </is>
      </c>
      <c r="I1055" t="inlineStr">
        <is>
          <t>ORIENTAÇÕES FORAM TRADUZIDAS PARA O ESPANHOL, CRIOLO HAITIANO, ÁRABE, INGLÊS E FRANCÊS.</t>
        </is>
      </c>
      <c r="J1055" t="inlineStr"/>
      <c r="K1055" t="n">
        <v>0</v>
      </c>
      <c r="L1055" t="n">
        <v>2</v>
      </c>
      <c r="M1055" t="n">
        <v>0</v>
      </c>
      <c r="N1055" t="n">
        <v>0</v>
      </c>
      <c r="O1055" t="n">
        <v>18</v>
      </c>
      <c r="P1055">
        <f>HYPERLINK("https://g1.globo.com/sp/campinas-regiao/noticia/2020/03/25/coronavirus-parceria-entre-campinas-e-unicamp-traduz-material-informativo-para-imigrantes-e-refugiados.ghtml", "URL")</f>
        <v/>
      </c>
      <c r="Q1055">
        <f>HYPERLINK("https://raw.githubusercontent.com/marcosmapl/dataset_imigrantes/main/materias_filtered/g1/haitianos/2020/02_mar/html/g1_c7b7d5b0-22b1-11ed-b24f-6dbe51e79fca_1636.html", "HTML")</f>
        <v/>
      </c>
      <c r="R1055">
        <f>HYPERLINK("https://raw.githubusercontent.com/marcosmapl/dataset_imigrantes/main/materias_filtered/g1/haitianos/2020/02_mar/txt/g1_c7b7d5b0-22b1-11ed-b24f-6dbe51e79fca_1636.txt", "TXT")</f>
        <v/>
      </c>
    </row>
    <row r="1056">
      <c r="A1056" s="1" t="n">
        <v>1054</v>
      </c>
      <c r="B1056" t="n">
        <v>2020</v>
      </c>
      <c r="C1056" s="2" t="n">
        <v>43915.96027461805</v>
      </c>
      <c r="D1056" t="inlineStr">
        <is>
          <t>G1</t>
        </is>
      </c>
      <c r="E1056" t="inlineStr">
        <is>
          <t>VENEZUELANOS</t>
        </is>
      </c>
      <c r="F1056" t="inlineStr">
        <is>
          <t>ACRE</t>
        </is>
      </c>
      <c r="G1056" t="inlineStr">
        <is>
          <t>TÁLITA SÁBRINA, JORNAL DO ACRE 2ª EDIÇÃO — RIO BRANCO</t>
        </is>
      </c>
      <c r="H1056" t="inlineStr">
        <is>
          <t>VENEZUELANOS REFUGIADOS NO AC TEMEM COVID-19 E PEDEM AJUDA DO GOVERNO: 'NÃO ESTAMOS INSTRUÍDOS'</t>
        </is>
      </c>
      <c r="I1056" t="inlineStr">
        <is>
          <t>EM COLETIVA, NA SEGUNDA-FEIRA (23), GOVERNO DIZ QUE ESTUDA COMO ATENDER ESSE PÚBLICO. VENEZUELANOS PEDEM KITS DE HIGIENIZAÇÃO E ORIENTAÇÕES SOBRE A DOENÇA.</t>
        </is>
      </c>
      <c r="J1056" t="inlineStr"/>
      <c r="K1056" t="n">
        <v>0</v>
      </c>
      <c r="L1056" t="n">
        <v>1</v>
      </c>
      <c r="M1056" t="n">
        <v>0</v>
      </c>
      <c r="N1056" t="n">
        <v>0</v>
      </c>
      <c r="O1056" t="n">
        <v>12</v>
      </c>
      <c r="P1056">
        <f>HYPERLINK("https://g1.globo.com/ac/acre/noticia/2020/03/25/venezuelanos-refugiados-no-ac-temem-covid-19-e-pedem-ajuda-do-governo-nao-estamos-instruidos.ghtml", "URL")</f>
        <v/>
      </c>
      <c r="Q1056">
        <f>HYPERLINK("https://raw.githubusercontent.com/marcosmapl/dataset_imigrantes/main/materias_filtered/g1/venezuelanos/2020/02_mar/html/g1_3e6a98b2-232c-11ed-b24f-6dbe51e79fca_4293.html", "HTML")</f>
        <v/>
      </c>
      <c r="R1056">
        <f>HYPERLINK("https://raw.githubusercontent.com/marcosmapl/dataset_imigrantes/main/materias_filtered/g1/venezuelanos/2020/02_mar/txt/g1_3e6a98b2-232c-11ed-b24f-6dbe51e79fca_4293.txt", "TXT")</f>
        <v/>
      </c>
    </row>
    <row r="1057">
      <c r="A1057" s="1" t="n">
        <v>1055</v>
      </c>
      <c r="B1057" t="n">
        <v>2020</v>
      </c>
      <c r="C1057" s="2" t="n">
        <v>43915.94351636574</v>
      </c>
      <c r="D1057" t="inlineStr">
        <is>
          <t>G1</t>
        </is>
      </c>
      <c r="E1057" t="inlineStr">
        <is>
          <t>HAITIANOS</t>
        </is>
      </c>
      <c r="F1057" t="inlineStr">
        <is>
          <t>SANTA CATARINA</t>
        </is>
      </c>
      <c r="G1057" t="inlineStr">
        <is>
          <t>G1 SC</t>
        </is>
      </c>
      <c r="H1057" t="inlineStr">
        <is>
          <t>MOTORISTA QUE ATROPELOU CASAL DE HAITIANOS EM SC É INDICIADO POR TRÊS CRIMES</t>
        </is>
      </c>
      <c r="I1057" t="inlineStr">
        <is>
          <t>HAITIANO MORREU E MULHER, QUE ESTAVA GRÁVIDA, PERDEU O BEBÊ. CONDUTOR RESPONDE AGORA POR HOMICÍDIO, TENTATIVA DE HOMICÍDIO E ABORTO.</t>
        </is>
      </c>
      <c r="J1057" t="inlineStr"/>
      <c r="K1057" t="n">
        <v>0</v>
      </c>
      <c r="L1057" t="n">
        <v>2</v>
      </c>
      <c r="M1057" t="n">
        <v>0</v>
      </c>
      <c r="N1057" t="n">
        <v>0</v>
      </c>
      <c r="O1057" t="n">
        <v>3</v>
      </c>
      <c r="P1057">
        <f>HYPERLINK("https://g1.globo.com/sc/santa-catarina/noticia/2020/03/25/motorista-que-atropelou-casal-de-haitianos-em-sc-e-indiciado-por-tres-crimes.ghtml", "URL")</f>
        <v/>
      </c>
      <c r="Q1057">
        <f>HYPERLINK("https://raw.githubusercontent.com/marcosmapl/dataset_imigrantes/main/materias_filtered/g1/haitianos/2020/02_mar/html/g1_545aef12-22f7-11ed-b24f-6dbe51e79fca_2072.html", "HTML")</f>
        <v/>
      </c>
      <c r="R1057">
        <f>HYPERLINK("https://raw.githubusercontent.com/marcosmapl/dataset_imigrantes/main/materias_filtered/g1/haitianos/2020/02_mar/txt/g1_545aef12-22f7-11ed-b24f-6dbe51e79fca_2072.txt", "TXT")</f>
        <v/>
      </c>
    </row>
    <row r="1058">
      <c r="A1058" s="1" t="n">
        <v>1056</v>
      </c>
      <c r="B1058" t="n">
        <v>2020</v>
      </c>
      <c r="C1058" s="2" t="n">
        <v>43915.82365740741</v>
      </c>
      <c r="D1058" t="inlineStr">
        <is>
          <t>A CRITICA</t>
        </is>
      </c>
      <c r="E1058" t="inlineStr">
        <is>
          <t>VENEZUELANOS</t>
        </is>
      </c>
      <c r="F1058" t="inlineStr">
        <is>
          <t>SAUDE</t>
        </is>
      </c>
      <c r="G1058" t="inlineStr">
        <is>
          <t>IZABEL GUEDES</t>
        </is>
      </c>
      <c r="H1058" t="inlineStr">
        <is>
          <t>ARENA AMADEU TEIXEIRA JÁ RECEBE DOAÇÕES PARA MORADORES DE RUA EM MANAUS</t>
        </is>
      </c>
      <c r="I1058" t="inlineStr">
        <is>
          <t>NA TARDE DE HOJE MUITA GENTE PROCUROU O LOCAL PARA FAZER AS ENTREGAS DE ROUPAS E PRODUTOS DE HIGIENE. NO LOCAL, FOI MONTADO UM 'DRIVE-THRU' DE DOAÇÕES PARA RESPEITAR MEDIDAS DE SEGURANÇA</t>
        </is>
      </c>
      <c r="J1058" t="inlineStr"/>
      <c r="K1058" t="n">
        <v>0</v>
      </c>
      <c r="L1058" t="n">
        <v>1</v>
      </c>
      <c r="M1058" t="n">
        <v>0</v>
      </c>
      <c r="N1058" t="n">
        <v>0</v>
      </c>
      <c r="O1058" t="n">
        <v>0</v>
      </c>
      <c r="P1058">
        <f>HYPERLINK("https://www.acritica.com/saude/arena-amadeu-teixeira-ja-recebe-doac-es-para-moradores-de-rua-em-manaus-1.46056", "URL")</f>
        <v/>
      </c>
      <c r="Q1058">
        <f>HYPERLINK("https://raw.githubusercontent.com/marcosmapl/dataset_imigrantes/main/materias_filtered/a_critica/venezuelanos/2020/02_mar/html/1.46056_1231.html", "HTML")</f>
        <v/>
      </c>
      <c r="R1058">
        <f>HYPERLINK("https://raw.githubusercontent.com/marcosmapl/dataset_imigrantes/main/materias_filtered/a_critica/venezuelanos/2020/02_mar/txt/1.46056_1231.txt", "TXT")</f>
        <v/>
      </c>
    </row>
    <row r="1059">
      <c r="A1059" s="1" t="n">
        <v>1057</v>
      </c>
      <c r="B1059" t="n">
        <v>2020</v>
      </c>
      <c r="C1059" s="2" t="n">
        <v>43914.62361111111</v>
      </c>
      <c r="D1059" t="inlineStr">
        <is>
          <t>PORTAL AMAZONIA</t>
        </is>
      </c>
      <c r="E1059" t="inlineStr">
        <is>
          <t>VENEZUELANOS</t>
        </is>
      </c>
      <c r="F1059" t="inlineStr">
        <is>
          <t>CIDADES,SAÚDE</t>
        </is>
      </c>
      <c r="G1059" t="inlineStr">
        <is>
          <t>MARIA PAULA SANTOS</t>
        </is>
      </c>
      <c r="H1059" t="inlineStr">
        <is>
          <t>SAIBA COMO RORAIMA TEM SE TORNADO DESTAQUE NO COMBATE AO CORONAVÍRUS</t>
        </is>
      </c>
      <c r="I1059" t="inlineStr">
        <is>
          <t>COM DOIS CASOS CONFIRMADOS, RORAIMA TERÁ A CONSTRUÇÃO DE UM HOSPITAL EMERGENCIAL E JÁ PARALISOU DIVERSAS ATIVIDADES PARA IMPEDIR A CONTAMINAÇÃO DE PESSOAS</t>
        </is>
      </c>
      <c r="J1059" t="inlineStr">
        <is>
          <t>CIDADES, CORONA VIRUS, CORONAVIRUS, CORONAVÍRUS, CORONAVÍRUS 2020, CORONAVIRUS ATENDIMENTO, CORONAVÍRUS CRISE, CORONAVIRUS RORAIMA, RORAIMA COVID-19, SAÚDE</t>
        </is>
      </c>
      <c r="K1059" t="n">
        <v>10</v>
      </c>
      <c r="L1059" t="n">
        <v>2</v>
      </c>
      <c r="M1059" t="n">
        <v>0</v>
      </c>
      <c r="N1059" t="n">
        <v>0</v>
      </c>
      <c r="O1059" t="n">
        <v>15</v>
      </c>
      <c r="P1059">
        <f>HYPERLINK("https://portalamazonia.com/noticias/cidades/saiba-como-roraima-tem-se-tornado-destaque-no-combate-ao-coronavirus", "URL")</f>
        <v/>
      </c>
      <c r="Q1059">
        <f>HYPERLINK("https://raw.githubusercontent.com/marcosmapl/dataset_imigrantes/main/materias_filtered/portal_amazonia/venezuelanos/2020/02_mar/html/24833.31107_1490.html", "HTML")</f>
        <v/>
      </c>
      <c r="R1059">
        <f>HYPERLINK("https://raw.githubusercontent.com/marcosmapl/dataset_imigrantes/main/materias_filtered/portal_amazonia/venezuelanos/2020/02_mar/txt/24833.31107_1490.txt", "TXT")</f>
        <v/>
      </c>
    </row>
    <row r="1060">
      <c r="A1060" s="1" t="n">
        <v>1058</v>
      </c>
      <c r="B1060" t="n">
        <v>2020</v>
      </c>
      <c r="C1060" s="2" t="n">
        <v>43913.51992043982</v>
      </c>
      <c r="D1060" t="inlineStr">
        <is>
          <t>G1</t>
        </is>
      </c>
      <c r="E1060" t="inlineStr">
        <is>
          <t>VENEZUELANOS</t>
        </is>
      </c>
      <c r="F1060" t="inlineStr">
        <is>
          <t>MATO GROSSO DO SUL</t>
        </is>
      </c>
      <c r="G1060" t="inlineStr">
        <is>
          <t>G1 MS E TV MORENA</t>
        </is>
      </c>
      <c r="H1060" t="inlineStr">
        <is>
          <t>EXAME DÁ NEGATIVO PARA COVID-19 EM IDOSA QUE MORREU COM SINTOMAS DE VÍRUS RESPIRATÓRIOS EM CAMPO GRANDE</t>
        </is>
      </c>
      <c r="I1060" t="inlineStr">
        <is>
          <t>VENEZUELANA DE 63 ANOS MORREU NA MADRUGADA DO DIA 21 NA UNIDADE DE PRONTO ATENDIMENTO (UPA) LEBLON.</t>
        </is>
      </c>
      <c r="J1060" t="inlineStr"/>
      <c r="K1060" t="n">
        <v>0</v>
      </c>
      <c r="L1060" t="n">
        <v>0</v>
      </c>
      <c r="M1060" t="n">
        <v>0</v>
      </c>
      <c r="N1060" t="n">
        <v>0</v>
      </c>
      <c r="O1060" t="n">
        <v>2</v>
      </c>
      <c r="P1060">
        <f>HYPERLINK("https://g1.globo.com/ms/mato-grosso-do-sul/noticia/2020/03/23/exame-da-negativo-para-covid-19-em-idosa-que-morreu-com-sintomas-de-virus-respiratorios-em-campo-grande.ghtml", "URL")</f>
        <v/>
      </c>
      <c r="Q1060">
        <f>HYPERLINK("https://raw.githubusercontent.com/marcosmapl/dataset_imigrantes/main/materias_filtered/g1/venezuelanos/2020/02_mar/html/g1_f9e29406-2321-11ed-b24f-6dbe51e79fca_3728.html", "HTML")</f>
        <v/>
      </c>
      <c r="R1060">
        <f>HYPERLINK("https://raw.githubusercontent.com/marcosmapl/dataset_imigrantes/main/materias_filtered/g1/venezuelanos/2020/02_mar/txt/g1_f9e29406-2321-11ed-b24f-6dbe51e79fca_3728.txt", "TXT")</f>
        <v/>
      </c>
    </row>
    <row r="1061">
      <c r="A1061" s="1" t="n">
        <v>1059</v>
      </c>
      <c r="B1061" t="n">
        <v>2020</v>
      </c>
      <c r="C1061" s="2" t="n">
        <v>43912.83460862269</v>
      </c>
      <c r="D1061" t="inlineStr">
        <is>
          <t>G1</t>
        </is>
      </c>
      <c r="E1061" t="inlineStr">
        <is>
          <t>HAITIANOS</t>
        </is>
      </c>
      <c r="F1061" t="inlineStr">
        <is>
          <t>CIÊNCIA E SAÚDE</t>
        </is>
      </c>
      <c r="G1061" t="inlineStr">
        <is>
          <t>BBC</t>
        </is>
      </c>
      <c r="H1061" t="inlineStr">
        <is>
          <t>CINCO EPIDEMIAS QUE AJUDARAM A MUDAR O RUMO DA HISTÓRIA</t>
        </is>
      </c>
      <c r="I1061" t="inlineStr">
        <is>
          <t>MUITAS DOENÇAS AO LONGO DA HISTÓRIA TIVERAM ENORMES EFEITOS A LONGO PRAZO: DESDE A QUEDA DAS DINASTIAS, PASSANDO PELO AUMENTO NO COLONIALISMO, E CHEGANDO AO ESFRIAMENTO DO CLIMA.</t>
        </is>
      </c>
      <c r="J1061" t="inlineStr"/>
      <c r="K1061" t="n">
        <v>0</v>
      </c>
      <c r="L1061" t="n">
        <v>1</v>
      </c>
      <c r="M1061" t="n">
        <v>0</v>
      </c>
      <c r="N1061" t="n">
        <v>0</v>
      </c>
      <c r="O1061" t="n">
        <v>3</v>
      </c>
      <c r="P1061">
        <f>HYPERLINK("https://g1.globo.com/ciencia-e-saude/noticia/2020/03/22/cinco-epidemias-que-ajudaram-a-mudar-o-rumo-da-historia.ghtml", "URL")</f>
        <v/>
      </c>
      <c r="Q1061">
        <f>HYPERLINK("https://raw.githubusercontent.com/marcosmapl/dataset_imigrantes/main/materias_filtered/g1/haitianos/2020/02_mar/html/g1_0d837dd0-2314-11ed-b24f-6dbe51e79fca_3042.html", "HTML")</f>
        <v/>
      </c>
      <c r="R1061">
        <f>HYPERLINK("https://raw.githubusercontent.com/marcosmapl/dataset_imigrantes/main/materias_filtered/g1/haitianos/2020/02_mar/txt/g1_0d837dd0-2314-11ed-b24f-6dbe51e79fca_3042.txt", "TXT")</f>
        <v/>
      </c>
    </row>
    <row r="1062">
      <c r="A1062" s="1" t="n">
        <v>1060</v>
      </c>
      <c r="B1062" t="n">
        <v>2020</v>
      </c>
      <c r="C1062" s="2" t="n">
        <v>43912.71193326389</v>
      </c>
      <c r="D1062" t="inlineStr">
        <is>
          <t>G1</t>
        </is>
      </c>
      <c r="E1062" t="inlineStr">
        <is>
          <t>VENEZUELANOS</t>
        </is>
      </c>
      <c r="F1062" t="inlineStr">
        <is>
          <t>RORAIMA</t>
        </is>
      </c>
      <c r="G1062" t="inlineStr">
        <is>
          <t>SUZANNE OLIVEIRA, G1 RR — BOA VISTA</t>
        </is>
      </c>
      <c r="H1062" t="inlineStr">
        <is>
          <t>OPERAÇÃO ACOLHIDA RETIRA IMIGRANTES VENEZUELANOS QUE OCUPAVAM ANTIGO PRÉDIO DA EDUCAÇÃO EM BOA VISTA</t>
        </is>
      </c>
      <c r="I1062" t="inlineStr">
        <is>
          <t>ATUALMENTE, CERCA DE 3 MIL PESSOAS VIVEM EM 11 OCUPAÇÕES PÚBLICAS E PRIVADAS NA CAPITAL.</t>
        </is>
      </c>
      <c r="J1062" t="inlineStr"/>
      <c r="K1062" t="n">
        <v>0</v>
      </c>
      <c r="L1062" t="n">
        <v>1</v>
      </c>
      <c r="M1062" t="n">
        <v>0</v>
      </c>
      <c r="N1062" t="n">
        <v>0</v>
      </c>
      <c r="O1062" t="n">
        <v>0</v>
      </c>
      <c r="P1062">
        <f>HYPERLINK("https://g1.globo.com/rr/roraima/noticia/2020/03/22/operacao-acolhida-retira-imigrantes-venezuelanos-que-ocupavam-antigo-predio-da-educacao-em-boa-vista.ghtml", "URL")</f>
        <v/>
      </c>
      <c r="Q1062">
        <f>HYPERLINK("https://raw.githubusercontent.com/marcosmapl/dataset_imigrantes/main/materias_filtered/g1/venezuelanos/2020/02_mar/html/g1_6571a026-230a-11ed-b24f-6dbe51e79fca_2503.html", "HTML")</f>
        <v/>
      </c>
      <c r="R1062">
        <f>HYPERLINK("https://raw.githubusercontent.com/marcosmapl/dataset_imigrantes/main/materias_filtered/g1/venezuelanos/2020/02_mar/txt/g1_6571a026-230a-11ed-b24f-6dbe51e79fca_2503.txt", "TXT")</f>
        <v/>
      </c>
    </row>
    <row r="1063">
      <c r="A1063" s="1" t="n">
        <v>1061</v>
      </c>
      <c r="B1063" t="n">
        <v>2020</v>
      </c>
      <c r="C1063" s="2" t="n">
        <v>43912.66509164352</v>
      </c>
      <c r="D1063" t="inlineStr">
        <is>
          <t>G1</t>
        </is>
      </c>
      <c r="E1063" t="inlineStr">
        <is>
          <t>VENEZUELANOS</t>
        </is>
      </c>
      <c r="F1063" t="inlineStr">
        <is>
          <t>MATO GROSSO DO SUL</t>
        </is>
      </c>
      <c r="G1063" t="inlineStr">
        <is>
          <t>G1MS E TV MORENA</t>
        </is>
      </c>
      <c r="H1063" t="inlineStr">
        <is>
          <t>SESAU INVESTIGA MORTE DE IDOSA POR SUSPEITA DE CORONAVÍRUS EM MS</t>
        </is>
      </c>
      <c r="I1063" t="inlineStr">
        <is>
          <t>VENEZUELANA DE 63 ANOS MORREU NA MADRUGADA DO DIA 21 NA UNIDADE DE PRONTO ATENDIMENTO (UPA) LEBLON, EM CAMPO GRANDE (MS).</t>
        </is>
      </c>
      <c r="J1063" t="inlineStr"/>
      <c r="K1063" t="n">
        <v>0</v>
      </c>
      <c r="L1063" t="n">
        <v>1</v>
      </c>
      <c r="M1063" t="n">
        <v>0</v>
      </c>
      <c r="N1063" t="n">
        <v>0</v>
      </c>
      <c r="O1063" t="n">
        <v>1</v>
      </c>
      <c r="P1063">
        <f>HYPERLINK("https://g1.globo.com/ms/mato-grosso-do-sul/noticia/2020/03/22/sesau-investiga-morte-de-idosa-por-suspeita-de-coronavirus-em-ms.ghtml", "URL")</f>
        <v/>
      </c>
      <c r="Q1063">
        <f>HYPERLINK("https://raw.githubusercontent.com/marcosmapl/dataset_imigrantes/main/materias_filtered/g1/venezuelanos/2020/02_mar/html/g1_c57d8f54-2317-11ed-b24f-6dbe51e79fca_3228.html", "HTML")</f>
        <v/>
      </c>
      <c r="R1063">
        <f>HYPERLINK("https://raw.githubusercontent.com/marcosmapl/dataset_imigrantes/main/materias_filtered/g1/venezuelanos/2020/02_mar/txt/g1_c57d8f54-2317-11ed-b24f-6dbe51e79fca_3228.txt", "TXT")</f>
        <v/>
      </c>
    </row>
    <row r="1064">
      <c r="A1064" s="1" t="n">
        <v>1062</v>
      </c>
      <c r="B1064" t="n">
        <v>2020</v>
      </c>
      <c r="C1064" s="2" t="n">
        <v>43910.9417824074</v>
      </c>
      <c r="D1064" t="inlineStr">
        <is>
          <t>A CRITICA</t>
        </is>
      </c>
      <c r="E1064" t="inlineStr">
        <is>
          <t>AMBOS</t>
        </is>
      </c>
      <c r="F1064" t="inlineStr">
        <is>
          <t>MANAUS</t>
        </is>
      </c>
      <c r="G1064" t="inlineStr">
        <is>
          <t>LARISSA CAVALCANTE</t>
        </is>
      </c>
      <c r="H1064" t="inlineStr">
        <is>
          <t>CDL ESTIMA QUEDA DE ATÉ 35% NO FATURAMENTO, EM MARÇO, DO COMÉRCIO EM MANAUS</t>
        </is>
      </c>
      <c r="I1064" t="inlineStr">
        <is>
          <t>SE SITUAÇÃO PERSISTIR, O ÓRGÃO ESTIMA QUE PODE OCASIONAR ATÉ 5 MIL DEMISSÕES</t>
        </is>
      </c>
      <c r="J1064" t="inlineStr"/>
      <c r="K1064" t="n">
        <v>0</v>
      </c>
      <c r="L1064" t="n">
        <v>1</v>
      </c>
      <c r="M1064" t="n">
        <v>0</v>
      </c>
      <c r="N1064" t="n">
        <v>0</v>
      </c>
      <c r="O1064" t="n">
        <v>0</v>
      </c>
      <c r="P1064">
        <f>HYPERLINK("https://www.acritica.com/manaus/cdl-estima-queda-de-ate-35-no-faturamento-em-marco-do-comercio-em-manaus-1.45146", "URL")</f>
        <v/>
      </c>
      <c r="Q1064">
        <f>HYPERLINK("https://raw.githubusercontent.com/marcosmapl/dataset_imigrantes/main/materias_filtered/a_critica/ambos/2020/02_mar/html/1.45146_152.html", "HTML")</f>
        <v/>
      </c>
      <c r="R1064">
        <f>HYPERLINK("https://raw.githubusercontent.com/marcosmapl/dataset_imigrantes/main/materias_filtered/a_critica/ambos/2020/02_mar/txt/1.45146_152.txt", "TXT")</f>
        <v/>
      </c>
    </row>
    <row r="1065">
      <c r="A1065" s="1" t="n">
        <v>1063</v>
      </c>
      <c r="B1065" t="n">
        <v>2020</v>
      </c>
      <c r="C1065" s="2" t="n">
        <v>43908.93106481482</v>
      </c>
      <c r="D1065" t="inlineStr">
        <is>
          <t>A CRITICA</t>
        </is>
      </c>
      <c r="E1065" t="inlineStr">
        <is>
          <t>VENEZUELANOS</t>
        </is>
      </c>
      <c r="F1065" t="inlineStr">
        <is>
          <t>OPINIAO</t>
        </is>
      </c>
      <c r="G1065" t="inlineStr">
        <is>
          <t>DULCE RODRIGUEZ</t>
        </is>
      </c>
      <c r="H1065" t="inlineStr">
        <is>
          <t>FICAR EM CASA É UMA FORMA DE MORTE PARA TRABALHADORES INFORMAIS</t>
        </is>
      </c>
      <c r="I1065" t="inlineStr">
        <is>
          <t>AMAZONENSE COMEÇOU "TIRANDO GRAÇA" DA PANDEMIA, MAS DEPOIS O MEDO DO CORONAVÍRUS ESVAZIOU AS RUAS DA CIDADE, DEIXANDO TRABALHADORES AFLITOS</t>
        </is>
      </c>
      <c r="J1065" t="inlineStr">
        <is>
          <t>VIDA-DE-IMIGRANTE</t>
        </is>
      </c>
      <c r="K1065" t="n">
        <v>1</v>
      </c>
      <c r="L1065" t="n">
        <v>1</v>
      </c>
      <c r="M1065" t="n">
        <v>0</v>
      </c>
      <c r="N1065" t="n">
        <v>0</v>
      </c>
      <c r="O1065" t="n">
        <v>1</v>
      </c>
      <c r="P1065">
        <f>HYPERLINK("https://www.acritica.com/opiniao/ficar-em-casa-e-uma-forma-de-morte-para-trabalhadores-informais-1.216512", "URL")</f>
        <v/>
      </c>
      <c r="Q1065">
        <f>HYPERLINK("https://raw.githubusercontent.com/marcosmapl/dataset_imigrantes/main/materias_filtered/a_critica/venezuelanos/2020/02_mar/html/1.216512_1161.html", "HTML")</f>
        <v/>
      </c>
      <c r="R1065">
        <f>HYPERLINK("https://raw.githubusercontent.com/marcosmapl/dataset_imigrantes/main/materias_filtered/a_critica/venezuelanos/2020/02_mar/txt/1.216512_1161.txt", "TXT")</f>
        <v/>
      </c>
    </row>
    <row r="1066">
      <c r="A1066" s="1" t="n">
        <v>1064</v>
      </c>
      <c r="B1066" t="n">
        <v>2020</v>
      </c>
      <c r="C1066" s="2" t="n">
        <v>43908.91346064815</v>
      </c>
      <c r="D1066" t="inlineStr">
        <is>
          <t>A CRITICA</t>
        </is>
      </c>
      <c r="E1066" t="inlineStr">
        <is>
          <t>VENEZUELANOS</t>
        </is>
      </c>
      <c r="F1066" t="inlineStr"/>
      <c r="G1066" t="inlineStr">
        <is>
          <t>AFP</t>
        </is>
      </c>
      <c r="H1066" t="inlineStr">
        <is>
          <t>FMI NEGA AJUDA DE US$ 5 BI À VENEZUELA PARA COMBATE AO CORONAVÍRUS</t>
        </is>
      </c>
      <c r="I1066" t="inlineStr">
        <is>
          <t>SEGUNDO O FUNDO, FALTA "CLAREZA" ENVOLVENDO O RECONHECIMENTO INTERNACIONAL DO GOVERNO DA VENEZUELA</t>
        </is>
      </c>
      <c r="J1066" t="inlineStr"/>
      <c r="K1066" t="n">
        <v>0</v>
      </c>
      <c r="L1066" t="n">
        <v>1</v>
      </c>
      <c r="M1066" t="n">
        <v>0</v>
      </c>
      <c r="N1066" t="n">
        <v>0</v>
      </c>
      <c r="O1066" t="n">
        <v>0</v>
      </c>
      <c r="P1066">
        <f>HYPERLINK("https://www.acritica.com/fmi-nega-ajuda-de-us-5-bi-a-venezuela-para-combate-ao-coronavirus-1.46321", "URL")</f>
        <v/>
      </c>
      <c r="Q1066">
        <f>HYPERLINK("https://raw.githubusercontent.com/marcosmapl/dataset_imigrantes/main/materias_filtered/a_critica/venezuelanos/2020/02_mar/html/1.46321_1137.html", "HTML")</f>
        <v/>
      </c>
      <c r="R1066">
        <f>HYPERLINK("https://raw.githubusercontent.com/marcosmapl/dataset_imigrantes/main/materias_filtered/a_critica/venezuelanos/2020/02_mar/txt/1.46321_1137.txt", "TXT")</f>
        <v/>
      </c>
    </row>
    <row r="1067">
      <c r="A1067" s="1" t="n">
        <v>1065</v>
      </c>
      <c r="B1067" t="n">
        <v>2020</v>
      </c>
      <c r="C1067" s="2" t="n">
        <v>43907.38541666666</v>
      </c>
      <c r="D1067" t="inlineStr">
        <is>
          <t>PORTAL AMAZONIA</t>
        </is>
      </c>
      <c r="E1067" t="inlineStr">
        <is>
          <t>VENEZUELANOS</t>
        </is>
      </c>
      <c r="F1067" t="inlineStr">
        <is>
          <t>AMAZÔNIA INTERNACIONAL,CIDADES</t>
        </is>
      </c>
      <c r="G1067" t="inlineStr">
        <is>
          <t>PORTAL AMAZÔNIA, COM INFORMAÇÕES DA RADIOAGÊNCIA NACIONAL</t>
        </is>
      </c>
      <c r="H1067" t="inlineStr">
        <is>
          <t>ESTADOS DA AMAZÔNIA PEDEM FECHAMENTO DA FRONTEIRA COM VENEZUELA</t>
        </is>
      </c>
      <c r="I1067" t="inlineStr"/>
      <c r="J1067" t="inlineStr">
        <is>
          <t>AMAZÔNIA, AMAZÔNIA INTERNACIONAL, ANTÔNIO DENARIUM, CIDADES, FRONTEIRA, FRONTEIRA DO BRASIL, FRONTEIRA VENEZUELA FECHADA, GUIANA INGLESA, PACARAIMA, VENEZUELA</t>
        </is>
      </c>
      <c r="K1067" t="n">
        <v>10</v>
      </c>
      <c r="L1067" t="n">
        <v>1</v>
      </c>
      <c r="M1067" t="n">
        <v>0</v>
      </c>
      <c r="N1067" t="n">
        <v>0</v>
      </c>
      <c r="O1067" t="n">
        <v>15</v>
      </c>
      <c r="P1067">
        <f>HYPERLINK("https://portalamazonia.com/noticias/cidades/estados-da-amazonia-pedem-fechamento-da-fronteira-com-venezuela", "URL")</f>
        <v/>
      </c>
      <c r="Q1067">
        <f>HYPERLINK("https://raw.githubusercontent.com/marcosmapl/dataset_imigrantes/main/materias_filtered/portal_amazonia/venezuelanos/2020/02_mar/html/24696.30651_1424.html", "HTML")</f>
        <v/>
      </c>
      <c r="R1067">
        <f>HYPERLINK("https://raw.githubusercontent.com/marcosmapl/dataset_imigrantes/main/materias_filtered/portal_amazonia/venezuelanos/2020/02_mar/txt/24696.30651_1424.txt", "TXT")</f>
        <v/>
      </c>
    </row>
    <row r="1068">
      <c r="A1068" s="1" t="n">
        <v>1066</v>
      </c>
      <c r="B1068" t="n">
        <v>2020</v>
      </c>
      <c r="C1068" s="2" t="n">
        <v>43907.375</v>
      </c>
      <c r="D1068" t="inlineStr">
        <is>
          <t>A CRITICA</t>
        </is>
      </c>
      <c r="E1068" t="inlineStr">
        <is>
          <t>VENEZUELANOS</t>
        </is>
      </c>
      <c r="F1068" t="inlineStr">
        <is>
          <t>SAUDE</t>
        </is>
      </c>
      <c r="G1068" t="inlineStr">
        <is>
          <t>DANIEL AMORIM</t>
        </is>
      </c>
      <c r="H1068" t="inlineStr">
        <is>
          <t>PASSAGEIROS DO TRANSPORTE COLETIVO TEMEM CONTÁGIO DO CORONAVÍRUS EM MANAUS</t>
        </is>
      </c>
      <c r="I1068" t="inlineStr">
        <is>
          <t>USUÁRIOS E MOTORISTAS ADOTARAM USO DE MÁSCARAS CIRÚRGICAS, ALÉM DA DISPONIBILIZAÇÃO DE ÁLCOOL EM GEL NOS ÔNIBUS QUE CIRCULAM PELA CIDADE, PRINCIPALMENTE NOS INEVITÁVEIS HORÁRIOS DE PICO</t>
        </is>
      </c>
      <c r="J1068" t="inlineStr"/>
      <c r="K1068" t="n">
        <v>0</v>
      </c>
      <c r="L1068" t="n">
        <v>1</v>
      </c>
      <c r="M1068" t="n">
        <v>0</v>
      </c>
      <c r="N1068" t="n">
        <v>0</v>
      </c>
      <c r="O1068" t="n">
        <v>0</v>
      </c>
      <c r="P1068">
        <f>HYPERLINK("https://www.acritica.com/saude/passageiros-do-transporte-coletivo-temem-contagio-do-coronavirus-em-manaus-1.46451", "URL")</f>
        <v/>
      </c>
      <c r="Q1068">
        <f>HYPERLINK("https://raw.githubusercontent.com/marcosmapl/dataset_imigrantes/main/materias_filtered/a_critica/venezuelanos/2020/02_mar/html/1.46451_762.html", "HTML")</f>
        <v/>
      </c>
      <c r="R1068">
        <f>HYPERLINK("https://raw.githubusercontent.com/marcosmapl/dataset_imigrantes/main/materias_filtered/a_critica/venezuelanos/2020/02_mar/txt/1.46451_762.txt", "TXT")</f>
        <v/>
      </c>
    </row>
    <row r="1069">
      <c r="A1069" s="1" t="n">
        <v>1067</v>
      </c>
      <c r="B1069" t="n">
        <v>2020</v>
      </c>
      <c r="C1069" s="2" t="n">
        <v>43906.62847222222</v>
      </c>
      <c r="D1069" t="inlineStr">
        <is>
          <t>PORTAL AMAZONIA</t>
        </is>
      </c>
      <c r="E1069" t="inlineStr">
        <is>
          <t>VENEZUELANOS</t>
        </is>
      </c>
      <c r="F1069" t="inlineStr">
        <is>
          <t>NOTÍCIAS,SAÚDE</t>
        </is>
      </c>
      <c r="G1069" t="inlineStr">
        <is>
          <t>PORTAL AMAZÔNIA, COM INFORMAÇÕES DO G1 RORAIMA</t>
        </is>
      </c>
      <c r="H1069" t="inlineStr">
        <is>
          <t>GOVERNADOR DE RORAIMA PEDE FECHAMENTO DE FRONTEIRA POR CAUSA DE PANDEMIA DO CORONAVÍRUS</t>
        </is>
      </c>
      <c r="I1069" t="inlineStr">
        <is>
          <t>SEGUNDO ANTÔNIO DENARIUM, CERCA DE 500 IMIGRANTES CHEGAM TODOS OS DIAS PELA FRONTEIRA COM A VENEZUELA, O QUE PRESSIONA O SISTEMA DE SAÚDE PÚBLICA DO ESTADO</t>
        </is>
      </c>
      <c r="J1069" t="inlineStr">
        <is>
          <t>ANTÔNIO DENARIUM, BOA VISTA, BRASIL, CORONA, CORONA VIRUS, CORONAVIRUS, FECHAMENTO DE FRONTEIRA, NOTÍCIAS, RORAIMA, SAÚDE, VENEZUELA, VÍRUS</t>
        </is>
      </c>
      <c r="K1069" t="n">
        <v>12</v>
      </c>
      <c r="L1069" t="n">
        <v>1</v>
      </c>
      <c r="M1069" t="n">
        <v>0</v>
      </c>
      <c r="N1069" t="n">
        <v>0</v>
      </c>
      <c r="O1069" t="n">
        <v>20</v>
      </c>
      <c r="P1069">
        <f>HYPERLINK("https://portalamazonia.com/noticias/governador-de-roraima-pede-fechamento-de-fronteira-por-causa-de-pandemia-do-coronavirus", "URL")</f>
        <v/>
      </c>
      <c r="Q1069">
        <f>HYPERLINK("https://raw.githubusercontent.com/marcosmapl/dataset_imigrantes/main/materias_filtered/portal_amazonia/venezuelanos/2020/02_mar/html/24689.30627_1412.html", "HTML")</f>
        <v/>
      </c>
      <c r="R1069">
        <f>HYPERLINK("https://raw.githubusercontent.com/marcosmapl/dataset_imigrantes/main/materias_filtered/portal_amazonia/venezuelanos/2020/02_mar/txt/24689.30627_1412.txt", "TXT")</f>
        <v/>
      </c>
    </row>
    <row r="1070">
      <c r="A1070" s="1" t="n">
        <v>1068</v>
      </c>
      <c r="B1070" t="n">
        <v>2020</v>
      </c>
      <c r="C1070" s="2" t="n">
        <v>43904.59018518519</v>
      </c>
      <c r="D1070" t="inlineStr">
        <is>
          <t>A CRITICA</t>
        </is>
      </c>
      <c r="E1070" t="inlineStr">
        <is>
          <t>VENEZUELANOS</t>
        </is>
      </c>
      <c r="F1070" t="inlineStr">
        <is>
          <t>POLICIA</t>
        </is>
      </c>
      <c r="G1070" t="inlineStr">
        <is>
          <t>JAN NOGUEIRA</t>
        </is>
      </c>
      <c r="H1070" t="inlineStr">
        <is>
          <t>VENEZUELANO MORRE APÓS CONFUSÃO COM CELULAR E POSSÍVEL ARMA DE FOGO EM MANAUS</t>
        </is>
      </c>
      <c r="I1070" t="inlineStr">
        <is>
          <t>O HOMEM ESTAVA SENDO ABORDADO PELA POLÍCIA APÓS TER SIDO DENUNCIADO POR AMEAÇAS E AGRESSÕES. ELE FOI ATINGIDO POR TIROS APÓS TER SIMULADO SACAR UMA ARMA DE FOGO QUE, NO ENTANTO, ERA O SEU CELULAR</t>
        </is>
      </c>
      <c r="J1070" t="inlineStr"/>
      <c r="K1070" t="n">
        <v>0</v>
      </c>
      <c r="L1070" t="n">
        <v>1</v>
      </c>
      <c r="M1070" t="n">
        <v>0</v>
      </c>
      <c r="N1070" t="n">
        <v>0</v>
      </c>
      <c r="O1070" t="n">
        <v>0</v>
      </c>
      <c r="P1070">
        <f>HYPERLINK("https://www.acritica.com/policia/venezuelano-morre-apos-confus-o-com-celular-e-possivel-arma-de-fogo-em-manaus-1.45391", "URL")</f>
        <v/>
      </c>
      <c r="Q1070">
        <f>HYPERLINK("https://raw.githubusercontent.com/marcosmapl/dataset_imigrantes/main/materias_filtered/a_critica/venezuelanos/2020/02_mar/html/1.45391_400.html", "HTML")</f>
        <v/>
      </c>
      <c r="R1070">
        <f>HYPERLINK("https://raw.githubusercontent.com/marcosmapl/dataset_imigrantes/main/materias_filtered/a_critica/venezuelanos/2020/02_mar/txt/1.45391_400.txt", "TXT")</f>
        <v/>
      </c>
    </row>
    <row r="1071">
      <c r="A1071" s="1" t="n">
        <v>1069</v>
      </c>
      <c r="B1071" t="n">
        <v>2020</v>
      </c>
      <c r="C1071" s="2" t="n">
        <v>43902.47569444445</v>
      </c>
      <c r="D1071" t="inlineStr">
        <is>
          <t>A CRITICA</t>
        </is>
      </c>
      <c r="E1071" t="inlineStr">
        <is>
          <t>VENEZUELANOS</t>
        </is>
      </c>
      <c r="F1071" t="inlineStr">
        <is>
          <t>MANAUS</t>
        </is>
      </c>
      <c r="G1071" t="inlineStr">
        <is>
          <t>PORTAL A CRÍTICA</t>
        </is>
      </c>
      <c r="H1071" t="inlineStr">
        <is>
          <t>REFUGIADOS VENEZUELANOS RECEBEM AUXÍLIO SOCIAL EM ABRIGO DE MANAUS</t>
        </is>
      </c>
      <c r="I1071" t="inlineStr">
        <is>
          <t>SITUADO NO BAIRRO COROADO, MAIS DE 200 ATENDIMENTOS FORAM REALIZADOS PELO COMITÊ INTERNACIONAL DA CRUZ VERMELHA</t>
        </is>
      </c>
      <c r="J1071" t="inlineStr"/>
      <c r="K1071" t="n">
        <v>0</v>
      </c>
      <c r="L1071" t="n">
        <v>1</v>
      </c>
      <c r="M1071" t="n">
        <v>0</v>
      </c>
      <c r="N1071" t="n">
        <v>0</v>
      </c>
      <c r="O1071" t="n">
        <v>0</v>
      </c>
      <c r="P1071">
        <f>HYPERLINK("https://www.acritica.com/manaus/refugiados-venezuelanos-recebem-auxilio-social-em-abrigo-de-manaus-1.45494", "URL")</f>
        <v/>
      </c>
      <c r="Q1071">
        <f>HYPERLINK("https://raw.githubusercontent.com/marcosmapl/dataset_imigrantes/main/materias_filtered/a_critica/venezuelanos/2020/02_mar/html/1.45494_1015.html", "HTML")</f>
        <v/>
      </c>
      <c r="R1071">
        <f>HYPERLINK("https://raw.githubusercontent.com/marcosmapl/dataset_imigrantes/main/materias_filtered/a_critica/venezuelanos/2020/02_mar/txt/1.45494_1015.txt", "TXT")</f>
        <v/>
      </c>
    </row>
    <row r="1072">
      <c r="A1072" s="1" t="n">
        <v>1070</v>
      </c>
      <c r="B1072" t="n">
        <v>2020</v>
      </c>
      <c r="C1072" s="2" t="n">
        <v>43900.74722222222</v>
      </c>
      <c r="D1072" t="inlineStr">
        <is>
          <t>A CRITICA</t>
        </is>
      </c>
      <c r="E1072" t="inlineStr">
        <is>
          <t>VENEZUELANOS</t>
        </is>
      </c>
      <c r="F1072" t="inlineStr">
        <is>
          <t>MANAUS</t>
        </is>
      </c>
      <c r="G1072" t="inlineStr">
        <is>
          <t>ALEXANDRE PEQUENO</t>
        </is>
      </c>
      <c r="H1072" t="inlineStr">
        <is>
          <t>MAESTRO AMAZONENSE ESTREIA NA ORQUESTRA FILARMÔNICA DE LOS ANGELES</t>
        </is>
      </c>
      <c r="I1072" t="inlineStr">
        <is>
          <t>O TRABALHO EM LOS ANGELES É RESULTADO DO "DUDAMEL FELLOWS PROGRAM" NO QUAL CARRIEL FOI SELECIONADO PARA PARTICIPAR NO ANO PASSADO</t>
        </is>
      </c>
      <c r="J1072" t="inlineStr"/>
      <c r="K1072" t="n">
        <v>0</v>
      </c>
      <c r="L1072" t="n">
        <v>1</v>
      </c>
      <c r="M1072" t="n">
        <v>0</v>
      </c>
      <c r="N1072" t="n">
        <v>0</v>
      </c>
      <c r="O1072" t="n">
        <v>0</v>
      </c>
      <c r="P1072">
        <f>HYPERLINK("https://www.acritica.com/manaus/maestro-amazonense-estreia-na-orquestra-filarmonica-de-los-angeles-1.45521", "URL")</f>
        <v/>
      </c>
      <c r="Q1072">
        <f>HYPERLINK("https://raw.githubusercontent.com/marcosmapl/dataset_imigrantes/main/materias_filtered/a_critica/venezuelanos/2020/02_mar/html/1.45521_88.html", "HTML")</f>
        <v/>
      </c>
      <c r="R1072">
        <f>HYPERLINK("https://raw.githubusercontent.com/marcosmapl/dataset_imigrantes/main/materias_filtered/a_critica/venezuelanos/2020/02_mar/txt/1.45521_88.txt", "TXT")</f>
        <v/>
      </c>
    </row>
    <row r="1073">
      <c r="A1073" s="1" t="n">
        <v>1071</v>
      </c>
      <c r="B1073" t="n">
        <v>2020</v>
      </c>
      <c r="C1073" s="2" t="n">
        <v>43899.56193287037</v>
      </c>
      <c r="D1073" t="inlineStr">
        <is>
          <t>A CRITICA</t>
        </is>
      </c>
      <c r="E1073" t="inlineStr">
        <is>
          <t>VENEZUELANOS</t>
        </is>
      </c>
      <c r="F1073" t="inlineStr"/>
      <c r="G1073" t="inlineStr">
        <is>
          <t>AFP</t>
        </is>
      </c>
      <c r="H1073" t="inlineStr">
        <is>
          <t>NOS EUA, BOLSONARO ASSINA ACORDO MILITAR QUE FACILITA IMPORTAÇÃO DE ARMAS</t>
        </is>
      </c>
      <c r="I1073" t="inlineStr">
        <is>
          <t>ASSINATURA OCORRE NO DIA SEGUINTE AO PRESIDENTE AMERICANO, DONALD TRUMP, RECEBER BOLSONARO EM SUA RESIDÊNCIA E CLUBE DE GOLFE MAR-A-LAGO, EM PALM BEACH, 113 KM AO NORTE DE MIAMI.</t>
        </is>
      </c>
      <c r="J1073" t="inlineStr"/>
      <c r="K1073" t="n">
        <v>0</v>
      </c>
      <c r="L1073" t="n">
        <v>1</v>
      </c>
      <c r="M1073" t="n">
        <v>0</v>
      </c>
      <c r="N1073" t="n">
        <v>0</v>
      </c>
      <c r="O1073" t="n">
        <v>0</v>
      </c>
      <c r="P1073">
        <f>HYPERLINK("https://www.acritica.com/nos-eua-bolsonaro-assina-acordo-militar-que-facilita-importac-o-de-armas-1.46796", "URL")</f>
        <v/>
      </c>
      <c r="Q1073">
        <f>HYPERLINK("https://raw.githubusercontent.com/marcosmapl/dataset_imigrantes/main/materias_filtered/a_critica/venezuelanos/2020/02_mar/html/1.46796_822.html", "HTML")</f>
        <v/>
      </c>
      <c r="R1073">
        <f>HYPERLINK("https://raw.githubusercontent.com/marcosmapl/dataset_imigrantes/main/materias_filtered/a_critica/venezuelanos/2020/02_mar/txt/1.46796_822.txt", "TXT")</f>
        <v/>
      </c>
    </row>
    <row r="1074">
      <c r="A1074" s="1" t="n">
        <v>1072</v>
      </c>
      <c r="B1074" t="n">
        <v>2020</v>
      </c>
      <c r="C1074" s="2" t="n">
        <v>43898.98667824074</v>
      </c>
      <c r="D1074" t="inlineStr">
        <is>
          <t>A CRITICA</t>
        </is>
      </c>
      <c r="E1074" t="inlineStr">
        <is>
          <t>VENEZUELANOS</t>
        </is>
      </c>
      <c r="F1074" t="inlineStr">
        <is>
          <t>ESPORTES</t>
        </is>
      </c>
      <c r="G1074" t="inlineStr">
        <is>
          <t>LEONARDO SENA</t>
        </is>
      </c>
      <c r="H1074" t="inlineStr">
        <is>
          <t>LONGE DO PAÍS DE ORIGEM, MULHERES REPRESENTAM A FORÇA DO FUTEBOL FEMININO NO 3B</t>
        </is>
      </c>
      <c r="I1074" t="inlineStr">
        <is>
          <t>SEIS JOGADORAS E UMA PROFISSIONAL DE COMUNICAÇÃO FALAM SOBRE A RECEPTIVIDADE DOS AMAZONENSES, O DURO DESAFIO DE TRABALHAR LONGE DE 'CASA' E ATÉ MESMO DE FAMILIARES</t>
        </is>
      </c>
      <c r="J1074" t="inlineStr"/>
      <c r="K1074" t="n">
        <v>0</v>
      </c>
      <c r="L1074" t="n">
        <v>1</v>
      </c>
      <c r="M1074" t="n">
        <v>0</v>
      </c>
      <c r="N1074" t="n">
        <v>0</v>
      </c>
      <c r="O1074" t="n">
        <v>0</v>
      </c>
      <c r="P1074">
        <f>HYPERLINK("https://www.acritica.com/esportes/longe-do-pais-de-origem-mulheres-representam-a-forca-do-futebol-feminino-no-3b-1.46817", "URL")</f>
        <v/>
      </c>
      <c r="Q1074">
        <f>HYPERLINK("https://raw.githubusercontent.com/marcosmapl/dataset_imigrantes/main/materias_filtered/a_critica/venezuelanos/2020/02_mar/html/1.46817_632.html", "HTML")</f>
        <v/>
      </c>
      <c r="R1074">
        <f>HYPERLINK("https://raw.githubusercontent.com/marcosmapl/dataset_imigrantes/main/materias_filtered/a_critica/venezuelanos/2020/02_mar/txt/1.46817_632.txt", "TXT")</f>
        <v/>
      </c>
    </row>
    <row r="1075">
      <c r="A1075" s="1" t="n">
        <v>1073</v>
      </c>
      <c r="B1075" t="n">
        <v>2020</v>
      </c>
      <c r="C1075" s="2" t="n">
        <v>43897.77380490741</v>
      </c>
      <c r="D1075" t="inlineStr">
        <is>
          <t>G1</t>
        </is>
      </c>
      <c r="E1075" t="inlineStr">
        <is>
          <t>VENEZUELANOS</t>
        </is>
      </c>
      <c r="F1075" t="inlineStr">
        <is>
          <t>PARAÍBA</t>
        </is>
      </c>
      <c r="G1075" t="inlineStr">
        <is>
          <t>G1 PB</t>
        </is>
      </c>
      <c r="H1075" t="inlineStr">
        <is>
          <t>REFUGIADA NO BRASIL, PSICÓLOGA VENEZUELANA RELATA SUPERAÇÃO COMO VENDEDORA DE SORVETES</t>
        </is>
      </c>
      <c r="I1075" t="inlineStr">
        <is>
          <t>LEIDY RONDON, DE 24 ANOS, CONTA SUPERAÇÃO PARA DEIXAR O PAÍS QUE NASCEU E VIVER COMO REFUGIADA NO BRASIL. VENEZUELANA AJUDA FAMÍLIA COM DINHEIRO DE TRABALHO EM REDE DE FAST FOOD.</t>
        </is>
      </c>
      <c r="J1075" t="inlineStr"/>
      <c r="K1075" t="n">
        <v>0</v>
      </c>
      <c r="L1075" t="n">
        <v>2</v>
      </c>
      <c r="M1075" t="n">
        <v>0</v>
      </c>
      <c r="N1075" t="n">
        <v>0</v>
      </c>
      <c r="O1075" t="n">
        <v>1</v>
      </c>
      <c r="P1075">
        <f>HYPERLINK("https://g1.globo.com/pb/paraiba/noticia/2020/03/07/refugiada-no-brasil-psicologa-venezuelana-relata-superacao-como-vendedora-de-sorvetes.ghtml", "URL")</f>
        <v/>
      </c>
      <c r="Q1075">
        <f>HYPERLINK("https://raw.githubusercontent.com/marcosmapl/dataset_imigrantes/main/materias_filtered/g1/venezuelanos/2020/02_mar/html/g1_db2334dc-231a-11ed-b24f-6dbe51e79fca_3357.html", "HTML")</f>
        <v/>
      </c>
      <c r="R1075">
        <f>HYPERLINK("https://raw.githubusercontent.com/marcosmapl/dataset_imigrantes/main/materias_filtered/g1/venezuelanos/2020/02_mar/txt/g1_db2334dc-231a-11ed-b24f-6dbe51e79fca_3357.txt", "TXT")</f>
        <v/>
      </c>
    </row>
    <row r="1076">
      <c r="A1076" s="1" t="n">
        <v>1074</v>
      </c>
      <c r="B1076" t="n">
        <v>2020</v>
      </c>
      <c r="C1076" s="2" t="n">
        <v>43896.775</v>
      </c>
      <c r="D1076" t="inlineStr">
        <is>
          <t>A CRITICA</t>
        </is>
      </c>
      <c r="E1076" t="inlineStr">
        <is>
          <t>VENEZUELANOS</t>
        </is>
      </c>
      <c r="F1076" t="inlineStr">
        <is>
          <t>OPINIAO</t>
        </is>
      </c>
      <c r="G1076" t="inlineStr">
        <is>
          <t>DULCE RODRIGUEZ</t>
        </is>
      </c>
      <c r="H1076" t="inlineStr">
        <is>
          <t>COMO A IMPRESSÃO DIGITAL VIROU LEMBRANÇA DE RACIONAMENTO</t>
        </is>
      </c>
      <c r="I1076" t="inlineStr">
        <is>
          <t>EQUIPAMENTO USADO PARA EMITIR DE CARTEIRA DE IDENTIDADE EM MANAUS ME FEZ "VIAJAR NO TEMPO" ATÉ A VENEZUELA, ONDE DIGITAL ERA USADA PARA LIMITAR COMPRAS</t>
        </is>
      </c>
      <c r="J1076" t="inlineStr">
        <is>
          <t>VIDA-DE-IMIGRANTE</t>
        </is>
      </c>
      <c r="K1076" t="n">
        <v>1</v>
      </c>
      <c r="L1076" t="n">
        <v>1</v>
      </c>
      <c r="M1076" t="n">
        <v>0</v>
      </c>
      <c r="N1076" t="n">
        <v>0</v>
      </c>
      <c r="O1076" t="n">
        <v>1</v>
      </c>
      <c r="P1076">
        <f>HYPERLINK("https://www.acritica.com/opiniao/como-a-impress-o-digital-virou-lembranca-de-racionamento-1.216534", "URL")</f>
        <v/>
      </c>
      <c r="Q1076">
        <f>HYPERLINK("https://raw.githubusercontent.com/marcosmapl/dataset_imigrantes/main/materias_filtered/a_critica/venezuelanos/2020/02_mar/html/1.216534_1059.html", "HTML")</f>
        <v/>
      </c>
      <c r="R1076">
        <f>HYPERLINK("https://raw.githubusercontent.com/marcosmapl/dataset_imigrantes/main/materias_filtered/a_critica/venezuelanos/2020/02_mar/txt/1.216534_1059.txt", "TXT")</f>
        <v/>
      </c>
    </row>
    <row r="1077">
      <c r="A1077" s="1" t="n">
        <v>1075</v>
      </c>
      <c r="B1077" t="n">
        <v>2020</v>
      </c>
      <c r="C1077" s="2" t="n">
        <v>43894.91045725694</v>
      </c>
      <c r="D1077" t="inlineStr">
        <is>
          <t>G1</t>
        </is>
      </c>
      <c r="E1077" t="inlineStr">
        <is>
          <t>VENEZUELANOS</t>
        </is>
      </c>
      <c r="F1077" t="inlineStr">
        <is>
          <t>PARAÍBA</t>
        </is>
      </c>
      <c r="G1077" t="inlineStr">
        <is>
          <t>PLÍNIO ALMEIDA, TV CABO BRANCO, G1 PB</t>
        </is>
      </c>
      <c r="H1077" t="inlineStr">
        <is>
          <t>FAMÍLIAS VENEZUELANAS PODEM SER REALOCADAS PARA PRÉDIO EM JOÃO PESSOA, DIZ MPF</t>
        </is>
      </c>
      <c r="I1077" t="inlineStr">
        <is>
          <t>LOCAL SERÁ UMA MORADIA TEMPORÁRIA PARA O GRUPO QUE ESTÁ MORANDO NO BAIRRO DO RÓGER.</t>
        </is>
      </c>
      <c r="J1077" t="inlineStr"/>
      <c r="K1077" t="n">
        <v>0</v>
      </c>
      <c r="L1077" t="n">
        <v>0</v>
      </c>
      <c r="M1077" t="n">
        <v>0</v>
      </c>
      <c r="N1077" t="n">
        <v>0</v>
      </c>
      <c r="O1077" t="n">
        <v>2</v>
      </c>
      <c r="P1077">
        <f>HYPERLINK("https://g1.globo.com/pb/paraiba/noticia/2020/03/04/familias-venezuelanas-podem-ser-realocados-para-predio-em-joao-pessoa-diz-mpf.ghtml", "URL")</f>
        <v/>
      </c>
      <c r="Q1077">
        <f>HYPERLINK("https://raw.githubusercontent.com/marcosmapl/dataset_imigrantes/main/materias_filtered/g1/venezuelanos/2020/02_mar/html/g1_45726b42-231a-11ed-b24f-6dbe51e79fca_3326.html", "HTML")</f>
        <v/>
      </c>
      <c r="R1077">
        <f>HYPERLINK("https://raw.githubusercontent.com/marcosmapl/dataset_imigrantes/main/materias_filtered/g1/venezuelanos/2020/02_mar/txt/g1_45726b42-231a-11ed-b24f-6dbe51e79fca_3326.txt", "TXT")</f>
        <v/>
      </c>
    </row>
    <row r="1078">
      <c r="A1078" s="1" t="n">
        <v>1076</v>
      </c>
      <c r="B1078" t="n">
        <v>2020</v>
      </c>
      <c r="C1078" s="2" t="n">
        <v>43893.44513888889</v>
      </c>
      <c r="D1078" t="inlineStr">
        <is>
          <t>A CRITICA</t>
        </is>
      </c>
      <c r="E1078" t="inlineStr">
        <is>
          <t>AMBOS</t>
        </is>
      </c>
      <c r="F1078" t="inlineStr">
        <is>
          <t>MANAUS</t>
        </is>
      </c>
      <c r="G1078" t="inlineStr">
        <is>
          <t>PORTAL A CRÍTICA</t>
        </is>
      </c>
      <c r="H1078" t="inlineStr">
        <is>
          <t>AÇÃO DE CADASTRO DE MORADORES DO MONTE HOREBE AVANÇA E ENTRA NO 2º DIA</t>
        </is>
      </c>
      <c r="I1078" t="inlineStr">
        <is>
          <t>GOVERNO ESPERA QUE O CADASTRO PARA ENCAMINHAMENTO DOS ANTIGOS MORADORES  DA INVASÃO TERMINE NESTA TERÇA-FEIRA (3). PRIMEIRAS FAMÍLIAS JÁ COMEÇAM A RECEBER ALUGUEL SOCIAL NO VALOR DE R$ 600</t>
        </is>
      </c>
      <c r="J1078" t="inlineStr"/>
      <c r="K1078" t="n">
        <v>0</v>
      </c>
      <c r="L1078" t="n">
        <v>1</v>
      </c>
      <c r="M1078" t="n">
        <v>0</v>
      </c>
      <c r="N1078" t="n">
        <v>0</v>
      </c>
      <c r="O1078" t="n">
        <v>0</v>
      </c>
      <c r="P1078">
        <f>HYPERLINK("https://www.acritica.com/manaus/ac-o-de-cadastro-de-moradores-do-monte-horebe-avanca-e-entra-no-2-dia-1.47257", "URL")</f>
        <v/>
      </c>
      <c r="Q1078">
        <f>HYPERLINK("https://raw.githubusercontent.com/marcosmapl/dataset_imigrantes/main/materias_filtered/a_critica/ambos/2020/02_mar/html/1.47257_525.html", "HTML")</f>
        <v/>
      </c>
      <c r="R1078">
        <f>HYPERLINK("https://raw.githubusercontent.com/marcosmapl/dataset_imigrantes/main/materias_filtered/a_critica/ambos/2020/02_mar/txt/1.47257_525.txt", "TXT")</f>
        <v/>
      </c>
    </row>
    <row r="1079">
      <c r="A1079" s="1" t="n">
        <v>1077</v>
      </c>
      <c r="B1079" t="n">
        <v>2020</v>
      </c>
      <c r="C1079" s="2" t="n">
        <v>43892.83667824074</v>
      </c>
      <c r="D1079" t="inlineStr">
        <is>
          <t>A CRITICA</t>
        </is>
      </c>
      <c r="E1079" t="inlineStr">
        <is>
          <t>VENEZUELANOS</t>
        </is>
      </c>
      <c r="F1079" t="inlineStr">
        <is>
          <t>OPINIAO</t>
        </is>
      </c>
      <c r="G1079" t="inlineStr">
        <is>
          <t>DULCE RODRIGUEZ</t>
        </is>
      </c>
      <c r="H1079" t="inlineStr">
        <is>
          <t>DA VENEZUELA PARA MANAUS: MEU OLHAR DESDE O EXÍLIO</t>
        </is>
      </c>
      <c r="I1079" t="inlineStr">
        <is>
          <t>NESTE ESPAÇO, VOU LHES DESCREVER MINHAS VIVÊNCIAS, DESAFIOS E LUTAS EM MANAUS, CONTRA AS BARREIRAS COMO IDIOMA E AS CULTURAIS</t>
        </is>
      </c>
      <c r="J1079" t="inlineStr">
        <is>
          <t>VIDA-DE-IMIGRANTE</t>
        </is>
      </c>
      <c r="K1079" t="n">
        <v>1</v>
      </c>
      <c r="L1079" t="n">
        <v>1</v>
      </c>
      <c r="M1079" t="n">
        <v>0</v>
      </c>
      <c r="N1079" t="n">
        <v>0</v>
      </c>
      <c r="O1079" t="n">
        <v>1</v>
      </c>
      <c r="P1079">
        <f>HYPERLINK("https://www.acritica.com/opiniao/da-venezuela-para-manaus-meu-olhar-desde-o-exilio-1.216543", "URL")</f>
        <v/>
      </c>
      <c r="Q1079">
        <f>HYPERLINK("https://raw.githubusercontent.com/marcosmapl/dataset_imigrantes/main/materias_filtered/a_critica/venezuelanos/2020/02_mar/html/1.216543_215.html", "HTML")</f>
        <v/>
      </c>
      <c r="R1079">
        <f>HYPERLINK("https://raw.githubusercontent.com/marcosmapl/dataset_imigrantes/main/materias_filtered/a_critica/venezuelanos/2020/02_mar/txt/1.216543_215.txt", "TXT")</f>
        <v/>
      </c>
    </row>
    <row r="1080">
      <c r="A1080" s="1" t="n">
        <v>1078</v>
      </c>
      <c r="B1080" t="n">
        <v>2020</v>
      </c>
      <c r="C1080" s="2" t="n">
        <v>43892.54861111111</v>
      </c>
      <c r="D1080" t="inlineStr">
        <is>
          <t>A CRITICA</t>
        </is>
      </c>
      <c r="E1080" t="inlineStr">
        <is>
          <t>AMBOS</t>
        </is>
      </c>
      <c r="F1080" t="inlineStr">
        <is>
          <t>MANAUS</t>
        </is>
      </c>
      <c r="G1080" t="inlineStr">
        <is>
          <t>CLEY MEDEIROS</t>
        </is>
      </c>
      <c r="H1080" t="inlineStr">
        <is>
          <t>MONTE HOREBE: CASAS DE CADASTRADOS SÓ SERÃO DEMOLIDAS APÓS ACORDO DE MORADIA</t>
        </is>
      </c>
      <c r="I1080" t="inlineStr">
        <is>
          <t>OUTRAS EDIFICAÇÕES NÃO RESIDENCIAIS E AQUELAS QUE ESTÃO DESOCUPADAS DEVEM SER DEMOLIDAS HOJE, AFIRMA SECRETARIA DE SEGURANÇA PÚBLICA (SSP-AM)</t>
        </is>
      </c>
      <c r="J1080" t="inlineStr"/>
      <c r="K1080" t="n">
        <v>0</v>
      </c>
      <c r="L1080" t="n">
        <v>1</v>
      </c>
      <c r="M1080" t="n">
        <v>0</v>
      </c>
      <c r="N1080" t="n">
        <v>0</v>
      </c>
      <c r="O1080" t="n">
        <v>0</v>
      </c>
      <c r="P1080">
        <f>HYPERLINK("https://www.acritica.com/manaus/monte-horebe-casas-de-cadastrados-so-ser-o-demolidas-apos-acordo-de-moradia-1.47532", "URL")</f>
        <v/>
      </c>
      <c r="Q1080">
        <f>HYPERLINK("https://raw.githubusercontent.com/marcosmapl/dataset_imigrantes/main/materias_filtered/a_critica/ambos/2020/02_mar/html/1.47532_865.html", "HTML")</f>
        <v/>
      </c>
      <c r="R1080">
        <f>HYPERLINK("https://raw.githubusercontent.com/marcosmapl/dataset_imigrantes/main/materias_filtered/a_critica/ambos/2020/02_mar/txt/1.47532_865.txt", "TXT")</f>
        <v/>
      </c>
    </row>
    <row r="1081">
      <c r="A1081" s="1" t="n">
        <v>1079</v>
      </c>
      <c r="B1081" t="n">
        <v>2020</v>
      </c>
      <c r="C1081" s="2" t="n">
        <v>43887.83646990741</v>
      </c>
      <c r="D1081" t="inlineStr">
        <is>
          <t>A CRITICA</t>
        </is>
      </c>
      <c r="E1081" t="inlineStr">
        <is>
          <t>VENEZUELANOS</t>
        </is>
      </c>
      <c r="F1081" t="inlineStr"/>
      <c r="G1081" t="inlineStr">
        <is>
          <t>PORTAL A CRÍTICA</t>
        </is>
      </c>
      <c r="H1081" t="inlineStr">
        <is>
          <t>CURSO DE PORTUGUÊS PARA IMIGRANTES ESTÁ COM INSCRIÇÕES ABERTAS EM MANAUS</t>
        </is>
      </c>
      <c r="I1081" t="inlineStr">
        <is>
          <t>PROJETO SOCIAL DA IGREJA DA IGREJA 'CHAMA CHURCH' OFERECE AULAS PARA NÍVEL BÁSICO E INTERMEDIÁRIO. CURSO INICIA NA PRÓXIMA SEGUNDA-FEIRA (2)</t>
        </is>
      </c>
      <c r="J1081" t="inlineStr"/>
      <c r="K1081" t="n">
        <v>0</v>
      </c>
      <c r="L1081" t="n">
        <v>1</v>
      </c>
      <c r="M1081" t="n">
        <v>0</v>
      </c>
      <c r="N1081" t="n">
        <v>0</v>
      </c>
      <c r="O1081" t="n">
        <v>0</v>
      </c>
      <c r="P1081">
        <f>HYPERLINK("https://www.acritica.com/curso-de-portugues-para-imigrantes-esta-com-inscric-es-abertas-em-manaus-1.47699", "URL")</f>
        <v/>
      </c>
      <c r="Q1081">
        <f>HYPERLINK("https://raw.githubusercontent.com/marcosmapl/dataset_imigrantes/main/materias_filtered/a_critica/venezuelanos/2020/01_fev/html/1.47699_1060.html", "HTML")</f>
        <v/>
      </c>
      <c r="R1081">
        <f>HYPERLINK("https://raw.githubusercontent.com/marcosmapl/dataset_imigrantes/main/materias_filtered/a_critica/venezuelanos/2020/01_fev/txt/1.47699_1060.txt", "TXT")</f>
        <v/>
      </c>
    </row>
    <row r="1082">
      <c r="A1082" s="1" t="n">
        <v>1080</v>
      </c>
      <c r="B1082" t="n">
        <v>2020</v>
      </c>
      <c r="C1082" s="2" t="n">
        <v>43886.88924145833</v>
      </c>
      <c r="D1082" t="inlineStr">
        <is>
          <t>G1</t>
        </is>
      </c>
      <c r="E1082" t="inlineStr">
        <is>
          <t>HAITIANOS</t>
        </is>
      </c>
      <c r="F1082" t="inlineStr">
        <is>
          <t>MUNDO</t>
        </is>
      </c>
      <c r="G1082" t="inlineStr">
        <is>
          <t>BBC</t>
        </is>
      </c>
      <c r="H1082" t="inlineStr">
        <is>
          <t>FOGO, TIROS E RUAS FECHADAS: AS IMAGENS DO 'DIA DE GUERRA' DOS POLICIAIS EM PROTESTO NO HAITI</t>
        </is>
      </c>
      <c r="I1082" t="inlineStr">
        <is>
          <t>EM PROTESTO POR MELHORES SALÁRIOS, POLICIAIS DO HAITI ATACARAM A SEDE DO EXÉRCITO DO PAÍS, CAUSANDO UM 'DIA DE GUERRA' EM PORTO PRÍNCIPE. OS MANIFESTANTES PEDEM A RENÚNCIA DO PRESIDENTE JOVENEL MOÏSE, QUE JÁ AFIRMOU QUE NÃO DEIXARÁ O PAÍS NAS MÃOS DE 'GANGUES ARMADAS'.</t>
        </is>
      </c>
      <c r="J1082" t="inlineStr"/>
      <c r="K1082" t="n">
        <v>0</v>
      </c>
      <c r="L1082" t="n">
        <v>2</v>
      </c>
      <c r="M1082" t="n">
        <v>0</v>
      </c>
      <c r="N1082" t="n">
        <v>0</v>
      </c>
      <c r="O1082" t="n">
        <v>1</v>
      </c>
      <c r="P1082">
        <f>HYPERLINK("https://g1.globo.com/mundo/noticia/2020/02/25/fogo-tiros-e-ruas-fechadas-as-imagens-do-dia-de-guerra-dos-policiais-em-protesto-no-haiti.ghtml", "URL")</f>
        <v/>
      </c>
      <c r="Q1082">
        <f>HYPERLINK("https://raw.githubusercontent.com/marcosmapl/dataset_imigrantes/main/materias_filtered/g1/haitianos/2020/01_fev/html/g1_84bb0534-231f-11ed-b24f-6dbe51e79fca_3628.html", "HTML")</f>
        <v/>
      </c>
      <c r="R1082">
        <f>HYPERLINK("https://raw.githubusercontent.com/marcosmapl/dataset_imigrantes/main/materias_filtered/g1/haitianos/2020/01_fev/txt/g1_84bb0534-231f-11ed-b24f-6dbe51e79fca_3628.txt", "TXT")</f>
        <v/>
      </c>
    </row>
    <row r="1083">
      <c r="A1083" s="1" t="n">
        <v>1081</v>
      </c>
      <c r="B1083" t="n">
        <v>2020</v>
      </c>
      <c r="C1083" s="2" t="n">
        <v>43886.80763888889</v>
      </c>
      <c r="D1083" t="inlineStr">
        <is>
          <t>A CRITICA</t>
        </is>
      </c>
      <c r="E1083" t="inlineStr">
        <is>
          <t>VENEZUELANOS</t>
        </is>
      </c>
      <c r="F1083" t="inlineStr"/>
      <c r="G1083" t="inlineStr">
        <is>
          <t>AGÊNCIA BRASIL</t>
        </is>
      </c>
      <c r="H1083" t="inlineStr">
        <is>
          <t>DELEGAÇÃO BRASILEIRA DEIXA SESSÃO DA ONU EM PROTESTO CONTRA MADURO</t>
        </is>
      </c>
      <c r="I1083" t="inlineStr">
        <is>
          <t>MAIS CEDO, AO DISCURSAR LOGO APÓS A ABERTURA DA SESSÃO, DAMARES JÁ TINHA CLASSIFICADO O ATUAL REGIME VENEZUELANO COMO “ILEGÍTIMO E AUTORITÁRIO”</t>
        </is>
      </c>
      <c r="J1083" t="inlineStr"/>
      <c r="K1083" t="n">
        <v>0</v>
      </c>
      <c r="L1083" t="n">
        <v>1</v>
      </c>
      <c r="M1083" t="n">
        <v>0</v>
      </c>
      <c r="N1083" t="n">
        <v>0</v>
      </c>
      <c r="O1083" t="n">
        <v>0</v>
      </c>
      <c r="P1083">
        <f>HYPERLINK("https://www.acritica.com/delegac-o-brasileira-deixa-sess-o-da-onu-em-protesto-contra-maduro-1.47732", "URL")</f>
        <v/>
      </c>
      <c r="Q1083">
        <f>HYPERLINK("https://raw.githubusercontent.com/marcosmapl/dataset_imigrantes/main/materias_filtered/a_critica/venezuelanos/2020/01_fev/html/1.47732_955.html", "HTML")</f>
        <v/>
      </c>
      <c r="R1083">
        <f>HYPERLINK("https://raw.githubusercontent.com/marcosmapl/dataset_imigrantes/main/materias_filtered/a_critica/venezuelanos/2020/01_fev/txt/1.47732_955.txt", "TXT")</f>
        <v/>
      </c>
    </row>
    <row r="1084">
      <c r="A1084" s="1" t="n">
        <v>1082</v>
      </c>
      <c r="B1084" t="n">
        <v>2020</v>
      </c>
      <c r="C1084" s="2" t="n">
        <v>43886.7563208912</v>
      </c>
      <c r="D1084" t="inlineStr">
        <is>
          <t>G1</t>
        </is>
      </c>
      <c r="E1084" t="inlineStr">
        <is>
          <t>HAITIANOS</t>
        </is>
      </c>
      <c r="F1084" t="inlineStr">
        <is>
          <t>CEARÁ</t>
        </is>
      </c>
      <c r="G1084" t="inlineStr">
        <is>
          <t>G1 CE</t>
        </is>
      </c>
      <c r="H1084" t="inlineStr">
        <is>
          <t>HAITIANO É PRESO NO AEROPORTO DE FORTALEZA TENTANDO EMBARCAR PARA PARIS COM PASSAPORTE FALSO</t>
        </is>
      </c>
      <c r="I1084" t="inlineStr">
        <is>
          <t>HOMEM FOI PRESO EM FLAGRANTE PELOS CRIMES DE FALSIFICAÇÃO DE DOCUMENTO PÚBLICO, FALSA IDENTIDADE E USO DE DOCUMENTO FALSO, CUJAS PENAS PODEM CHEGAR A SEIS ANOS DE PRISÃO.</t>
        </is>
      </c>
      <c r="J1084" t="inlineStr"/>
      <c r="K1084" t="n">
        <v>0</v>
      </c>
      <c r="L1084" t="n">
        <v>0</v>
      </c>
      <c r="M1084" t="n">
        <v>0</v>
      </c>
      <c r="N1084" t="n">
        <v>0</v>
      </c>
      <c r="O1084" t="n">
        <v>0</v>
      </c>
      <c r="P1084">
        <f>HYPERLINK("https://g1.globo.com/ce/ceara/noticia/2020/02/25/haitiano-e-preso-no-aeroporto-de-fortaleza-tentando-embarcar-para-paris-com-passaporte-falso.ghtml", "URL")</f>
        <v/>
      </c>
      <c r="Q1084">
        <f>HYPERLINK("https://raw.githubusercontent.com/marcosmapl/dataset_imigrantes/main/materias_filtered/g1/haitianos/2020/01_fev/html/g1_99083fe2-22f3-11ed-b24f-6dbe51e79fca_1848.html", "HTML")</f>
        <v/>
      </c>
      <c r="R1084">
        <f>HYPERLINK("https://raw.githubusercontent.com/marcosmapl/dataset_imigrantes/main/materias_filtered/g1/haitianos/2020/01_fev/txt/g1_99083fe2-22f3-11ed-b24f-6dbe51e79fca_1848.txt", "TXT")</f>
        <v/>
      </c>
    </row>
    <row r="1085">
      <c r="A1085" s="1" t="n">
        <v>1083</v>
      </c>
      <c r="B1085" t="n">
        <v>2020</v>
      </c>
      <c r="C1085" s="2" t="n">
        <v>43882.98150776621</v>
      </c>
      <c r="D1085" t="inlineStr">
        <is>
          <t>G1</t>
        </is>
      </c>
      <c r="E1085" t="inlineStr">
        <is>
          <t>VENEZUELANOS</t>
        </is>
      </c>
      <c r="F1085" t="inlineStr">
        <is>
          <t>PARAÍBA</t>
        </is>
      </c>
      <c r="G1085" t="inlineStr">
        <is>
          <t>G1 PB</t>
        </is>
      </c>
      <c r="H1085" t="inlineStr">
        <is>
          <t>VENEZUELANOS SERÃO INSCRITOS EM PROGRAMAS SOCIAIS NA PARAÍBA, DIZ MPF</t>
        </is>
      </c>
      <c r="I1085" t="inlineStr">
        <is>
          <t>ALIMENTAÇÃO, SAÚDE, TRABALHO, EDUCAÇÃO E MORADIA FORAM DISCUTIDOS COM LIDERANÇAS DA ETNIA, NESTA SEXTA (21), EM JOÃO PESSOA.</t>
        </is>
      </c>
      <c r="J1085" t="inlineStr"/>
      <c r="K1085" t="n">
        <v>0</v>
      </c>
      <c r="L1085" t="n">
        <v>1</v>
      </c>
      <c r="M1085" t="n">
        <v>0</v>
      </c>
      <c r="N1085" t="n">
        <v>0</v>
      </c>
      <c r="O1085" t="n">
        <v>3</v>
      </c>
      <c r="P1085">
        <f>HYPERLINK("https://g1.globo.com/pb/paraiba/noticia/2020/02/21/venezuelanos-serao-inscritos-em-programas-sociais-na-paraiba-diz-mpf.ghtml", "URL")</f>
        <v/>
      </c>
      <c r="Q1085">
        <f>HYPERLINK("https://raw.githubusercontent.com/marcosmapl/dataset_imigrantes/main/materias_filtered/g1/venezuelanos/2020/01_fev/html/g1_453fa610-231c-11ed-b24f-6dbe51e79fca_3436.html", "HTML")</f>
        <v/>
      </c>
      <c r="R1085">
        <f>HYPERLINK("https://raw.githubusercontent.com/marcosmapl/dataset_imigrantes/main/materias_filtered/g1/venezuelanos/2020/01_fev/txt/g1_453fa610-231c-11ed-b24f-6dbe51e79fca_3436.txt", "TXT")</f>
        <v/>
      </c>
    </row>
    <row r="1086">
      <c r="A1086" s="1" t="n">
        <v>1084</v>
      </c>
      <c r="B1086" t="n">
        <v>2020</v>
      </c>
      <c r="C1086" s="2" t="n">
        <v>43881.61326612269</v>
      </c>
      <c r="D1086" t="inlineStr">
        <is>
          <t>G1</t>
        </is>
      </c>
      <c r="E1086" t="inlineStr">
        <is>
          <t>VENEZUELANOS</t>
        </is>
      </c>
      <c r="F1086" t="inlineStr">
        <is>
          <t>MUNDO</t>
        </is>
      </c>
      <c r="G1086" t="inlineStr">
        <is>
          <t>FRANCE PRESSE</t>
        </is>
      </c>
      <c r="H1086" t="inlineStr">
        <is>
          <t>OPOSIÇÃO VENEZUELANA DENUNCIA OPERAÇÃO DE BUSCA 'ILEGAL' NA CASA DO TIO DE GUAIDÓ</t>
        </is>
      </c>
      <c r="I1086" t="inlineStr">
        <is>
          <t>AGENTES NÃO TERIAM PERMITIDO A ENTRADA DOS ADVOGADOS PARA ACOMPANHAR A REVISTA; MÁRQUEZ FOI DETIDO EM 11 DE FEVEREIRO APÓS VOLTAR DOS EUA.</t>
        </is>
      </c>
      <c r="J1086" t="inlineStr"/>
      <c r="K1086" t="n">
        <v>0</v>
      </c>
      <c r="L1086" t="n">
        <v>2</v>
      </c>
      <c r="M1086" t="n">
        <v>1</v>
      </c>
      <c r="N1086" t="n">
        <v>0</v>
      </c>
      <c r="O1086" t="n">
        <v>5</v>
      </c>
      <c r="P1086">
        <f>HYPERLINK("https://g1.globo.com/mundo/noticia/2020/02/20/oposicao-venezuelana-denuncia-operacao-de-busca-ilegal-na-casa-do-tio-de-guaido.ghtml", "URL")</f>
        <v/>
      </c>
      <c r="Q1086">
        <f>HYPERLINK("https://raw.githubusercontent.com/marcosmapl/dataset_imigrantes/main/materias_filtered/g1/venezuelanos/2020/01_fev/html/g1_fed7af36-231d-11ed-b24f-6dbe51e79fca_3532.html", "HTML")</f>
        <v/>
      </c>
      <c r="R1086">
        <f>HYPERLINK("https://raw.githubusercontent.com/marcosmapl/dataset_imigrantes/main/materias_filtered/g1/venezuelanos/2020/01_fev/txt/g1_fed7af36-231d-11ed-b24f-6dbe51e79fca_3532.txt", "TXT")</f>
        <v/>
      </c>
    </row>
    <row r="1087">
      <c r="A1087" s="1" t="n">
        <v>1085</v>
      </c>
      <c r="B1087" t="n">
        <v>2020</v>
      </c>
      <c r="C1087" s="2" t="n">
        <v>43879.6555255787</v>
      </c>
      <c r="D1087" t="inlineStr">
        <is>
          <t>G1</t>
        </is>
      </c>
      <c r="E1087" t="inlineStr">
        <is>
          <t>VENEZUELANOS</t>
        </is>
      </c>
      <c r="F1087" t="inlineStr">
        <is>
          <t>ACRE</t>
        </is>
      </c>
      <c r="G1087" t="inlineStr">
        <is>
          <t>LUIZIO OLIVEIRA, JORNAL DO ACRE 2ª EDIÇÃO — RIO BRANCO</t>
        </is>
      </c>
      <c r="H1087" t="inlineStr">
        <is>
          <t>VENEZUELANOS INDÍGENAS SÃO DESPEJADOS DE CASA ALUGADA E OCUPAM PRÉDIO ABANDONADO NO AC</t>
        </is>
      </c>
      <c r="I1087" t="inlineStr">
        <is>
          <t>SEM ABRIGO, REFUGIADOS VIVEM EM CONDIÇÕES SUB-HUMANAS EM UM PRÉDIO ABANDONADO PRÓXIMO DO CENTRO DA CAPITAL ACREANA.</t>
        </is>
      </c>
      <c r="J1087" t="inlineStr"/>
      <c r="K1087" t="n">
        <v>0</v>
      </c>
      <c r="L1087" t="n">
        <v>3</v>
      </c>
      <c r="M1087" t="n">
        <v>1</v>
      </c>
      <c r="N1087" t="n">
        <v>0</v>
      </c>
      <c r="O1087" t="n">
        <v>3</v>
      </c>
      <c r="P1087">
        <f>HYPERLINK("https://g1.globo.com/ac/acre/noticia/2020/02/18/venezuelanos-indigenas-sao-despejados-de-casa-alugada-e-ocupam-predio-abandonado-no-ac.ghtml", "URL")</f>
        <v/>
      </c>
      <c r="Q1087">
        <f>HYPERLINK("https://raw.githubusercontent.com/marcosmapl/dataset_imigrantes/main/materias_filtered/g1/venezuelanos/2020/01_fev/html/g1_c707f6dc-230f-11ed-b24f-6dbe51e79fca_2818.html", "HTML")</f>
        <v/>
      </c>
      <c r="R1087">
        <f>HYPERLINK("https://raw.githubusercontent.com/marcosmapl/dataset_imigrantes/main/materias_filtered/g1/venezuelanos/2020/01_fev/txt/g1_c707f6dc-230f-11ed-b24f-6dbe51e79fca_2818.txt", "TXT")</f>
        <v/>
      </c>
    </row>
    <row r="1088">
      <c r="A1088" s="1" t="n">
        <v>1086</v>
      </c>
      <c r="B1088" t="n">
        <v>2020</v>
      </c>
      <c r="C1088" s="2" t="n">
        <v>43875.8392391551</v>
      </c>
      <c r="D1088" t="inlineStr">
        <is>
          <t>G1</t>
        </is>
      </c>
      <c r="E1088" t="inlineStr">
        <is>
          <t>VENEZUELANOS</t>
        </is>
      </c>
      <c r="F1088" t="inlineStr">
        <is>
          <t>SANTA CATARINA</t>
        </is>
      </c>
      <c r="G1088" t="inlineStr">
        <is>
          <t>NSC TV</t>
        </is>
      </c>
      <c r="H1088" t="inlineStr">
        <is>
          <t>VENEZUELANOS CHEGAM A SC PARA TRABALHAREM EM INDÚSTRIA DO OESTE</t>
        </is>
      </c>
      <c r="I1088" t="inlineStr">
        <is>
          <t>NO TOTAL, 88 DESEMBARCARAM EM CHAPECÓ. ELES VÃO MORAR EM SEARA E XANXERÊ.</t>
        </is>
      </c>
      <c r="J1088" t="inlineStr"/>
      <c r="K1088" t="n">
        <v>0</v>
      </c>
      <c r="L1088" t="n">
        <v>2</v>
      </c>
      <c r="M1088" t="n">
        <v>1</v>
      </c>
      <c r="N1088" t="n">
        <v>0</v>
      </c>
      <c r="O1088" t="n">
        <v>3</v>
      </c>
      <c r="P1088">
        <f>HYPERLINK("https://g1.globo.com/sc/santa-catarina/noticia/2020/02/14/venezuelanos-chegam-a-sc-para-trabalharem-em-industria-do-oeste.ghtml", "URL")</f>
        <v/>
      </c>
      <c r="Q1088">
        <f>HYPERLINK("https://raw.githubusercontent.com/marcosmapl/dataset_imigrantes/main/materias_filtered/g1/venezuelanos/2020/01_fev/html/g1_3cccdd52-230f-11ed-b24f-6dbe51e79fca_2784.html", "HTML")</f>
        <v/>
      </c>
      <c r="R1088">
        <f>HYPERLINK("https://raw.githubusercontent.com/marcosmapl/dataset_imigrantes/main/materias_filtered/g1/venezuelanos/2020/01_fev/txt/g1_3cccdd52-230f-11ed-b24f-6dbe51e79fca_2784.txt", "TXT")</f>
        <v/>
      </c>
    </row>
    <row r="1089">
      <c r="A1089" s="1" t="n">
        <v>1087</v>
      </c>
      <c r="B1089" t="n">
        <v>2020</v>
      </c>
      <c r="C1089" s="2" t="n">
        <v>43875.68925659722</v>
      </c>
      <c r="D1089" t="inlineStr">
        <is>
          <t>G1</t>
        </is>
      </c>
      <c r="E1089" t="inlineStr">
        <is>
          <t>VENEZUELANOS</t>
        </is>
      </c>
      <c r="F1089" t="inlineStr">
        <is>
          <t>PARAÍBA</t>
        </is>
      </c>
      <c r="G1089" t="inlineStr">
        <is>
          <t>G1 PB</t>
        </is>
      </c>
      <c r="H1089" t="inlineStr">
        <is>
          <t>CRIANÇAS VENEZUELANAS SUBNUTRIDAS SAEM DA UTI, EM JOÃO PESSOA</t>
        </is>
      </c>
      <c r="I1089" t="inlineStr">
        <is>
          <t>IRMÃOS, UMA MENINA DE 6 ANOS E UM MENINO DE 1 ANO E 4 MESES, ESTAVAM INTERNADOS DEVIDO A SUBNUTRIÇÃO.</t>
        </is>
      </c>
      <c r="J1089" t="inlineStr"/>
      <c r="K1089" t="n">
        <v>0</v>
      </c>
      <c r="L1089" t="n">
        <v>1</v>
      </c>
      <c r="M1089" t="n">
        <v>0</v>
      </c>
      <c r="N1089" t="n">
        <v>0</v>
      </c>
      <c r="O1089" t="n">
        <v>4</v>
      </c>
      <c r="P1089">
        <f>HYPERLINK("https://g1.globo.com/pb/paraiba/noticia/2020/02/14/criancas-venezuelanas-subnutridas-saem-da-uti-em-joao-pessoa.ghtml", "URL")</f>
        <v/>
      </c>
      <c r="Q1089">
        <f>HYPERLINK("https://raw.githubusercontent.com/marcosmapl/dataset_imigrantes/main/materias_filtered/g1/venezuelanos/2020/01_fev/html/g1_a732c7c2-232a-11ed-b24f-6dbe51e79fca_4193.html", "HTML")</f>
        <v/>
      </c>
      <c r="R1089">
        <f>HYPERLINK("https://raw.githubusercontent.com/marcosmapl/dataset_imigrantes/main/materias_filtered/g1/venezuelanos/2020/01_fev/txt/g1_a732c7c2-232a-11ed-b24f-6dbe51e79fca_4193.txt", "TXT")</f>
        <v/>
      </c>
    </row>
    <row r="1090">
      <c r="A1090" s="1" t="n">
        <v>1088</v>
      </c>
      <c r="B1090" t="n">
        <v>2020</v>
      </c>
      <c r="C1090" s="2" t="n">
        <v>43875.6559241088</v>
      </c>
      <c r="D1090" t="inlineStr">
        <is>
          <t>G1</t>
        </is>
      </c>
      <c r="E1090" t="inlineStr">
        <is>
          <t>VENEZUELANOS</t>
        </is>
      </c>
      <c r="F1090" t="inlineStr">
        <is>
          <t>PARAÍBA</t>
        </is>
      </c>
      <c r="G1090" t="inlineStr">
        <is>
          <t>G1 PB</t>
        </is>
      </c>
      <c r="H1090" t="inlineStr">
        <is>
          <t>VENEZUELANOS RECEBEM VISITA DE COMISSÃO FORMADA PELO MPF EM JOÃO PESSOA</t>
        </is>
      </c>
      <c r="I1090" t="inlineStr">
        <is>
          <t>ENTIDADES DEVEM ESCOLHER NOVAS MORADIAS PARA REFUGIADOS QUE ESTAVAM VIVENDO EM SITUAÇÃO DE VULNERABILIDADE.</t>
        </is>
      </c>
      <c r="J1090" t="inlineStr"/>
      <c r="K1090" t="n">
        <v>0</v>
      </c>
      <c r="L1090" t="n">
        <v>2</v>
      </c>
      <c r="M1090" t="n">
        <v>1</v>
      </c>
      <c r="N1090" t="n">
        <v>0</v>
      </c>
      <c r="O1090" t="n">
        <v>2</v>
      </c>
      <c r="P1090">
        <f>HYPERLINK("https://g1.globo.com/pb/paraiba/noticia/2020/02/14/venezuelanos-recebem-visita-de-comissao-formada-pelo-mpf-em-joao-pessoa.ghtml", "URL")</f>
        <v/>
      </c>
      <c r="Q1090">
        <f>HYPERLINK("https://raw.githubusercontent.com/marcosmapl/dataset_imigrantes/main/materias_filtered/g1/venezuelanos/2020/01_fev/html/g1_a519d68c-231c-11ed-b24f-6dbe51e79fca_3457.html", "HTML")</f>
        <v/>
      </c>
      <c r="R1090">
        <f>HYPERLINK("https://raw.githubusercontent.com/marcosmapl/dataset_imigrantes/main/materias_filtered/g1/venezuelanos/2020/01_fev/txt/g1_a519d68c-231c-11ed-b24f-6dbe51e79fca_3457.txt", "TXT")</f>
        <v/>
      </c>
    </row>
    <row r="1091">
      <c r="A1091" s="1" t="n">
        <v>1089</v>
      </c>
      <c r="B1091" t="n">
        <v>2020</v>
      </c>
      <c r="C1091" s="2" t="n">
        <v>43874.99105541666</v>
      </c>
      <c r="D1091" t="inlineStr">
        <is>
          <t>G1</t>
        </is>
      </c>
      <c r="E1091" t="inlineStr">
        <is>
          <t>VENEZUELANOS</t>
        </is>
      </c>
      <c r="F1091" t="inlineStr">
        <is>
          <t>PARAÍBA</t>
        </is>
      </c>
      <c r="G1091" t="inlineStr">
        <is>
          <t>G1 PB</t>
        </is>
      </c>
      <c r="H1091" t="inlineStr">
        <is>
          <t>VENEZUELANOS NA PB VÃO SER ASSISTIDOS COM ALIMENTAÇÃO, ABRIGO E SERVIÇOS MÉDICOS</t>
        </is>
      </c>
      <c r="I1091" t="inlineStr">
        <is>
          <t>MEDIDAS DEVEM SER ACATADAS IMEDIATAMENTE PELO MPF, SECRETARIAS DE SAÚDE E DESENVOLVIMENTO SOCIAL E FUNDAÇÃO NACIONAL DO ÍNDIO (FUNAI).</t>
        </is>
      </c>
      <c r="J1091" t="inlineStr"/>
      <c r="K1091" t="n">
        <v>0</v>
      </c>
      <c r="L1091" t="n">
        <v>1</v>
      </c>
      <c r="M1091" t="n">
        <v>0</v>
      </c>
      <c r="N1091" t="n">
        <v>0</v>
      </c>
      <c r="O1091" t="n">
        <v>3</v>
      </c>
      <c r="P1091">
        <f>HYPERLINK("https://g1.globo.com/pb/paraiba/noticia/2020/02/13/venezuelanos-na-pb-serao-assistidos-com-alimentacao-abrigo-e-servicos-medicos.ghtml", "URL")</f>
        <v/>
      </c>
      <c r="Q1091">
        <f>HYPERLINK("https://raw.githubusercontent.com/marcosmapl/dataset_imigrantes/main/materias_filtered/g1/venezuelanos/2020/01_fev/html/g1_644016ea-2325-11ed-b24f-6dbe51e79fca_3910.html", "HTML")</f>
        <v/>
      </c>
      <c r="R1091">
        <f>HYPERLINK("https://raw.githubusercontent.com/marcosmapl/dataset_imigrantes/main/materias_filtered/g1/venezuelanos/2020/01_fev/txt/g1_644016ea-2325-11ed-b24f-6dbe51e79fca_3910.txt", "TXT")</f>
        <v/>
      </c>
    </row>
    <row r="1092">
      <c r="A1092" s="1" t="n">
        <v>1090</v>
      </c>
      <c r="B1092" t="n">
        <v>2020</v>
      </c>
      <c r="C1092" s="2" t="n">
        <v>43874.83900166667</v>
      </c>
      <c r="D1092" t="inlineStr">
        <is>
          <t>G1</t>
        </is>
      </c>
      <c r="E1092" t="inlineStr">
        <is>
          <t>VENEZUELANOS</t>
        </is>
      </c>
      <c r="F1092" t="inlineStr">
        <is>
          <t>RORAIMA</t>
        </is>
      </c>
      <c r="G1092" t="inlineStr">
        <is>
          <t>MARCELO MARQUES E VALÉRIA OLIVEIRA, G1 RR — BOA VISTA</t>
        </is>
      </c>
      <c r="H1092" t="inlineStr">
        <is>
          <t>'NINGUÉM PERDEU PODER', DIZ MOURÃO SOBRE MUDANÇA NO CONSELHO DA AMAZÔNIA</t>
        </is>
      </c>
      <c r="I1092" t="inlineStr">
        <is>
          <t>HAMILTON MOURÃO ESTÁ EM BOA VISTA, ONDE CUMPRE AGENDA ACERCA DA IMIGRAÇÃO VENEZUELANA.</t>
        </is>
      </c>
      <c r="J1092" t="inlineStr"/>
      <c r="K1092" t="n">
        <v>0</v>
      </c>
      <c r="L1092" t="n">
        <v>2</v>
      </c>
      <c r="M1092" t="n">
        <v>1</v>
      </c>
      <c r="N1092" t="n">
        <v>0</v>
      </c>
      <c r="O1092" t="n">
        <v>7</v>
      </c>
      <c r="P1092">
        <f>HYPERLINK("https://g1.globo.com/rr/roraima/noticia/2020/02/13/ninguem-perdeu-poder-diz-mourao-sobre-mudanca-no-conselho-da-amazonia.ghtml", "URL")</f>
        <v/>
      </c>
      <c r="Q1092">
        <f>HYPERLINK("https://raw.githubusercontent.com/marcosmapl/dataset_imigrantes/main/materias_filtered/g1/venezuelanos/2020/01_fev/html/g1_37ac88a2-2307-11ed-b24f-6dbe51e79fca_2304.html", "HTML")</f>
        <v/>
      </c>
      <c r="R1092">
        <f>HYPERLINK("https://raw.githubusercontent.com/marcosmapl/dataset_imigrantes/main/materias_filtered/g1/venezuelanos/2020/01_fev/txt/g1_37ac88a2-2307-11ed-b24f-6dbe51e79fca_2304.txt", "TXT")</f>
        <v/>
      </c>
    </row>
    <row r="1093">
      <c r="A1093" s="1" t="n">
        <v>1091</v>
      </c>
      <c r="B1093" t="n">
        <v>2020</v>
      </c>
      <c r="C1093" s="2" t="n">
        <v>43874.63402905093</v>
      </c>
      <c r="D1093" t="inlineStr">
        <is>
          <t>G1</t>
        </is>
      </c>
      <c r="E1093" t="inlineStr">
        <is>
          <t>VENEZUELANOS</t>
        </is>
      </c>
      <c r="F1093" t="inlineStr">
        <is>
          <t>RIO DE JANEIRO</t>
        </is>
      </c>
      <c r="G1093" t="inlineStr">
        <is>
          <t>HENRIQUE COELHO, G1 RIO</t>
        </is>
      </c>
      <c r="H1093" t="inlineStr">
        <is>
          <t>POLÍCIA PRENDE CASAL VENEZUELANO SUSPEITO DE TRAZER DEFICIENTES AUDITIVOS PARA PEDIR ESMOLA NAS RUAS DO RIO</t>
        </is>
      </c>
      <c r="I1093" t="inlineStr">
        <is>
          <t>CASAL FOI PRESO POR TRÁFICO INTERNACIONAL DE PESSOAS. ELES TRAZIAM DEFICIENTES DA VENEZUELA E VÍTIMAS ERAM OBRIGADAS A PAGAR SUAS DESPESAS DE VIAGEM. LUCRO ERA DE R$ 500 POR DIA DURANTE A SEMANA.</t>
        </is>
      </c>
      <c r="J1093" t="inlineStr"/>
      <c r="K1093" t="n">
        <v>0</v>
      </c>
      <c r="L1093" t="n">
        <v>2</v>
      </c>
      <c r="M1093" t="n">
        <v>0</v>
      </c>
      <c r="N1093" t="n">
        <v>0</v>
      </c>
      <c r="O1093" t="n">
        <v>0</v>
      </c>
      <c r="P1093">
        <f>HYPERLINK("https://g1.globo.com/rj/rio-de-janeiro/noticia/2020/02/13/policia-prende-casal-suspeito-de-trazer-surdos-mudos-da-venezuela-para-pedir-esmola-nas-ruas-do-rio.ghtml", "URL")</f>
        <v/>
      </c>
      <c r="Q1093">
        <f>HYPERLINK("https://raw.githubusercontent.com/marcosmapl/dataset_imigrantes/main/materias_filtered/g1/venezuelanos/2020/01_fev/html/g1_53476c9e-230c-11ed-b24f-6dbe51e79fca_2618.html", "HTML")</f>
        <v/>
      </c>
      <c r="R1093">
        <f>HYPERLINK("https://raw.githubusercontent.com/marcosmapl/dataset_imigrantes/main/materias_filtered/g1/venezuelanos/2020/01_fev/txt/g1_53476c9e-230c-11ed-b24f-6dbe51e79fca_2618.txt", "TXT")</f>
        <v/>
      </c>
    </row>
    <row r="1094">
      <c r="A1094" s="1" t="n">
        <v>1092</v>
      </c>
      <c r="B1094" t="n">
        <v>2020</v>
      </c>
      <c r="C1094" s="2" t="n">
        <v>43874.58141667824</v>
      </c>
      <c r="D1094" t="inlineStr">
        <is>
          <t>G1</t>
        </is>
      </c>
      <c r="E1094" t="inlineStr">
        <is>
          <t>VENEZUELANOS</t>
        </is>
      </c>
      <c r="F1094" t="inlineStr">
        <is>
          <t>RORAIMA</t>
        </is>
      </c>
      <c r="G1094" t="inlineStr">
        <is>
          <t>G1 RR — BOA VISTA</t>
        </is>
      </c>
      <c r="H1094" t="inlineStr">
        <is>
          <t>MINISTRO SÉRGIO MORO CHEGA A RORAIMA PARA VISITAR INSTALAÇÕES DE ACOLHIDA A VENEZUELANOS</t>
        </is>
      </c>
      <c r="I1094" t="inlineStr">
        <is>
          <t>VICE-PRESIDENTE HAMILTON MOURÃO TAMBÉM ESTÁ EM VISITA OFICIAL AO ESTADO. OS DOIS DEVEM IR A PACARAIMA, NA FRONTEIRA COM A VENEZUELA.</t>
        </is>
      </c>
      <c r="J1094" t="inlineStr"/>
      <c r="K1094" t="n">
        <v>0</v>
      </c>
      <c r="L1094" t="n">
        <v>0</v>
      </c>
      <c r="M1094" t="n">
        <v>0</v>
      </c>
      <c r="N1094" t="n">
        <v>0</v>
      </c>
      <c r="O1094" t="n">
        <v>3</v>
      </c>
      <c r="P1094">
        <f>HYPERLINK("https://g1.globo.com/rr/roraima/noticia/2020/02/13/ministro-sergio-moro-chega-a-roraima-para-visitar-instalacoes-de-acolhida-a-venezuelanos.ghtml", "URL")</f>
        <v/>
      </c>
      <c r="Q1094">
        <f>HYPERLINK("https://raw.githubusercontent.com/marcosmapl/dataset_imigrantes/main/materias_filtered/g1/venezuelanos/2020/01_fev/html/g1_adff8f20-232c-11ed-b24f-6dbe51e79fca_4322.html", "HTML")</f>
        <v/>
      </c>
      <c r="R1094">
        <f>HYPERLINK("https://raw.githubusercontent.com/marcosmapl/dataset_imigrantes/main/materias_filtered/g1/venezuelanos/2020/01_fev/txt/g1_adff8f20-232c-11ed-b24f-6dbe51e79fca_4322.txt", "TXT")</f>
        <v/>
      </c>
    </row>
    <row r="1095">
      <c r="A1095" s="1" t="n">
        <v>1093</v>
      </c>
      <c r="B1095" t="n">
        <v>2020</v>
      </c>
      <c r="C1095" s="2" t="n">
        <v>43874.40661072917</v>
      </c>
      <c r="D1095" t="inlineStr">
        <is>
          <t>G1</t>
        </is>
      </c>
      <c r="E1095" t="inlineStr">
        <is>
          <t>VENEZUELANOS</t>
        </is>
      </c>
      <c r="F1095" t="inlineStr">
        <is>
          <t>PARAÍBA</t>
        </is>
      </c>
      <c r="G1095" t="inlineStr">
        <is>
          <t>G1 PB</t>
        </is>
      </c>
      <c r="H1095" t="inlineStr">
        <is>
          <t>CRIANÇAS VENEZUELANAS EM ESTADO DE SUBNUTRIÇÃO SÃO INTERNADAS EM UTI DE HOSPITAL, EM JOÃO PESSOA</t>
        </is>
      </c>
      <c r="I1095" t="inlineStr">
        <is>
          <t>CRIANÇAS SÃO IRMÃOS, DE 1 E 6 ANOS, E ESTÃO INTERNADAS NA UTI DO HOSPITAL MUNICIPAL DO VALENTINA</t>
        </is>
      </c>
      <c r="J1095" t="inlineStr"/>
      <c r="K1095" t="n">
        <v>0</v>
      </c>
      <c r="L1095" t="n">
        <v>2</v>
      </c>
      <c r="M1095" t="n">
        <v>0</v>
      </c>
      <c r="N1095" t="n">
        <v>0</v>
      </c>
      <c r="O1095" t="n">
        <v>3</v>
      </c>
      <c r="P1095">
        <f>HYPERLINK("https://g1.globo.com/pb/paraiba/noticia/2020/02/13/criancas-venezuelanas-em-estado-de-subnutricao-sao-internadas-em-uti-de-hospital-em-joao-pessoa.ghtml", "URL")</f>
        <v/>
      </c>
      <c r="Q1095">
        <f>HYPERLINK("https://raw.githubusercontent.com/marcosmapl/dataset_imigrantes/main/materias_filtered/g1/venezuelanos/2020/01_fev/html/g1_0b03daf0-230f-11ed-b24f-6dbe51e79fca_2775.html", "HTML")</f>
        <v/>
      </c>
      <c r="R1095">
        <f>HYPERLINK("https://raw.githubusercontent.com/marcosmapl/dataset_imigrantes/main/materias_filtered/g1/venezuelanos/2020/01_fev/txt/g1_0b03daf0-230f-11ed-b24f-6dbe51e79fca_2775.txt", "TXT")</f>
        <v/>
      </c>
    </row>
    <row r="1096">
      <c r="A1096" s="1" t="n">
        <v>1094</v>
      </c>
      <c r="B1096" t="n">
        <v>2020</v>
      </c>
      <c r="C1096" s="2" t="n">
        <v>43873.68075171296</v>
      </c>
      <c r="D1096" t="inlineStr">
        <is>
          <t>G1</t>
        </is>
      </c>
      <c r="E1096" t="inlineStr">
        <is>
          <t>VENEZUELANOS</t>
        </is>
      </c>
      <c r="F1096" t="inlineStr">
        <is>
          <t>RORAIMA</t>
        </is>
      </c>
      <c r="G1096" t="inlineStr">
        <is>
          <t>G1 RR — BOA VISTA</t>
        </is>
      </c>
      <c r="H1096" t="inlineStr">
        <is>
          <t>VICE-PRESIDENTE HAMILTON MOURÃO CHEGA A RORAIMA E DEVE VISITAR ABRIGOS DE VENEZUELANOS</t>
        </is>
      </c>
      <c r="I1096" t="inlineStr">
        <is>
          <t>HAMILTON MOURÃO CHEGOU AO ESTADO EM AVIÃO DA FORÇA AÉREA BRASILEIRA ACOMPANHANDO DO GOVERNADOR ANTONIO DENARIUM (PSL).</t>
        </is>
      </c>
      <c r="J1096" t="inlineStr"/>
      <c r="K1096" t="n">
        <v>0</v>
      </c>
      <c r="L1096" t="n">
        <v>1</v>
      </c>
      <c r="M1096" t="n">
        <v>0</v>
      </c>
      <c r="N1096" t="n">
        <v>0</v>
      </c>
      <c r="O1096" t="n">
        <v>2</v>
      </c>
      <c r="P1096">
        <f>HYPERLINK("https://g1.globo.com/rr/roraima/noticia/2020/02/12/vice-presidente-hamilton-mourao-chega-a-roraima-e-deve-visitar-abrigos-de-venezuelanos.ghtml", "URL")</f>
        <v/>
      </c>
      <c r="Q1096">
        <f>HYPERLINK("https://raw.githubusercontent.com/marcosmapl/dataset_imigrantes/main/materias_filtered/g1/venezuelanos/2020/01_fev/html/g1_2aecc294-230c-11ed-b24f-6dbe51e79fca_2608.html", "HTML")</f>
        <v/>
      </c>
      <c r="R1096">
        <f>HYPERLINK("https://raw.githubusercontent.com/marcosmapl/dataset_imigrantes/main/materias_filtered/g1/venezuelanos/2020/01_fev/txt/g1_2aecc294-230c-11ed-b24f-6dbe51e79fca_2608.txt", "TXT")</f>
        <v/>
      </c>
    </row>
    <row r="1097">
      <c r="A1097" s="1" t="n">
        <v>1095</v>
      </c>
      <c r="B1097" t="n">
        <v>2020</v>
      </c>
      <c r="C1097" s="2" t="n">
        <v>43873.61796520833</v>
      </c>
      <c r="D1097" t="inlineStr">
        <is>
          <t>G1</t>
        </is>
      </c>
      <c r="E1097" t="inlineStr">
        <is>
          <t>VENEZUELANOS</t>
        </is>
      </c>
      <c r="F1097" t="inlineStr">
        <is>
          <t>PARAÍBA</t>
        </is>
      </c>
      <c r="G1097" t="inlineStr">
        <is>
          <t>G1 PB</t>
        </is>
      </c>
      <c r="H1097" t="inlineStr">
        <is>
          <t>CAMPANHA ARRECADA ALIMENTOS PARA VENEZUELANOS EM SITUAÇÃO DE SUBNUTRIÇÃO, EM JOÃO PESSOA</t>
        </is>
      </c>
      <c r="I1097" t="inlineStr">
        <is>
          <t>SITUAÇÃO FOI DESCOBERTA APÓS UMA DENÚNCIA ANÔNIMA FEITA AO CORPO DE BOMBEIROS. CAMPANHA É REALIZADA PELA REDE PARAÍBA DE COMUNICAÇÃO.</t>
        </is>
      </c>
      <c r="J1097" t="inlineStr"/>
      <c r="K1097" t="n">
        <v>0</v>
      </c>
      <c r="L1097" t="n">
        <v>2</v>
      </c>
      <c r="M1097" t="n">
        <v>0</v>
      </c>
      <c r="N1097" t="n">
        <v>0</v>
      </c>
      <c r="O1097" t="n">
        <v>2</v>
      </c>
      <c r="P1097">
        <f>HYPERLINK("https://g1.globo.com/pb/paraiba/noticia/2020/02/12/campanha-arrecada-alimentos-para-venezuelanos-em-situacao-de-subnutricao-em-joao-pessoa.ghtml", "URL")</f>
        <v/>
      </c>
      <c r="Q1097">
        <f>HYPERLINK("https://raw.githubusercontent.com/marcosmapl/dataset_imigrantes/main/materias_filtered/g1/venezuelanos/2020/01_fev/html/g1_13db2650-2310-11ed-b24f-6dbe51e79fca_2838.html", "HTML")</f>
        <v/>
      </c>
      <c r="R1097">
        <f>HYPERLINK("https://raw.githubusercontent.com/marcosmapl/dataset_imigrantes/main/materias_filtered/g1/venezuelanos/2020/01_fev/txt/g1_13db2650-2310-11ed-b24f-6dbe51e79fca_2838.txt", "TXT")</f>
        <v/>
      </c>
    </row>
    <row r="1098">
      <c r="A1098" s="1" t="n">
        <v>1096</v>
      </c>
      <c r="B1098" t="n">
        <v>2020</v>
      </c>
      <c r="C1098" s="2" t="n">
        <v>43873.5840353125</v>
      </c>
      <c r="D1098" t="inlineStr">
        <is>
          <t>G1</t>
        </is>
      </c>
      <c r="E1098" t="inlineStr">
        <is>
          <t>VENEZUELANOS</t>
        </is>
      </c>
      <c r="F1098" t="inlineStr">
        <is>
          <t>PARAÍBA</t>
        </is>
      </c>
      <c r="G1098" t="inlineStr">
        <is>
          <t>G1 PB</t>
        </is>
      </c>
      <c r="H1098" t="inlineStr">
        <is>
          <t>PREFEITURA INTERVÉM COM APOIO MÉDICO E SOCIAL A VENEZUELANOS COM SUBNUTRIÇÃO, EM JOÃO PESSOA</t>
        </is>
      </c>
      <c r="I1098" t="inlineStr">
        <is>
          <t>REFUGIADOS FORAM ENCONTRADOS VIVENDO EM CONDIÇÕES PRECÁRIAS. CRIANÇAS ESTÃO SENDO ATENDIDAS PELO SAMU E SECRETARIA DE SAÚDE.</t>
        </is>
      </c>
      <c r="J1098" t="inlineStr"/>
      <c r="K1098" t="n">
        <v>0</v>
      </c>
      <c r="L1098" t="n">
        <v>2</v>
      </c>
      <c r="M1098" t="n">
        <v>0</v>
      </c>
      <c r="N1098" t="n">
        <v>0</v>
      </c>
      <c r="O1098" t="n">
        <v>1</v>
      </c>
      <c r="P1098">
        <f>HYPERLINK("https://g1.globo.com/pb/paraiba/noticia/2020/02/12/prefeitura-intervem-com-apoio-medico-e-social-a-venezuelanos-com-subnutricao-em-joao-pessoa.ghtml", "URL")</f>
        <v/>
      </c>
      <c r="Q1098">
        <f>HYPERLINK("https://raw.githubusercontent.com/marcosmapl/dataset_imigrantes/main/materias_filtered/g1/venezuelanos/2020/01_fev/html/g1_7a4babc0-230c-11ed-b24f-6dbe51e79fca_2627.html", "HTML")</f>
        <v/>
      </c>
      <c r="R1098">
        <f>HYPERLINK("https://raw.githubusercontent.com/marcosmapl/dataset_imigrantes/main/materias_filtered/g1/venezuelanos/2020/01_fev/txt/g1_7a4babc0-230c-11ed-b24f-6dbe51e79fca_2627.txt", "TXT")</f>
        <v/>
      </c>
    </row>
    <row r="1099">
      <c r="A1099" s="1" t="n">
        <v>1097</v>
      </c>
      <c r="B1099" t="n">
        <v>2020</v>
      </c>
      <c r="C1099" s="2" t="n">
        <v>43872.89622094907</v>
      </c>
      <c r="D1099" t="inlineStr">
        <is>
          <t>G1</t>
        </is>
      </c>
      <c r="E1099" t="inlineStr">
        <is>
          <t>VENEZUELANOS</t>
        </is>
      </c>
      <c r="F1099" t="inlineStr">
        <is>
          <t>PARAÍBA</t>
        </is>
      </c>
      <c r="G1099" t="inlineStr">
        <is>
          <t>G1 PB</t>
        </is>
      </c>
      <c r="H1099" t="inlineStr">
        <is>
          <t>VENEZUELANOS SÃO ENCONTRADOS EM ESTADO DE SUBNUTRIÇÃO NO BAIRRO DO ROGER, EM JOÃO PESSOA</t>
        </is>
      </c>
      <c r="I1099" t="inlineStr">
        <is>
          <t>ADULTOS E CRIANÇAS FORAM ENCONTRADOS DESIDRATADOS E EM ESTADO DE SUBNUTRIÇÃO. SEGUNDO OS BOMBEIROS, VENEZUELANOS ESTAVAM PASSANDO MAL.</t>
        </is>
      </c>
      <c r="J1099" t="inlineStr"/>
      <c r="K1099" t="n">
        <v>0</v>
      </c>
      <c r="L1099" t="n">
        <v>2</v>
      </c>
      <c r="M1099" t="n">
        <v>1</v>
      </c>
      <c r="N1099" t="n">
        <v>0</v>
      </c>
      <c r="O1099" t="n">
        <v>0</v>
      </c>
      <c r="P1099">
        <f>HYPERLINK("https://g1.globo.com/pb/paraiba/noticia/2020/02/11/venezuelanos-sao-encontrados-em-estado-de-subnutricao-no-bairro-do-roger-em-joao-pessoa.ghtml", "URL")</f>
        <v/>
      </c>
      <c r="Q1099">
        <f>HYPERLINK("https://raw.githubusercontent.com/marcosmapl/dataset_imigrantes/main/materias_filtered/g1/venezuelanos/2020/01_fev/html/g1_caefd7ac-2309-11ed-b24f-6dbe51e79fca_2464.html", "HTML")</f>
        <v/>
      </c>
      <c r="R1099">
        <f>HYPERLINK("https://raw.githubusercontent.com/marcosmapl/dataset_imigrantes/main/materias_filtered/g1/venezuelanos/2020/01_fev/txt/g1_caefd7ac-2309-11ed-b24f-6dbe51e79fca_2464.txt", "TXT")</f>
        <v/>
      </c>
    </row>
    <row r="1100">
      <c r="A1100" s="1" t="n">
        <v>1098</v>
      </c>
      <c r="B1100" t="n">
        <v>2020</v>
      </c>
      <c r="C1100" s="2" t="n">
        <v>43872.80277777778</v>
      </c>
      <c r="D1100" t="inlineStr">
        <is>
          <t>A CRITICA</t>
        </is>
      </c>
      <c r="E1100" t="inlineStr">
        <is>
          <t>VENEZUELANOS</t>
        </is>
      </c>
      <c r="F1100" t="inlineStr"/>
      <c r="G1100" t="inlineStr">
        <is>
          <t>GIOVANNA MARINHO</t>
        </is>
      </c>
      <c r="H1100" t="inlineStr">
        <is>
          <t>CONFEITEIRA VENEZUELANA ABRE LINHA DE TORTAS E DOCES POR ENCOMENDAS EM MANAUS</t>
        </is>
      </c>
      <c r="I1100" t="inlineStr">
        <is>
          <t>O DOCE SONHO DE NELARYS LANZ, DE 49 ANOS, QUE DEIXOU A SUA TERRA NATAL E SUPEROU A PERDA DE UM FILHO PARA RECOMEÇAR A VIDA NO BRASIL COM O SONHO DE EXERCER SUA PROFISSÃO E PAIXÃO: A CONFEITARIA</t>
        </is>
      </c>
      <c r="J1100" t="inlineStr"/>
      <c r="K1100" t="n">
        <v>0</v>
      </c>
      <c r="L1100" t="n">
        <v>1</v>
      </c>
      <c r="M1100" t="n">
        <v>0</v>
      </c>
      <c r="N1100" t="n">
        <v>0</v>
      </c>
      <c r="O1100" t="n">
        <v>0</v>
      </c>
      <c r="P1100">
        <f>HYPERLINK("https://www.acritica.com/confeiteira-venezuelana-abre-linha-de-tortas-e-doces-por-encomendas-em-manaus-1.49041", "URL")</f>
        <v/>
      </c>
      <c r="Q1100">
        <f>HYPERLINK("https://raw.githubusercontent.com/marcosmapl/dataset_imigrantes/main/materias_filtered/a_critica/venezuelanos/2020/01_fev/html/1.49041_1251.html", "HTML")</f>
        <v/>
      </c>
      <c r="R1100">
        <f>HYPERLINK("https://raw.githubusercontent.com/marcosmapl/dataset_imigrantes/main/materias_filtered/a_critica/venezuelanos/2020/01_fev/txt/1.49041_1251.txt", "TXT")</f>
        <v/>
      </c>
    </row>
    <row r="1101">
      <c r="A1101" s="1" t="n">
        <v>1099</v>
      </c>
      <c r="B1101" t="n">
        <v>2020</v>
      </c>
      <c r="C1101" s="2" t="n">
        <v>43872.53519675926</v>
      </c>
      <c r="D1101" t="inlineStr">
        <is>
          <t>A CRITICA</t>
        </is>
      </c>
      <c r="E1101" t="inlineStr">
        <is>
          <t>VENEZUELANOS</t>
        </is>
      </c>
      <c r="F1101" t="inlineStr">
        <is>
          <t>OPINIAO</t>
        </is>
      </c>
      <c r="G1101" t="inlineStr"/>
      <c r="H1101" t="inlineStr">
        <is>
          <t>GUERRA CONTRA O SARAMPO</t>
        </is>
      </c>
      <c r="I1101" t="inlineStr"/>
      <c r="J1101" t="inlineStr"/>
      <c r="K1101" t="n">
        <v>0</v>
      </c>
      <c r="L1101" t="n">
        <v>1</v>
      </c>
      <c r="M1101" t="n">
        <v>0</v>
      </c>
      <c r="N1101" t="n">
        <v>0</v>
      </c>
      <c r="O1101" t="n">
        <v>0</v>
      </c>
      <c r="P1101">
        <f>HYPERLINK("https://www.acritica.com/opiniao/guerra-contra-o-sarampo-1.224616", "URL")</f>
        <v/>
      </c>
      <c r="Q1101">
        <f>HYPERLINK("https://raw.githubusercontent.com/marcosmapl/dataset_imigrantes/main/materias_filtered/a_critica/venezuelanos/2020/01_fev/html/1.224616_426.html", "HTML")</f>
        <v/>
      </c>
      <c r="R1101">
        <f>HYPERLINK("https://raw.githubusercontent.com/marcosmapl/dataset_imigrantes/main/materias_filtered/a_critica/venezuelanos/2020/01_fev/txt/1.224616_426.txt", "TXT")</f>
        <v/>
      </c>
    </row>
    <row r="1102">
      <c r="A1102" s="1" t="n">
        <v>1100</v>
      </c>
      <c r="B1102" t="n">
        <v>2020</v>
      </c>
      <c r="C1102" s="2" t="n">
        <v>43872.02875150463</v>
      </c>
      <c r="D1102" t="inlineStr">
        <is>
          <t>G1</t>
        </is>
      </c>
      <c r="E1102" t="inlineStr">
        <is>
          <t>VENEZUELANOS</t>
        </is>
      </c>
      <c r="F1102" t="inlineStr">
        <is>
          <t>JORNAL NACIONAL</t>
        </is>
      </c>
      <c r="G1102" t="inlineStr">
        <is>
          <t>JORNAL NACIONAL</t>
        </is>
      </c>
      <c r="H1102" t="inlineStr">
        <is>
          <t>PACARAIMA (RR) TEM PROTESTOS CONTRA A ENTRADA DE VENEZUELANOS</t>
        </is>
      </c>
      <c r="I1102" t="inlineStr">
        <is>
          <t>MANIFESTANTES ALEGAM QUE, DESDE QUE OS VENEZUELANOS COMEÇARAM A CHEGAR, EM 2015, O ATENDIMENTO DO SERVIÇO HOSPITALAR PIOROU E QUE A VIOLÊNCIA AUMENTOU.</t>
        </is>
      </c>
      <c r="J1102" t="inlineStr"/>
      <c r="K1102" t="n">
        <v>0</v>
      </c>
      <c r="L1102" t="n">
        <v>1</v>
      </c>
      <c r="M1102" t="n">
        <v>1</v>
      </c>
      <c r="N1102" t="n">
        <v>0</v>
      </c>
      <c r="O1102" t="n">
        <v>0</v>
      </c>
      <c r="P1102">
        <f>HYPERLINK("https://g1.globo.com/jornal-nacional/noticia/2020/02/10/pacaraima-rr-tem-protestos-contra-a-entrada-de-venezuelanos.ghtml", "URL")</f>
        <v/>
      </c>
      <c r="Q1102">
        <f>HYPERLINK("https://raw.githubusercontent.com/marcosmapl/dataset_imigrantes/main/materias_filtered/g1/venezuelanos/2020/01_fev/html/g1_74b6509c-2326-11ed-b24f-6dbe51e79fca_3977.html", "HTML")</f>
        <v/>
      </c>
      <c r="R1102">
        <f>HYPERLINK("https://raw.githubusercontent.com/marcosmapl/dataset_imigrantes/main/materias_filtered/g1/venezuelanos/2020/01_fev/txt/g1_74b6509c-2326-11ed-b24f-6dbe51e79fca_3977.txt", "TXT")</f>
        <v/>
      </c>
    </row>
    <row r="1103">
      <c r="A1103" s="1" t="n">
        <v>1101</v>
      </c>
      <c r="B1103" t="n">
        <v>2020</v>
      </c>
      <c r="C1103" s="2" t="n">
        <v>43871.85034458333</v>
      </c>
      <c r="D1103" t="inlineStr">
        <is>
          <t>G1</t>
        </is>
      </c>
      <c r="E1103" t="inlineStr">
        <is>
          <t>VENEZUELANOS</t>
        </is>
      </c>
      <c r="F1103" t="inlineStr">
        <is>
          <t>MARANHÃO</t>
        </is>
      </c>
      <c r="G1103" t="inlineStr">
        <is>
          <t>G1 MA — SÃO LUÍS, MA</t>
        </is>
      </c>
      <c r="H1103" t="inlineStr">
        <is>
          <t>AUTORIDADES DISCUTEM A SITUAÇÃO DE ÍNDIOS VENEZUELANOS REFUGIADOS EM IMPERATRIZ</t>
        </is>
      </c>
      <c r="I1103" t="inlineStr">
        <is>
          <t>REUNIÃO BUSCA ENCONTRAR MEIOS DE PROMOVER EDUCAÇÃO E GERAÇÃO DE RENDA PARA OS INDÍGENAS QUE VIVEM EM ABRIGO TEMPORÁRIO EM IMPERATRIZ, NO SUL DO MARANHÃO.</t>
        </is>
      </c>
      <c r="J1103" t="inlineStr"/>
      <c r="K1103" t="n">
        <v>0</v>
      </c>
      <c r="L1103" t="n">
        <v>3</v>
      </c>
      <c r="M1103" t="n">
        <v>1</v>
      </c>
      <c r="N1103" t="n">
        <v>0</v>
      </c>
      <c r="O1103" t="n">
        <v>0</v>
      </c>
      <c r="P1103">
        <f>HYPERLINK("https://g1.globo.com/ma/maranhao/noticia/2020/02/10/autoridades-discutem-a-situacao-de-indios-venezuelanos-refugiados-em-imperatriz.ghtml", "URL")</f>
        <v/>
      </c>
      <c r="Q1103">
        <f>HYPERLINK("https://raw.githubusercontent.com/marcosmapl/dataset_imigrantes/main/materias_filtered/g1/venezuelanos/2020/01_fev/html/g1_d26554aa-2316-11ed-b24f-6dbe51e79fca_3172.html", "HTML")</f>
        <v/>
      </c>
      <c r="R1103">
        <f>HYPERLINK("https://raw.githubusercontent.com/marcosmapl/dataset_imigrantes/main/materias_filtered/g1/venezuelanos/2020/01_fev/txt/g1_d26554aa-2316-11ed-b24f-6dbe51e79fca_3172.txt", "TXT")</f>
        <v/>
      </c>
    </row>
    <row r="1104">
      <c r="A1104" s="1" t="n">
        <v>1102</v>
      </c>
      <c r="B1104" t="n">
        <v>2020</v>
      </c>
      <c r="C1104" s="2" t="n">
        <v>43871.67847222222</v>
      </c>
      <c r="D1104" t="inlineStr">
        <is>
          <t>A CRITICA</t>
        </is>
      </c>
      <c r="E1104" t="inlineStr">
        <is>
          <t>VENEZUELANOS</t>
        </is>
      </c>
      <c r="F1104" t="inlineStr">
        <is>
          <t>MANAUS</t>
        </is>
      </c>
      <c r="G1104" t="inlineStr">
        <is>
          <t>ROBSON ADRIANO</t>
        </is>
      </c>
      <c r="H1104" t="inlineStr">
        <is>
          <t>QUATRO DIAS: FAMÍLIA BUSCA INFORMAÇÕES SOBRE CRIANÇA DE 2 ANOS DESAPARECIDA</t>
        </is>
      </c>
      <c r="I1104" t="inlineStr">
        <is>
          <t>ERLON GABRIEL, 2 ANOS, DESAPARECEU ENQUANTO BRINCAVA NO PÁTIO DA CASA ONDE MORA NA COMUNIDADE UNIÃO DA VITÓRIA. A TIA DO MENINO AFIRMA QUE RECEBE MUITOS TROTES</t>
        </is>
      </c>
      <c r="J1104" t="inlineStr"/>
      <c r="K1104" t="n">
        <v>0</v>
      </c>
      <c r="L1104" t="n">
        <v>1</v>
      </c>
      <c r="M1104" t="n">
        <v>0</v>
      </c>
      <c r="N1104" t="n">
        <v>0</v>
      </c>
      <c r="O1104" t="n">
        <v>0</v>
      </c>
      <c r="P1104">
        <f>HYPERLINK("https://www.acritica.com/manaus/quatro-dias-familia-busca-informac-es-sobre-crianca-de-2-anos-desaparecida-1.49044", "URL")</f>
        <v/>
      </c>
      <c r="Q1104">
        <f>HYPERLINK("https://raw.githubusercontent.com/marcosmapl/dataset_imigrantes/main/materias_filtered/a_critica/venezuelanos/2020/01_fev/html/1.49044_654.html", "HTML")</f>
        <v/>
      </c>
      <c r="R1104">
        <f>HYPERLINK("https://raw.githubusercontent.com/marcosmapl/dataset_imigrantes/main/materias_filtered/a_critica/venezuelanos/2020/01_fev/txt/1.49044_654.txt", "TXT")</f>
        <v/>
      </c>
    </row>
    <row r="1105">
      <c r="A1105" s="1" t="n">
        <v>1103</v>
      </c>
      <c r="B1105" t="n">
        <v>2020</v>
      </c>
      <c r="C1105" s="2" t="n">
        <v>43870.78777777778</v>
      </c>
      <c r="D1105" t="inlineStr">
        <is>
          <t>A CRITICA</t>
        </is>
      </c>
      <c r="E1105" t="inlineStr">
        <is>
          <t>VENEZUELANOS</t>
        </is>
      </c>
      <c r="F1105" t="inlineStr">
        <is>
          <t>MANAUS</t>
        </is>
      </c>
      <c r="G1105" t="inlineStr">
        <is>
          <t>PORTAL A CRÍTICA</t>
        </is>
      </c>
      <c r="H1105" t="inlineStr">
        <is>
          <t>COM ALTA DE 87% NAS CIRURGIAS CARDÍACAS, FRANCISCA MENDES DOBRA ATENDIMENTO</t>
        </is>
      </c>
      <c r="I1105" t="inlineStr">
        <is>
          <t>EM JANEIRO DE 2020 FORAM REALIZADOS 58 PROCEDIMENTOS NA UNIDADE, CONTRA 31 REALIZADOS NO MESMO PERÍODO EM 2019. CIRURGIAS PEDIÁTRICAS FEITAS NO HUFM DOBRARAM EM JANEIRO, DE ACORDO COM A SUSAM</t>
        </is>
      </c>
      <c r="J1105" t="inlineStr"/>
      <c r="K1105" t="n">
        <v>0</v>
      </c>
      <c r="L1105" t="n">
        <v>1</v>
      </c>
      <c r="M1105" t="n">
        <v>0</v>
      </c>
      <c r="N1105" t="n">
        <v>0</v>
      </c>
      <c r="O1105" t="n">
        <v>0</v>
      </c>
      <c r="P1105">
        <f>HYPERLINK("https://www.acritica.com/manaus/com-alta-de-87-nas-cirurgias-cardiacas-francisca-mendes-dobra-atendimento-1.49070", "URL")</f>
        <v/>
      </c>
      <c r="Q1105">
        <f>HYPERLINK("https://raw.githubusercontent.com/marcosmapl/dataset_imigrantes/main/materias_filtered/a_critica/venezuelanos/2020/01_fev/html/1.49070_208.html", "HTML")</f>
        <v/>
      </c>
      <c r="R1105">
        <f>HYPERLINK("https://raw.githubusercontent.com/marcosmapl/dataset_imigrantes/main/materias_filtered/a_critica/venezuelanos/2020/01_fev/txt/1.49070_208.txt", "TXT")</f>
        <v/>
      </c>
    </row>
    <row r="1106">
      <c r="A1106" s="1" t="n">
        <v>1104</v>
      </c>
      <c r="B1106" t="n">
        <v>2020</v>
      </c>
      <c r="C1106" s="2" t="n">
        <v>43868.91989994213</v>
      </c>
      <c r="D1106" t="inlineStr">
        <is>
          <t>G1</t>
        </is>
      </c>
      <c r="E1106" t="inlineStr">
        <is>
          <t>VENEZUELANOS</t>
        </is>
      </c>
      <c r="F1106" t="inlineStr">
        <is>
          <t>CEARÁ</t>
        </is>
      </c>
      <c r="G1106" t="inlineStr">
        <is>
          <t>LUCAS FALCONERY, HALISSON FERREIRA, LYGIA AZEVEDO, G1 CE</t>
        </is>
      </c>
      <c r="H1106" t="inlineStr">
        <is>
          <t>PAIS DE ESTUDANTES SE MOBILIZAM PARA AJUDAR VENEZUELANOS EM FORTALEZA</t>
        </is>
      </c>
      <c r="I1106" t="inlineStr">
        <is>
          <t>GRUPO DE 20 VENEZUELANOS VIVE EM CASA DO BAIRRO DIAS MACÊDO E BUSCA MEIOS DE SOBREVIVÊNCIA.</t>
        </is>
      </c>
      <c r="J1106" t="inlineStr"/>
      <c r="K1106" t="n">
        <v>0</v>
      </c>
      <c r="L1106" t="n">
        <v>2</v>
      </c>
      <c r="M1106" t="n">
        <v>0</v>
      </c>
      <c r="N1106" t="n">
        <v>0</v>
      </c>
      <c r="O1106" t="n">
        <v>0</v>
      </c>
      <c r="P1106">
        <f>HYPERLINK("https://g1.globo.com/ce/ceara/noticia/2020/02/07/pais-de-estudantes-se-mobilizam-para-ajudar-venezuelanos-em-fortaleza.ghtml", "URL")</f>
        <v/>
      </c>
      <c r="Q1106">
        <f>HYPERLINK("https://raw.githubusercontent.com/marcosmapl/dataset_imigrantes/main/materias_filtered/g1/venezuelanos/2020/01_fev/html/g1_402e8a26-231f-11ed-b24f-6dbe51e79fca_3611.html", "HTML")</f>
        <v/>
      </c>
      <c r="R1106">
        <f>HYPERLINK("https://raw.githubusercontent.com/marcosmapl/dataset_imigrantes/main/materias_filtered/g1/venezuelanos/2020/01_fev/txt/g1_402e8a26-231f-11ed-b24f-6dbe51e79fca_3611.txt", "TXT")</f>
        <v/>
      </c>
    </row>
    <row r="1107">
      <c r="A1107" s="1" t="n">
        <v>1105</v>
      </c>
      <c r="B1107" t="n">
        <v>2020</v>
      </c>
      <c r="C1107" s="2" t="n">
        <v>43868.46278935186</v>
      </c>
      <c r="D1107" t="inlineStr">
        <is>
          <t>A CRITICA</t>
        </is>
      </c>
      <c r="E1107" t="inlineStr">
        <is>
          <t>VENEZUELANOS</t>
        </is>
      </c>
      <c r="F1107" t="inlineStr">
        <is>
          <t>ESPORTES</t>
        </is>
      </c>
      <c r="G1107" t="inlineStr">
        <is>
          <t>GABRIEL FERREIRA</t>
        </is>
      </c>
      <c r="H1107" t="inlineStr">
        <is>
          <t>BARCELOS RECEBE NOS DIAS 22 E 23 DE FEVEREIRO 1º TORNEIO INTERNACIONAL DE PESCA ESPORTIVA</t>
        </is>
      </c>
      <c r="I1107" t="inlineStr">
        <is>
          <t>EVENTO VAI CONTAR COM A PRESENÇA DE UM DOS PIONEIROS DA MODALIDADE NO BRASIL, O PESCADOR JOHNNY HOFFMANN</t>
        </is>
      </c>
      <c r="J1107" t="inlineStr"/>
      <c r="K1107" t="n">
        <v>0</v>
      </c>
      <c r="L1107" t="n">
        <v>1</v>
      </c>
      <c r="M1107" t="n">
        <v>0</v>
      </c>
      <c r="N1107" t="n">
        <v>0</v>
      </c>
      <c r="O1107" t="n">
        <v>3</v>
      </c>
      <c r="P1107">
        <f>HYPERLINK("https://www.acritica.com/esportes/barcelos-recebe-nos-dias-22-e-23-de-fevereiro-1-torneio-internacional-de-pesca-esportiva-1.49435", "URL")</f>
        <v/>
      </c>
      <c r="Q1107">
        <f>HYPERLINK("https://raw.githubusercontent.com/marcosmapl/dataset_imigrantes/main/materias_filtered/a_critica/venezuelanos/2020/01_fev/html/1.49435_1311.html", "HTML")</f>
        <v/>
      </c>
      <c r="R1107">
        <f>HYPERLINK("https://raw.githubusercontent.com/marcosmapl/dataset_imigrantes/main/materias_filtered/a_critica/venezuelanos/2020/01_fev/txt/1.49435_1311.txt", "TXT")</f>
        <v/>
      </c>
    </row>
    <row r="1108">
      <c r="A1108" s="1" t="n">
        <v>1106</v>
      </c>
      <c r="B1108" t="n">
        <v>2020</v>
      </c>
      <c r="C1108" s="2" t="n">
        <v>43867.63888888889</v>
      </c>
      <c r="D1108" t="inlineStr">
        <is>
          <t>A CRITICA</t>
        </is>
      </c>
      <c r="E1108" t="inlineStr">
        <is>
          <t>AMBOS</t>
        </is>
      </c>
      <c r="F1108" t="inlineStr">
        <is>
          <t>MANAUS</t>
        </is>
      </c>
      <c r="G1108" t="inlineStr">
        <is>
          <t>CLEY MEDEIROS</t>
        </is>
      </c>
      <c r="H1108" t="inlineStr">
        <is>
          <t>MORADORES DO MONTE HOREBE REALIZAM PROTESTO CONTRA REINTEGRAÇÃO DE POSSE</t>
        </is>
      </c>
      <c r="I1108" t="inlineStr">
        <is>
          <t>MANIFESTANTES PEDEM A SUSPENSÃO DE UM MANDADO DE REINTEGRAÇÃO DE POSSE EXPEDIDO PELO TJ-AM EM FAVOR DA CONSTRUTORA AMAZONIDAS</t>
        </is>
      </c>
      <c r="J1108" t="inlineStr"/>
      <c r="K1108" t="n">
        <v>0</v>
      </c>
      <c r="L1108" t="n">
        <v>1</v>
      </c>
      <c r="M1108" t="n">
        <v>0</v>
      </c>
      <c r="N1108" t="n">
        <v>0</v>
      </c>
      <c r="O1108" t="n">
        <v>0</v>
      </c>
      <c r="P1108">
        <f>HYPERLINK("https://www.acritica.com/manaus/moradores-do-monte-horebe-realizam-protesto-contra-reintegrac-o-de-posse-1.49182", "URL")</f>
        <v/>
      </c>
      <c r="Q1108">
        <f>HYPERLINK("https://raw.githubusercontent.com/marcosmapl/dataset_imigrantes/main/materias_filtered/a_critica/ambos/2020/01_fev/html/1.49182_688.html", "HTML")</f>
        <v/>
      </c>
      <c r="R1108">
        <f>HYPERLINK("https://raw.githubusercontent.com/marcosmapl/dataset_imigrantes/main/materias_filtered/a_critica/ambos/2020/01_fev/txt/1.49182_688.txt", "TXT")</f>
        <v/>
      </c>
    </row>
    <row r="1109">
      <c r="A1109" s="1" t="n">
        <v>1107</v>
      </c>
      <c r="B1109" t="n">
        <v>2020</v>
      </c>
      <c r="C1109" s="2" t="n">
        <v>43867.61009259259</v>
      </c>
      <c r="D1109" t="inlineStr">
        <is>
          <t>A CRITICA</t>
        </is>
      </c>
      <c r="E1109" t="inlineStr">
        <is>
          <t>VENEZUELANOS</t>
        </is>
      </c>
      <c r="F1109" t="inlineStr">
        <is>
          <t>MANAUS</t>
        </is>
      </c>
      <c r="G1109" t="inlineStr">
        <is>
          <t>DANIEL AMORIM</t>
        </is>
      </c>
      <c r="H1109" t="inlineStr">
        <is>
          <t>EM 2019, 854 CRIANÇAS DE MÃES VENEZUELANAS NASCERAM NO AM</t>
        </is>
      </c>
      <c r="I1109" t="inlineStr">
        <is>
          <t>DADOS FORAM APRESENTADOS PELA SECRETARIA DE ESTADO DE SAÚDE DO AMAZONAS (SUSAM) DURANTE CICLO DE PALESTRAS REALIZADO NO ABRIGO MOACYR ALVES</t>
        </is>
      </c>
      <c r="J1109" t="inlineStr"/>
      <c r="K1109" t="n">
        <v>0</v>
      </c>
      <c r="L1109" t="n">
        <v>1</v>
      </c>
      <c r="M1109" t="n">
        <v>0</v>
      </c>
      <c r="N1109" t="n">
        <v>0</v>
      </c>
      <c r="O1109" t="n">
        <v>0</v>
      </c>
      <c r="P1109">
        <f>HYPERLINK("https://www.acritica.com/manaus/em-2019-854-criancas-de-m-es-venezuelanas-nasceram-no-am-1.49185", "URL")</f>
        <v/>
      </c>
      <c r="Q1109">
        <f>HYPERLINK("https://raw.githubusercontent.com/marcosmapl/dataset_imigrantes/main/materias_filtered/a_critica/venezuelanos/2020/01_fev/html/1.49185_696.html", "HTML")</f>
        <v/>
      </c>
      <c r="R1109">
        <f>HYPERLINK("https://raw.githubusercontent.com/marcosmapl/dataset_imigrantes/main/materias_filtered/a_critica/venezuelanos/2020/01_fev/txt/1.49185_696.txt", "TXT")</f>
        <v/>
      </c>
    </row>
    <row r="1110">
      <c r="A1110" s="1" t="n">
        <v>1108</v>
      </c>
      <c r="B1110" t="n">
        <v>2020</v>
      </c>
      <c r="C1110" s="2" t="n">
        <v>43866.79193020833</v>
      </c>
      <c r="D1110" t="inlineStr">
        <is>
          <t>G1</t>
        </is>
      </c>
      <c r="E1110" t="inlineStr">
        <is>
          <t>HAITIANOS</t>
        </is>
      </c>
      <c r="F1110" t="inlineStr">
        <is>
          <t>PIRACICABA E REGIÃO</t>
        </is>
      </c>
      <c r="G1110" t="inlineStr">
        <is>
          <t>G1 PIRACICABA E REGIÃO</t>
        </is>
      </c>
      <c r="H1110" t="inlineStr">
        <is>
          <t>BATIDA DE CAMINHÃO EM CARRO DEIXA TRÊS PESSOAS FERIDAS EM RODOVIA DE CORDEIRÓPOLIS</t>
        </is>
      </c>
      <c r="I1110" t="inlineStr">
        <is>
          <t>TRÊS HAITIANOS QUE ESTAVAM NO VEÍCULO DE PASSEIO FICARAM PRESOS NA FERRAGENS; UMA DAS VÍTIMAS FOI SOCORRIDA EM ESTADO GRAVE E DUAS TIVERAM FERIMENTOS LEVES E ESTAVAM CONSCIENTES.</t>
        </is>
      </c>
      <c r="J1110" t="inlineStr"/>
      <c r="K1110" t="n">
        <v>0</v>
      </c>
      <c r="L1110" t="n">
        <v>2</v>
      </c>
      <c r="M1110" t="n">
        <v>1</v>
      </c>
      <c r="N1110" t="n">
        <v>0</v>
      </c>
      <c r="O1110" t="n">
        <v>1</v>
      </c>
      <c r="P1110">
        <f>HYPERLINK("https://g1.globo.com/sp/piracicaba-regiao/noticia/2020/02/05/batida-de-caminhao-em-carro-deixa-tres-pessoas-feridas-em-cordeiropolis.ghtml", "URL")</f>
        <v/>
      </c>
      <c r="Q1110">
        <f>HYPERLINK("https://raw.githubusercontent.com/marcosmapl/dataset_imigrantes/main/materias_filtered/g1/haitianos/2020/01_fev/html/g1_f2716930-22f0-11ed-b24f-6dbe51e79fca_1727.html", "HTML")</f>
        <v/>
      </c>
      <c r="R1110">
        <f>HYPERLINK("https://raw.githubusercontent.com/marcosmapl/dataset_imigrantes/main/materias_filtered/g1/haitianos/2020/01_fev/txt/g1_f2716930-22f0-11ed-b24f-6dbe51e79fca_1727.txt", "TXT")</f>
        <v/>
      </c>
    </row>
    <row r="1111">
      <c r="A1111" s="1" t="n">
        <v>1109</v>
      </c>
      <c r="B1111" t="n">
        <v>2020</v>
      </c>
      <c r="C1111" s="2" t="n">
        <v>43865.64136574074</v>
      </c>
      <c r="D1111" t="inlineStr">
        <is>
          <t>A CRITICA</t>
        </is>
      </c>
      <c r="E1111" t="inlineStr">
        <is>
          <t>VENEZUELANOS</t>
        </is>
      </c>
      <c r="F1111" t="inlineStr">
        <is>
          <t>MANAUS</t>
        </is>
      </c>
      <c r="G1111" t="inlineStr">
        <is>
          <t>PORTAL A CRÍTICA</t>
        </is>
      </c>
      <c r="H1111" t="inlineStr">
        <is>
          <t>VENEZUELANOS WARAO PARTICIPAM DE FORMAÇÃO DE SAÚDE EM MANAUS</t>
        </is>
      </c>
      <c r="I1111" t="inlineStr">
        <is>
          <t>VOLUNTÁRIOS INDÍGENAS PARTICIPAM DE TREINAMENTOS DE SAÚDE NOS ABRIGOS, EM AÇÃO QUE CONTA COM APOIO DA AGÊNCIA DA ONU PARA REFUGIADOS (ACNUR)</t>
        </is>
      </c>
      <c r="J1111" t="inlineStr"/>
      <c r="K1111" t="n">
        <v>0</v>
      </c>
      <c r="L1111" t="n">
        <v>1</v>
      </c>
      <c r="M1111" t="n">
        <v>0</v>
      </c>
      <c r="N1111" t="n">
        <v>0</v>
      </c>
      <c r="O1111" t="n">
        <v>0</v>
      </c>
      <c r="P1111">
        <f>HYPERLINK("https://www.acritica.com/manaus/venezuelanos-warao-participam-de-formac-o-de-saude-em-manaus-1.49615", "URL")</f>
        <v/>
      </c>
      <c r="Q1111">
        <f>HYPERLINK("https://raw.githubusercontent.com/marcosmapl/dataset_imigrantes/main/materias_filtered/a_critica/venezuelanos/2020/01_fev/html/1.49615_1334.html", "HTML")</f>
        <v/>
      </c>
      <c r="R1111">
        <f>HYPERLINK("https://raw.githubusercontent.com/marcosmapl/dataset_imigrantes/main/materias_filtered/a_critica/venezuelanos/2020/01_fev/txt/1.49615_1334.txt", "TXT")</f>
        <v/>
      </c>
    </row>
    <row r="1112">
      <c r="A1112" s="1" t="n">
        <v>1110</v>
      </c>
      <c r="B1112" t="n">
        <v>2020</v>
      </c>
      <c r="C1112" s="2" t="n">
        <v>43865.50952546296</v>
      </c>
      <c r="D1112" t="inlineStr">
        <is>
          <t>A CRITICA</t>
        </is>
      </c>
      <c r="E1112" t="inlineStr">
        <is>
          <t>VENEZUELANOS</t>
        </is>
      </c>
      <c r="F1112" t="inlineStr"/>
      <c r="G1112" t="inlineStr">
        <is>
          <t>ANTÔNIO PAULO</t>
        </is>
      </c>
      <c r="H1112" t="inlineStr">
        <is>
          <t>REFORMA TRIBUTÁRIA É PRIORIDADE DA BANCADA DO AM EM BRASÍLIA</t>
        </is>
      </c>
      <c r="I1112" t="inlineStr">
        <is>
          <t>PARA DEPUTADOS E SENADORES DO AMAZONAS, A PRINCIPAL BANDEIRA SERÁ IMPEDIR PERDAS COM A REFORMA QUE SERÁ DEBATIDA NESTE ANO NO CONGRESSO NACIONAL</t>
        </is>
      </c>
      <c r="J1112" t="inlineStr"/>
      <c r="K1112" t="n">
        <v>0</v>
      </c>
      <c r="L1112" t="n">
        <v>1</v>
      </c>
      <c r="M1112" t="n">
        <v>0</v>
      </c>
      <c r="N1112" t="n">
        <v>0</v>
      </c>
      <c r="O1112" t="n">
        <v>0</v>
      </c>
      <c r="P1112">
        <f>HYPERLINK("https://www.acritica.com/reforma-tributaria-e-prioridade-da-bancada-do-am-em-brasilia-1.49580", "URL")</f>
        <v/>
      </c>
      <c r="Q1112">
        <f>HYPERLINK("https://raw.githubusercontent.com/marcosmapl/dataset_imigrantes/main/materias_filtered/a_critica/venezuelanos/2020/01_fev/html/1.49580_54.html", "HTML")</f>
        <v/>
      </c>
      <c r="R1112">
        <f>HYPERLINK("https://raw.githubusercontent.com/marcosmapl/dataset_imigrantes/main/materias_filtered/a_critica/venezuelanos/2020/01_fev/txt/1.49580_54.txt", "TXT")</f>
        <v/>
      </c>
    </row>
    <row r="1113">
      <c r="A1113" s="1" t="n">
        <v>1111</v>
      </c>
      <c r="B1113" t="n">
        <v>2020</v>
      </c>
      <c r="C1113" s="2" t="n">
        <v>43864.64307503472</v>
      </c>
      <c r="D1113" t="inlineStr">
        <is>
          <t>G1</t>
        </is>
      </c>
      <c r="E1113" t="inlineStr">
        <is>
          <t>VENEZUELANOS</t>
        </is>
      </c>
      <c r="F1113" t="inlineStr">
        <is>
          <t>RORAIMA</t>
        </is>
      </c>
      <c r="G1113" t="inlineStr">
        <is>
          <t>G1 RR</t>
        </is>
      </c>
      <c r="H1113" t="inlineStr">
        <is>
          <t>NIGERIANO RETÉM PASSAPORTE DE VENEZUELANO POR DÍVIDA EM HOTEL E É PRESO PELA PF EM BOA VISTA</t>
        </is>
      </c>
      <c r="I1113" t="inlineStr">
        <is>
          <t>VENEZUELANO DISSE À FICCO QUE FOI DESPEJADO DO HOTEL DEPOIS QUE DESISTIU DE PARTICIPAR DE ESQUEMA DE TRÁFICO INTERNACIONAL DE DROGAS.</t>
        </is>
      </c>
      <c r="J1113" t="inlineStr"/>
      <c r="K1113" t="n">
        <v>0</v>
      </c>
      <c r="L1113" t="n">
        <v>1</v>
      </c>
      <c r="M1113" t="n">
        <v>0</v>
      </c>
      <c r="N1113" t="n">
        <v>0</v>
      </c>
      <c r="O1113" t="n">
        <v>0</v>
      </c>
      <c r="P1113">
        <f>HYPERLINK("https://g1.globo.com/rr/roraima/noticia/2020/02/03/nigeriano-retem-passaporte-de-venezuelano-por-divida-em-hotel-e-e-preso-pela-pf-em-boa-vista.ghtml", "URL")</f>
        <v/>
      </c>
      <c r="Q1113">
        <f>HYPERLINK("https://raw.githubusercontent.com/marcosmapl/dataset_imigrantes/main/materias_filtered/g1/venezuelanos/2020/01_fev/html/g1_46f0e5ce-232a-11ed-b24f-6dbe51e79fca_4168.html", "HTML")</f>
        <v/>
      </c>
      <c r="R1113">
        <f>HYPERLINK("https://raw.githubusercontent.com/marcosmapl/dataset_imigrantes/main/materias_filtered/g1/venezuelanos/2020/01_fev/txt/g1_46f0e5ce-232a-11ed-b24f-6dbe51e79fca_4168.txt", "TXT")</f>
        <v/>
      </c>
    </row>
    <row r="1114">
      <c r="A1114" s="1" t="n">
        <v>1112</v>
      </c>
      <c r="B1114" t="n">
        <v>2020</v>
      </c>
      <c r="C1114" s="2" t="n">
        <v>43864.50672453704</v>
      </c>
      <c r="D1114" t="inlineStr">
        <is>
          <t>A CRITICA</t>
        </is>
      </c>
      <c r="E1114" t="inlineStr">
        <is>
          <t>HAITIANOS</t>
        </is>
      </c>
      <c r="F1114" t="inlineStr">
        <is>
          <t>ESPORTES</t>
        </is>
      </c>
      <c r="G1114" t="inlineStr">
        <is>
          <t>LEONARDO SENA</t>
        </is>
      </c>
      <c r="H1114" t="inlineStr">
        <is>
          <t>NA COMPENSA, PROJETO CONCILIA FUTSAL E RELIGIÃO PARA AFASTAR JOVENS DAS RUAS</t>
        </is>
      </c>
      <c r="I1114" t="inlineStr">
        <is>
          <t>RESPONSÁVEL PELA AÇÃO SOCIAL "DEUS ESCOLHEU VOCÊ FUTSAL" HÁ 11 ANOS, EMANOEL DOS SANTOS CONTA COM A AJUDA DA ESPOSA JOELMA. MESMO COM DIFICULDADES FINANCEIRAS, OS DOIS PERSISTEM NO CUIDADO A JOVENS</t>
        </is>
      </c>
      <c r="J1114" t="inlineStr"/>
      <c r="K1114" t="n">
        <v>0</v>
      </c>
      <c r="L1114" t="n">
        <v>1</v>
      </c>
      <c r="M1114" t="n">
        <v>0</v>
      </c>
      <c r="N1114" t="n">
        <v>0</v>
      </c>
      <c r="O1114" t="n">
        <v>0</v>
      </c>
      <c r="P1114">
        <f>HYPERLINK("https://www.acritica.com/esportes/na-compensa-projeto-concilia-futsal-e-religi-o-para-afastar-jovens-das-ruas-1.49683", "URL")</f>
        <v/>
      </c>
      <c r="Q1114">
        <f>HYPERLINK("https://raw.githubusercontent.com/marcosmapl/dataset_imigrantes/main/materias_filtered/a_critica/haitianos/2020/01_fev/html/1.49683_729.html", "HTML")</f>
        <v/>
      </c>
      <c r="R1114">
        <f>HYPERLINK("https://raw.githubusercontent.com/marcosmapl/dataset_imigrantes/main/materias_filtered/a_critica/haitianos/2020/01_fev/txt/1.49683_729.txt", "TXT")</f>
        <v/>
      </c>
    </row>
    <row r="1115">
      <c r="A1115" s="1" t="n">
        <v>1113</v>
      </c>
      <c r="B1115" t="n">
        <v>2020</v>
      </c>
      <c r="C1115" s="2" t="n">
        <v>43862.04430319445</v>
      </c>
      <c r="D1115" t="inlineStr">
        <is>
          <t>G1</t>
        </is>
      </c>
      <c r="E1115" t="inlineStr">
        <is>
          <t>VENEZUELANOS</t>
        </is>
      </c>
      <c r="F1115" t="inlineStr">
        <is>
          <t>POLÍTICA</t>
        </is>
      </c>
      <c r="G1115" t="inlineStr">
        <is>
          <t>MATEUS RODRIGUES E GABRIEL PALMA, G1 E TV GLOBO — BRASÍLIA</t>
        </is>
      </c>
      <c r="H1115" t="inlineStr">
        <is>
          <t>BRASIL RECONHECE, DE UMA VEZ, 17 MIL VENEZUELANOS COMO REFUGIADOS</t>
        </is>
      </c>
      <c r="I1115" t="inlineStr">
        <is>
          <t>AO TODO, CERCA DE 40 MIL CIDADÃOS DA VENEZUELA JÁ TIVERAM STATUS RECONHECIDO. COMITÊ QUE REÚNE GOVERNO E ENTIDADES DIZ ANALISAR MAIS DE 100 MIL PEDIDOS DE REFÚGIO DO PAÍS VIZINHO.</t>
        </is>
      </c>
      <c r="J1115" t="inlineStr"/>
      <c r="K1115" t="n">
        <v>0</v>
      </c>
      <c r="L1115" t="n">
        <v>2</v>
      </c>
      <c r="M1115" t="n">
        <v>1</v>
      </c>
      <c r="N1115" t="n">
        <v>0</v>
      </c>
      <c r="O1115" t="n">
        <v>2</v>
      </c>
      <c r="P1115">
        <f>HYPERLINK("https://g1.globo.com/politica/noticia/2020/01/31/brasil-reconhece-em-bloco-17-mil-venezuelanos-como-refugiados.ghtml", "URL")</f>
        <v/>
      </c>
      <c r="Q1115">
        <f>HYPERLINK("https://raw.githubusercontent.com/marcosmapl/dataset_imigrantes/main/materias_filtered/g1/venezuelanos/2020/01_fev/html/g1_a170bcf8-231c-11ed-b24f-6dbe51e79fca_3456.html", "HTML")</f>
        <v/>
      </c>
      <c r="R1115">
        <f>HYPERLINK("https://raw.githubusercontent.com/marcosmapl/dataset_imigrantes/main/materias_filtered/g1/venezuelanos/2020/01_fev/txt/g1_a170bcf8-231c-11ed-b24f-6dbe51e79fca_3456.txt", "TXT")</f>
        <v/>
      </c>
    </row>
    <row r="1116">
      <c r="A1116" s="1" t="n">
        <v>1114</v>
      </c>
      <c r="B1116" t="n">
        <v>2020</v>
      </c>
      <c r="C1116" s="2" t="n">
        <v>43860.89621237269</v>
      </c>
      <c r="D1116" t="inlineStr">
        <is>
          <t>G1</t>
        </is>
      </c>
      <c r="E1116" t="inlineStr">
        <is>
          <t>VENEZUELANOS</t>
        </is>
      </c>
      <c r="F1116" t="inlineStr">
        <is>
          <t>RORAIMA</t>
        </is>
      </c>
      <c r="G1116" t="inlineStr">
        <is>
          <t>FABRÍCIO ARAÚJO E PHUEBLO CALIRI, G1 RR E REDE AMAZÔNICA — BOA VISTA</t>
        </is>
      </c>
      <c r="H1116" t="inlineStr">
        <is>
          <t>BOPE FAZ OPERAÇÃO EM PRÉDIOS OCUPADOS POR VENEZUELANOS NO CENTRO DE BOA VISTA</t>
        </is>
      </c>
      <c r="I1116" t="inlineStr">
        <is>
          <t>FISCALIZAÇÃO FOI NOS PRÉDIOS DA ANTIGA SECRETARIA DE EDUCAÇÃO ONDE FUNCIONAVA O BOA VISTA SHOPPING; NINGUÉM FOI PRESO. POLICIAIS ACHARAM UM CACHORRO ROUBADO E APREENDERAM CELULARES E ARMAS BRANCAS.</t>
        </is>
      </c>
      <c r="J1116" t="inlineStr"/>
      <c r="K1116" t="n">
        <v>0</v>
      </c>
      <c r="L1116" t="n">
        <v>2</v>
      </c>
      <c r="M1116" t="n">
        <v>0</v>
      </c>
      <c r="N1116" t="n">
        <v>0</v>
      </c>
      <c r="O1116" t="n">
        <v>1</v>
      </c>
      <c r="P1116">
        <f>HYPERLINK("https://g1.globo.com/rr/roraima/noticia/2020/01/30/bope-faz-operacao-em-predio-ocupado-por-venezuelanos-no-centro-de-boa-vista.ghtml", "URL")</f>
        <v/>
      </c>
      <c r="Q1116">
        <f>HYPERLINK("https://raw.githubusercontent.com/marcosmapl/dataset_imigrantes/main/materias_filtered/g1/venezuelanos/2020/00_jan/html/g1_d84fca9a-2315-11ed-b24f-6dbe51e79fca_3109.html", "HTML")</f>
        <v/>
      </c>
      <c r="R1116">
        <f>HYPERLINK("https://raw.githubusercontent.com/marcosmapl/dataset_imigrantes/main/materias_filtered/g1/venezuelanos/2020/00_jan/txt/g1_d84fca9a-2315-11ed-b24f-6dbe51e79fca_3109.txt", "TXT")</f>
        <v/>
      </c>
    </row>
    <row r="1117">
      <c r="A1117" s="1" t="n">
        <v>1115</v>
      </c>
      <c r="B1117" t="n">
        <v>2020</v>
      </c>
      <c r="C1117" s="2" t="n">
        <v>43860.88175305555</v>
      </c>
      <c r="D1117" t="inlineStr">
        <is>
          <t>G1</t>
        </is>
      </c>
      <c r="E1117" t="inlineStr">
        <is>
          <t>VENEZUELANOS</t>
        </is>
      </c>
      <c r="F1117" t="inlineStr">
        <is>
          <t>RORAIMA</t>
        </is>
      </c>
      <c r="G1117" t="inlineStr">
        <is>
          <t>G1 RR — BOA VISTA</t>
        </is>
      </c>
      <c r="H1117" t="inlineStr">
        <is>
          <t>RORAIMA AUMENTA ARRECADAÇÃO DE IMPOSTO E ESTUDO DA FGV ATRIBUI À IMIGRAÇÃO VENEZUELANA</t>
        </is>
      </c>
      <c r="I1117" t="inlineStr">
        <is>
          <t>RELATÓRIO DESENVOLVIDO PELA DIRETORIA DE ANÁLISE DE POLÍTICAS PÚBLICAS DA FGV FOI DIVULGADO NESTA QUINTA-FEIRA (30).</t>
        </is>
      </c>
      <c r="J1117" t="inlineStr"/>
      <c r="K1117" t="n">
        <v>0</v>
      </c>
      <c r="L1117" t="n">
        <v>1</v>
      </c>
      <c r="M1117" t="n">
        <v>0</v>
      </c>
      <c r="N1117" t="n">
        <v>0</v>
      </c>
      <c r="O1117" t="n">
        <v>1</v>
      </c>
      <c r="P1117">
        <f>HYPERLINK("https://g1.globo.com/rr/roraima/noticia/2020/01/30/roraima-aumenta-arrecadacao-de-imposto-e-estudo-da-fgv-atribui-a-imigracao-venezuelana.ghtml", "URL")</f>
        <v/>
      </c>
      <c r="Q1117">
        <f>HYPERLINK("https://raw.githubusercontent.com/marcosmapl/dataset_imigrantes/main/materias_filtered/g1/venezuelanos/2020/00_jan/html/g1_9dfde7fa-2329-11ed-b24f-6dbe51e79fca_4127.html", "HTML")</f>
        <v/>
      </c>
      <c r="R1117">
        <f>HYPERLINK("https://raw.githubusercontent.com/marcosmapl/dataset_imigrantes/main/materias_filtered/g1/venezuelanos/2020/00_jan/txt/g1_9dfde7fa-2329-11ed-b24f-6dbe51e79fca_4127.txt", "TXT")</f>
        <v/>
      </c>
    </row>
    <row r="1118">
      <c r="A1118" s="1" t="n">
        <v>1116</v>
      </c>
      <c r="B1118" t="n">
        <v>2020</v>
      </c>
      <c r="C1118" s="2" t="n">
        <v>43858.89327672454</v>
      </c>
      <c r="D1118" t="inlineStr">
        <is>
          <t>G1</t>
        </is>
      </c>
      <c r="E1118" t="inlineStr">
        <is>
          <t>HAITIANOS</t>
        </is>
      </c>
      <c r="F1118" t="inlineStr">
        <is>
          <t>SANTA CATARINA</t>
        </is>
      </c>
      <c r="G1118" t="inlineStr">
        <is>
          <t>G1 SC</t>
        </is>
      </c>
      <c r="H1118" t="inlineStr">
        <is>
          <t>QUASE DOIS MESES DEPOIS, CORPOS DE HAITIANAS MORTAS EM ACIDENTE EM SC SÃO ENTERRADOS</t>
        </is>
      </c>
      <c r="I1118" t="inlineStr">
        <is>
          <t>QUATRO PESSOAS MORRERAM EM PINHALZINHO NO INÍCIO DE DEZEMBRO. ÚNICO SOBREVIVENTE TEVE ALTA NESTA SEMANA.</t>
        </is>
      </c>
      <c r="J1118" t="inlineStr"/>
      <c r="K1118" t="n">
        <v>0</v>
      </c>
      <c r="L1118" t="n">
        <v>2</v>
      </c>
      <c r="M1118" t="n">
        <v>1</v>
      </c>
      <c r="N1118" t="n">
        <v>0</v>
      </c>
      <c r="O1118" t="n">
        <v>5</v>
      </c>
      <c r="P1118">
        <f>HYPERLINK("https://g1.globo.com/sc/santa-catarina/noticia/2020/01/28/quase-dois-meses-depois-corpos-de-haitianas-mortas-em-acidente-em-sc-sao-enterrados.ghtml", "URL")</f>
        <v/>
      </c>
      <c r="Q1118">
        <f>HYPERLINK("https://raw.githubusercontent.com/marcosmapl/dataset_imigrantes/main/materias_filtered/g1/haitianos/2020/00_jan/html/g1_15e12246-231b-11ed-b24f-6dbe51e79fca_3368.html", "HTML")</f>
        <v/>
      </c>
      <c r="R1118">
        <f>HYPERLINK("https://raw.githubusercontent.com/marcosmapl/dataset_imigrantes/main/materias_filtered/g1/haitianos/2020/00_jan/txt/g1_15e12246-231b-11ed-b24f-6dbe51e79fca_3368.txt", "TXT")</f>
        <v/>
      </c>
    </row>
    <row r="1119">
      <c r="A1119" s="1" t="n">
        <v>1117</v>
      </c>
      <c r="B1119" t="n">
        <v>2020</v>
      </c>
      <c r="C1119" s="2" t="n">
        <v>43857.96638888889</v>
      </c>
      <c r="D1119" t="inlineStr">
        <is>
          <t>A CRITICA</t>
        </is>
      </c>
      <c r="E1119" t="inlineStr">
        <is>
          <t>VENEZUELANOS</t>
        </is>
      </c>
      <c r="F1119" t="inlineStr"/>
      <c r="G1119" t="inlineStr">
        <is>
          <t>PORTAL A CRÍTICA E AGÊNCIAS</t>
        </is>
      </c>
      <c r="H1119" t="inlineStr">
        <is>
          <t>PRIMEIRO DIPLOMA REVALIDADO PARA REFUGIADA VENEZUELANA É ENTREGUE NO AM</t>
        </is>
      </c>
      <c r="I1119" t="inlineStr">
        <is>
          <t>AÇÃO FOI RESULTADO DA ATUAÇÃO INTEGRADA ENTRE AGÊNCIA DA ONU PARA REFUGIADOS, ASSOCIAÇÃO COMPASSIVA E UNIVERSIDADE DO ESTADO DO AMAZONAS (UEA)</t>
        </is>
      </c>
      <c r="J1119" t="inlineStr"/>
      <c r="K1119" t="n">
        <v>0</v>
      </c>
      <c r="L1119" t="n">
        <v>1</v>
      </c>
      <c r="M1119" t="n">
        <v>0</v>
      </c>
      <c r="N1119" t="n">
        <v>0</v>
      </c>
      <c r="O1119" t="n">
        <v>0</v>
      </c>
      <c r="P1119">
        <f>HYPERLINK("https://www.acritica.com/primeiro-diploma-revalidado-para-refugiada-venezuelana-e-entregue-no-am-1.49959", "URL")</f>
        <v/>
      </c>
      <c r="Q1119">
        <f>HYPERLINK("https://raw.githubusercontent.com/marcosmapl/dataset_imigrantes/main/materias_filtered/a_critica/venezuelanos/2020/00_jan/html/1.49959_1371.html", "HTML")</f>
        <v/>
      </c>
      <c r="R1119">
        <f>HYPERLINK("https://raw.githubusercontent.com/marcosmapl/dataset_imigrantes/main/materias_filtered/a_critica/venezuelanos/2020/00_jan/txt/1.49959_1371.txt", "TXT")</f>
        <v/>
      </c>
    </row>
    <row r="1120">
      <c r="A1120" s="1" t="n">
        <v>1118</v>
      </c>
      <c r="B1120" t="n">
        <v>2020</v>
      </c>
      <c r="C1120" s="2" t="n">
        <v>43857.68518435185</v>
      </c>
      <c r="D1120" t="inlineStr">
        <is>
          <t>G1</t>
        </is>
      </c>
      <c r="E1120" t="inlineStr">
        <is>
          <t>VENEZUELANOS</t>
        </is>
      </c>
      <c r="F1120" t="inlineStr">
        <is>
          <t>AMAZONAS</t>
        </is>
      </c>
      <c r="G1120" t="inlineStr">
        <is>
          <t>G1 AM</t>
        </is>
      </c>
      <c r="H1120" t="inlineStr">
        <is>
          <t>BIÓLOGA E DOUTORA, VENEZUELANA QUE VIVE NO AM É PRIMEIRA REFUGIADA A TER DIPLOMA REVALIDADO: 'VOU PODER RETRIBUIR O QUE BRASIL FEZ POR MIM'</t>
        </is>
      </c>
      <c r="I1120" t="inlineStr">
        <is>
          <t>AÇÃO FOI RESULTADO DA ATUAÇÃO INTEGRADA ENTRE ACNUR, ASSOCIAÇÃO COMPASSIVA E UNIVERSIDADE DO ESTADO DO AMAZONAS (UEA).</t>
        </is>
      </c>
      <c r="J1120" t="inlineStr"/>
      <c r="K1120" t="n">
        <v>0</v>
      </c>
      <c r="L1120" t="n">
        <v>1</v>
      </c>
      <c r="M1120" t="n">
        <v>0</v>
      </c>
      <c r="N1120" t="n">
        <v>0</v>
      </c>
      <c r="O1120" t="n">
        <v>0</v>
      </c>
      <c r="P1120">
        <f>HYPERLINK("https://g1.globo.com/am/amazonas/noticia/2020/01/27/biologa-e-doutora-venezuelana-que-vive-no-am-e-primeira-refugiada-a-ter-diploma-revalidado-vou-poder-retribuir-o-que-brasil-fez-por-mim.ghtml", "URL")</f>
        <v/>
      </c>
      <c r="Q1120">
        <f>HYPERLINK("https://raw.githubusercontent.com/marcosmapl/dataset_imigrantes/main/materias_filtered/g1/venezuelanos/2020/00_jan/html/g1_22a0b5de-232d-11ed-b24f-6dbe51e79fca_4343.html", "HTML")</f>
        <v/>
      </c>
      <c r="R1120">
        <f>HYPERLINK("https://raw.githubusercontent.com/marcosmapl/dataset_imigrantes/main/materias_filtered/g1/venezuelanos/2020/00_jan/txt/g1_22a0b5de-232d-11ed-b24f-6dbe51e79fca_4343.txt", "TXT")</f>
        <v/>
      </c>
    </row>
    <row r="1121">
      <c r="A1121" s="1" t="n">
        <v>1119</v>
      </c>
      <c r="B1121" t="n">
        <v>2020</v>
      </c>
      <c r="C1121" s="2" t="n">
        <v>43857.49741898148</v>
      </c>
      <c r="D1121" t="inlineStr">
        <is>
          <t>A CRITICA</t>
        </is>
      </c>
      <c r="E1121" t="inlineStr">
        <is>
          <t>VENEZUELANOS</t>
        </is>
      </c>
      <c r="F1121" t="inlineStr"/>
      <c r="G1121" t="inlineStr">
        <is>
          <t>PORTAL A CRÍTICA</t>
        </is>
      </c>
      <c r="H1121" t="inlineStr">
        <is>
          <t>EX-COMANDANTE MILITAR DA AMAZÔNIA IRÁ ASSUMIR CARGO NO MINISTÉRIO DA DEFESA</t>
        </is>
      </c>
      <c r="I1121" t="inlineStr">
        <is>
          <t>CÉSAR AUGUSTO NARDI PASSOU O COMANDO AO GENERAL DE EXÉRCITO ESTEVAM CALS DE OLIVEIRA, EM CERIMÔNIA REALIZADA NA SEDE DO COMANDO EM MANAUS</t>
        </is>
      </c>
      <c r="J1121" t="inlineStr"/>
      <c r="K1121" t="n">
        <v>0</v>
      </c>
      <c r="L1121" t="n">
        <v>1</v>
      </c>
      <c r="M1121" t="n">
        <v>0</v>
      </c>
      <c r="N1121" t="n">
        <v>0</v>
      </c>
      <c r="O1121" t="n">
        <v>0</v>
      </c>
      <c r="P1121">
        <f>HYPERLINK("https://www.acritica.com/ex-comandante-militar-da-amazonia-ira-assumir-cargo-no-ministerio-da-defesa-1.50159", "URL")</f>
        <v/>
      </c>
      <c r="Q1121">
        <f>HYPERLINK("https://raw.githubusercontent.com/marcosmapl/dataset_imigrantes/main/materias_filtered/a_critica/venezuelanos/2020/00_jan/html/1.50159_3.html", "HTML")</f>
        <v/>
      </c>
      <c r="R1121">
        <f>HYPERLINK("https://raw.githubusercontent.com/marcosmapl/dataset_imigrantes/main/materias_filtered/a_critica/venezuelanos/2020/00_jan/txt/1.50159_3.txt", "TXT")</f>
        <v/>
      </c>
    </row>
    <row r="1122">
      <c r="A1122" s="1" t="n">
        <v>1120</v>
      </c>
      <c r="B1122" t="n">
        <v>2020</v>
      </c>
      <c r="C1122" s="2" t="n">
        <v>43855.06296221065</v>
      </c>
      <c r="D1122" t="inlineStr">
        <is>
          <t>G1</t>
        </is>
      </c>
      <c r="E1122" t="inlineStr">
        <is>
          <t>VENEZUELANOS</t>
        </is>
      </c>
      <c r="F1122" t="inlineStr">
        <is>
          <t>AMAZONAS</t>
        </is>
      </c>
      <c r="G1122" t="inlineStr">
        <is>
          <t>G1 AM</t>
        </is>
      </c>
      <c r="H1122" t="inlineStr">
        <is>
          <t>REFUGIADOS VENEZUELANOS RECEBEM SERVIÇOS DE SAÚDE NA RODOVIÁRIA DE MANAUS</t>
        </is>
      </c>
      <c r="I1122" t="inlineStr">
        <is>
          <t>ENTRE ATENDIMENTOS OFERECIDOS NO LOCAL, ESTÃO CONSULTAS MÉDICAS, VACINAÇÕES E TESTES RÁPIDOS.</t>
        </is>
      </c>
      <c r="J1122" t="inlineStr"/>
      <c r="K1122" t="n">
        <v>0</v>
      </c>
      <c r="L1122" t="n">
        <v>0</v>
      </c>
      <c r="M1122" t="n">
        <v>0</v>
      </c>
      <c r="N1122" t="n">
        <v>0</v>
      </c>
      <c r="O1122" t="n">
        <v>0</v>
      </c>
      <c r="P1122">
        <f>HYPERLINK("https://g1.globo.com/am/amazonas/noticia/2020/01/24/refugiados-venezuelanos-recebem-servicos-de-saude-na-rodoviaria-de-manaus.ghtml", "URL")</f>
        <v/>
      </c>
      <c r="Q1122">
        <f>HYPERLINK("https://raw.githubusercontent.com/marcosmapl/dataset_imigrantes/main/materias_filtered/g1/venezuelanos/2020/00_jan/html/g1_21f50776-2309-11ed-b24f-6dbe51e79fca_2428.html", "HTML")</f>
        <v/>
      </c>
      <c r="R1122">
        <f>HYPERLINK("https://raw.githubusercontent.com/marcosmapl/dataset_imigrantes/main/materias_filtered/g1/venezuelanos/2020/00_jan/txt/g1_21f50776-2309-11ed-b24f-6dbe51e79fca_2428.txt", "TXT")</f>
        <v/>
      </c>
    </row>
    <row r="1123">
      <c r="A1123" s="1" t="n">
        <v>1121</v>
      </c>
      <c r="B1123" t="n">
        <v>2020</v>
      </c>
      <c r="C1123" s="2" t="n">
        <v>43854.42113270833</v>
      </c>
      <c r="D1123" t="inlineStr">
        <is>
          <t>G1</t>
        </is>
      </c>
      <c r="E1123" t="inlineStr">
        <is>
          <t>VENEZUELANOS</t>
        </is>
      </c>
      <c r="F1123" t="inlineStr">
        <is>
          <t>VALE DO PARAÍBA E REGIÃO</t>
        </is>
      </c>
      <c r="G1123" t="inlineStr">
        <is>
          <t>G1 VALE DO PARAÍBA E REGIÃO</t>
        </is>
      </c>
      <c r="H1123" t="inlineStr">
        <is>
          <t>MENINA VENEZUELANA GANHA PRÓTESES DE MÃOS E ANTEBRAÇOS FEITAS EM IMPRESSORA 3D EM SP</t>
        </is>
      </c>
      <c r="I1123" t="inlineStr">
        <is>
          <t>JHOSLENIS TEVE AMPUTAÇÃO BILATERAL DOS ANTEBRAÇOS APÓS TOCAR EM FIOS DE ALTA TENSÃO. UMA TIA BRASILEIRA DELA ACIONOU O PROJETO DA UNIFESP, QUE CONSEGUIU FINANCIAR PASSAGENS AÉREAS E ESTADIA PARA ELA E A AVÓ.</t>
        </is>
      </c>
      <c r="J1123" t="inlineStr"/>
      <c r="K1123" t="n">
        <v>0</v>
      </c>
      <c r="L1123" t="n">
        <v>2</v>
      </c>
      <c r="M1123" t="n">
        <v>2</v>
      </c>
      <c r="N1123" t="n">
        <v>0</v>
      </c>
      <c r="O1123" t="n">
        <v>0</v>
      </c>
      <c r="P1123">
        <f>HYPERLINK("https://g1.globo.com/sp/vale-do-paraiba-regiao/noticia/2020/01/24/menina-venezuelana-ganha-proteses-de-maos-e-antebracos-feitas-em-impressora-3d-em-sp.ghtml", "URL")</f>
        <v/>
      </c>
      <c r="Q1123">
        <f>HYPERLINK("https://raw.githubusercontent.com/marcosmapl/dataset_imigrantes/main/materias_filtered/g1/venezuelanos/2020/00_jan/html/g1_ed4bb760-2310-11ed-b24f-6dbe51e79fca_2885.html", "HTML")</f>
        <v/>
      </c>
      <c r="R1123">
        <f>HYPERLINK("https://raw.githubusercontent.com/marcosmapl/dataset_imigrantes/main/materias_filtered/g1/venezuelanos/2020/00_jan/txt/g1_ed4bb760-2310-11ed-b24f-6dbe51e79fca_2885.txt", "TXT")</f>
        <v/>
      </c>
    </row>
    <row r="1124">
      <c r="A1124" s="1" t="n">
        <v>1122</v>
      </c>
      <c r="B1124" t="n">
        <v>2020</v>
      </c>
      <c r="C1124" s="2" t="n">
        <v>43853.43680555555</v>
      </c>
      <c r="D1124" t="inlineStr">
        <is>
          <t>A CRITICA</t>
        </is>
      </c>
      <c r="E1124" t="inlineStr">
        <is>
          <t>VENEZUELANOS</t>
        </is>
      </c>
      <c r="F1124" t="inlineStr">
        <is>
          <t>MANAUS</t>
        </is>
      </c>
      <c r="G1124" t="inlineStr">
        <is>
          <t>GABRIEL VERAS</t>
        </is>
      </c>
      <c r="H1124" t="inlineStr">
        <is>
          <t>CRIANÇA TEM PARTE DO CORPO QUEIMADO EM INCÊNDIO; FAMÍLIA FICA DESABRIGADA</t>
        </is>
      </c>
      <c r="I1124" t="inlineStr">
        <is>
          <t>TRÊS CRIANÇAS FORAM RESGATADAS POR POPULARES ANTES DA CHEGADA DO CORPO DE BOMBEIROS E UMA DELAS ESTÁ INTERNADA EM ESTADO GRAVE. A CASA FOI DEMOLIDA E IGREJA ARRECADA DOAÇÕES QUE SERÃO REPASSADAS À FAMÍLIA</t>
        </is>
      </c>
      <c r="J1124" t="inlineStr"/>
      <c r="K1124" t="n">
        <v>0</v>
      </c>
      <c r="L1124" t="n">
        <v>1</v>
      </c>
      <c r="M1124" t="n">
        <v>0</v>
      </c>
      <c r="N1124" t="n">
        <v>0</v>
      </c>
      <c r="O1124" t="n">
        <v>1</v>
      </c>
      <c r="P1124">
        <f>HYPERLINK("https://www.acritica.com/manaus/crianca-tem-parte-do-corpo-queimado-em-incendio-familia-fica-desabrigada-1.50618", "URL")</f>
        <v/>
      </c>
      <c r="Q1124">
        <f>HYPERLINK("https://raw.githubusercontent.com/marcosmapl/dataset_imigrantes/main/materias_filtered/a_critica/venezuelanos/2020/00_jan/html/1.50618_1221.html", "HTML")</f>
        <v/>
      </c>
      <c r="R1124">
        <f>HYPERLINK("https://raw.githubusercontent.com/marcosmapl/dataset_imigrantes/main/materias_filtered/a_critica/venezuelanos/2020/00_jan/txt/1.50618_1221.txt", "TXT")</f>
        <v/>
      </c>
    </row>
    <row r="1125">
      <c r="A1125" s="1" t="n">
        <v>1123</v>
      </c>
      <c r="B1125" t="n">
        <v>2020</v>
      </c>
      <c r="C1125" s="2" t="n">
        <v>43851.81736111111</v>
      </c>
      <c r="D1125" t="inlineStr">
        <is>
          <t>A CRITICA</t>
        </is>
      </c>
      <c r="E1125" t="inlineStr">
        <is>
          <t>VENEZUELANOS</t>
        </is>
      </c>
      <c r="F1125" t="inlineStr">
        <is>
          <t>MANAUS</t>
        </is>
      </c>
      <c r="G1125" t="inlineStr">
        <is>
          <t>JOHNY VASCONCELOS</t>
        </is>
      </c>
      <c r="H1125" t="inlineStr">
        <is>
          <t>LAUDO DO IML INDICA POSSÍVEL ASSASSINATO DE ADOLESCENTE RAYNER VINÍCIUS</t>
        </is>
      </c>
      <c r="I1125" t="inlineStr">
        <is>
          <t>NOVO LAUDO APONTA CAUSA DA MORTE COMO TRAUMATISMO CRANIANO FACIAL DECORRENTE DE UMA ‘AÇÃO CONTUNDENTE’. MORTE POR AFOGAMENTO FOI DESCARTADA. OSSADA DO ADOLESCENTE FOI ENCONTRADA EM OUTUBRO DE 2019, NA PONTA NEGRA</t>
        </is>
      </c>
      <c r="J1125" t="inlineStr"/>
      <c r="K1125" t="n">
        <v>0</v>
      </c>
      <c r="L1125" t="n">
        <v>1</v>
      </c>
      <c r="M1125" t="n">
        <v>0</v>
      </c>
      <c r="N1125" t="n">
        <v>0</v>
      </c>
      <c r="O1125" t="n">
        <v>3</v>
      </c>
      <c r="P1125">
        <f>HYPERLINK("https://www.acritica.com/manaus/laudo-do-iml-indica-possivel-assassinato-de-adolescente-rayner-vinicius-1.50345", "URL")</f>
        <v/>
      </c>
      <c r="Q1125">
        <f>HYPERLINK("https://raw.githubusercontent.com/marcosmapl/dataset_imigrantes/main/materias_filtered/a_critica/venezuelanos/2020/00_jan/html/1.50345_164.html", "HTML")</f>
        <v/>
      </c>
      <c r="R1125">
        <f>HYPERLINK("https://raw.githubusercontent.com/marcosmapl/dataset_imigrantes/main/materias_filtered/a_critica/venezuelanos/2020/00_jan/txt/1.50345_164.txt", "TXT")</f>
        <v/>
      </c>
    </row>
    <row r="1126">
      <c r="A1126" s="1" t="n">
        <v>1124</v>
      </c>
      <c r="B1126" t="n">
        <v>2020</v>
      </c>
      <c r="C1126" s="2" t="n">
        <v>43849.75486111111</v>
      </c>
      <c r="D1126" t="inlineStr">
        <is>
          <t>A CRITICA</t>
        </is>
      </c>
      <c r="E1126" t="inlineStr">
        <is>
          <t>VENEZUELANOS</t>
        </is>
      </c>
      <c r="F1126" t="inlineStr"/>
      <c r="G1126" t="inlineStr">
        <is>
          <t>AFP</t>
        </is>
      </c>
      <c r="H1126" t="inlineStr">
        <is>
          <t>MADURO DIZ TER CONTROLE DA VENEZUELA E QUER APROXIMAÇÃO COM EUA</t>
        </is>
      </c>
      <c r="I1126" t="inlineStr">
        <is>
          <t>PRESIDENTE DA VENEZUELA VIVE IMPASSE NACIONAL DESDE QUE O DEPUTADO JUAN GUAIDÓ FOI RECONHECIDO POR MAIS DE 50 PAÍSES, INCLUINDO OS EUA, COMO 'PRESIDENTE INTERINO'</t>
        </is>
      </c>
      <c r="J1126" t="inlineStr"/>
      <c r="K1126" t="n">
        <v>0</v>
      </c>
      <c r="L1126" t="n">
        <v>1</v>
      </c>
      <c r="M1126" t="n">
        <v>0</v>
      </c>
      <c r="N1126" t="n">
        <v>0</v>
      </c>
      <c r="O1126" t="n">
        <v>0</v>
      </c>
      <c r="P1126">
        <f>HYPERLINK("https://www.acritica.com/maduro-diz-ter-controle-da-venezuela-e-quer-aproximac-o-com-eua-1.50728", "URL")</f>
        <v/>
      </c>
      <c r="Q1126">
        <f>HYPERLINK("https://raw.githubusercontent.com/marcosmapl/dataset_imigrantes/main/materias_filtered/a_critica/venezuelanos/2020/00_jan/html/1.50728_1121.html", "HTML")</f>
        <v/>
      </c>
      <c r="R1126">
        <f>HYPERLINK("https://raw.githubusercontent.com/marcosmapl/dataset_imigrantes/main/materias_filtered/a_critica/venezuelanos/2020/00_jan/txt/1.50728_1121.txt", "TXT")</f>
        <v/>
      </c>
    </row>
    <row r="1127">
      <c r="A1127" s="1" t="n">
        <v>1125</v>
      </c>
      <c r="B1127" t="n">
        <v>2020</v>
      </c>
      <c r="C1127" s="2" t="n">
        <v>43848.59513634259</v>
      </c>
      <c r="D1127" t="inlineStr">
        <is>
          <t>G1</t>
        </is>
      </c>
      <c r="E1127" t="inlineStr">
        <is>
          <t>VENEZUELANOS</t>
        </is>
      </c>
      <c r="F1127" t="inlineStr">
        <is>
          <t>MATO GROSSO</t>
        </is>
      </c>
      <c r="G1127" t="inlineStr">
        <is>
          <t>G1 MT</t>
        </is>
      </c>
      <c r="H1127" t="inlineStr">
        <is>
          <t>VENEZUELANOS INDÍGENAS ACAMPADOS PERTO DE RODOVIÁRIA DE CUIABÁ REGULARIZAM DOCUMENTOS PARA TIRAR CARTEIRA DE TRABALHO</t>
        </is>
      </c>
      <c r="I1127" t="inlineStr">
        <is>
          <t>NO ENTORNO DA RODOVIÁRIA ENCONTRAM-SE CERCA DE 20 PESSOAS, INCLUINDO TRÊS CRIANÇAS. ELES SE MUDARAM DO PAÍS DE ORIGEM EM BUSCA DE MELHORES CONDIÇÕES DE VIDA.</t>
        </is>
      </c>
      <c r="J1127" t="inlineStr"/>
      <c r="K1127" t="n">
        <v>0</v>
      </c>
      <c r="L1127" t="n">
        <v>2</v>
      </c>
      <c r="M1127" t="n">
        <v>0</v>
      </c>
      <c r="N1127" t="n">
        <v>0</v>
      </c>
      <c r="O1127" t="n">
        <v>1</v>
      </c>
      <c r="P1127">
        <f>HYPERLINK("https://g1.globo.com/mt/mato-grosso/noticia/2020/01/18/venezuelanos-indigenas-acampados-perto-de-rodoviaria-de-cuiaba-regularizam-documentos-para-tirar-carteira-de-trabalho.ghtml", "URL")</f>
        <v/>
      </c>
      <c r="Q1127">
        <f>HYPERLINK("https://raw.githubusercontent.com/marcosmapl/dataset_imigrantes/main/materias_filtered/g1/venezuelanos/2020/00_jan/html/g1_72d91994-231c-11ed-b24f-6dbe51e79fca_3447.html", "HTML")</f>
        <v/>
      </c>
      <c r="R1127">
        <f>HYPERLINK("https://raw.githubusercontent.com/marcosmapl/dataset_imigrantes/main/materias_filtered/g1/venezuelanos/2020/00_jan/txt/g1_72d91994-231c-11ed-b24f-6dbe51e79fca_3447.txt", "TXT")</f>
        <v/>
      </c>
    </row>
    <row r="1128">
      <c r="A1128" s="1" t="n">
        <v>1126</v>
      </c>
      <c r="B1128" t="n">
        <v>2020</v>
      </c>
      <c r="C1128" s="2" t="n">
        <v>43847.83940615741</v>
      </c>
      <c r="D1128" t="inlineStr">
        <is>
          <t>G1</t>
        </is>
      </c>
      <c r="E1128" t="inlineStr">
        <is>
          <t>AMBOS</t>
        </is>
      </c>
      <c r="F1128" t="inlineStr">
        <is>
          <t>RORAIMA</t>
        </is>
      </c>
      <c r="G1128" t="inlineStr">
        <is>
          <t>G1 RR — BOA VISTA</t>
        </is>
      </c>
      <c r="H1128" t="inlineStr">
        <is>
          <t>MOVIMENTAÇÃO DE PASSAGEIROS CRESCE 11,4% NO AEROPORTO DE BOA VISTA EM 2019, DIZ INFRAERO</t>
        </is>
      </c>
      <c r="I1128" t="inlineStr">
        <is>
          <t>TERMINAL TEVE FLUXO DE 35,1 MIL VIAJANTES A MAIS DO QUE EM 2018. MIGRAÇÃO VENEZUELANA E HAITIANA AJUDARAM A ELEVAR MOVIMENTO.</t>
        </is>
      </c>
      <c r="J1128" t="inlineStr"/>
      <c r="K1128" t="n">
        <v>0</v>
      </c>
      <c r="L1128" t="n">
        <v>1</v>
      </c>
      <c r="M1128" t="n">
        <v>0</v>
      </c>
      <c r="N1128" t="n">
        <v>0</v>
      </c>
      <c r="O1128" t="n">
        <v>1</v>
      </c>
      <c r="P1128">
        <f>HYPERLINK("https://g1.globo.com/rr/roraima/noticia/2020/01/17/movimentacao-de-passageiros-cresce-114percent-no-aeroporto-de-boa-vista-em-2019-diz-infraero.ghtml", "URL")</f>
        <v/>
      </c>
      <c r="Q1128">
        <f>HYPERLINK("https://raw.githubusercontent.com/marcosmapl/dataset_imigrantes/main/materias_filtered/g1/ambos/2020/00_jan/html/g1_fa0fd4f2-2326-11ed-b24f-6dbe51e79fca_4010.html", "HTML")</f>
        <v/>
      </c>
      <c r="R1128">
        <f>HYPERLINK("https://raw.githubusercontent.com/marcosmapl/dataset_imigrantes/main/materias_filtered/g1/ambos/2020/00_jan/txt/g1_fa0fd4f2-2326-11ed-b24f-6dbe51e79fca_4010.txt", "TXT")</f>
        <v/>
      </c>
    </row>
    <row r="1129">
      <c r="A1129" s="1" t="n">
        <v>1127</v>
      </c>
      <c r="B1129" t="n">
        <v>2020</v>
      </c>
      <c r="C1129" s="2" t="n">
        <v>43847.58989003472</v>
      </c>
      <c r="D1129" t="inlineStr">
        <is>
          <t>G1</t>
        </is>
      </c>
      <c r="E1129" t="inlineStr">
        <is>
          <t>VENEZUELANOS</t>
        </is>
      </c>
      <c r="F1129" t="inlineStr">
        <is>
          <t>RIO GRANDE DO SUL</t>
        </is>
      </c>
      <c r="G1129" t="inlineStr">
        <is>
          <t>G1 RS</t>
        </is>
      </c>
      <c r="H1129" t="inlineStr">
        <is>
          <t>HOMEM SUSPEITO DE MATAR VENEZUELANA COM ÁCIDO ASPIRÁVEL É DENUNCIADO EM CAXIAS DO SUL</t>
        </is>
      </c>
      <c r="I1129" t="inlineStr">
        <is>
          <t>ARIANA VICTORIA GODOY FIGUERA MORREU APÓS SER ATINGIDA ÁCIDO FLUORÍDRICO. PROMOTOR DE JUSTIÇA AFIRMA QUE O CRIME "FOI COMETIDO CONTRA A MULHER, POR RAZÕES DA CONDIÇÃO DE SEXO FEMININO."</t>
        </is>
      </c>
      <c r="J1129" t="inlineStr"/>
      <c r="K1129" t="n">
        <v>0</v>
      </c>
      <c r="L1129" t="n">
        <v>1</v>
      </c>
      <c r="M1129" t="n">
        <v>0</v>
      </c>
      <c r="N1129" t="n">
        <v>0</v>
      </c>
      <c r="O1129" t="n">
        <v>4</v>
      </c>
      <c r="P1129">
        <f>HYPERLINK("https://g1.globo.com/rs/rio-grande-do-sul/noticia/2020/01/17/homem-suspeito-de-matar-venezuelana-com-acido-e-denunciado-em-caxias-do-sul.ghtml", "URL")</f>
        <v/>
      </c>
      <c r="Q1129">
        <f>HYPERLINK("https://raw.githubusercontent.com/marcosmapl/dataset_imigrantes/main/materias_filtered/g1/venezuelanos/2020/00_jan/html/g1_4fdfe80e-2327-11ed-b24f-6dbe51e79fca_4027.html", "HTML")</f>
        <v/>
      </c>
      <c r="R1129">
        <f>HYPERLINK("https://raw.githubusercontent.com/marcosmapl/dataset_imigrantes/main/materias_filtered/g1/venezuelanos/2020/00_jan/txt/g1_4fdfe80e-2327-11ed-b24f-6dbe51e79fca_4027.txt", "TXT")</f>
        <v/>
      </c>
    </row>
    <row r="1130">
      <c r="A1130" s="1" t="n">
        <v>1128</v>
      </c>
      <c r="B1130" t="n">
        <v>2020</v>
      </c>
      <c r="C1130" s="2" t="n">
        <v>43846.98107114583</v>
      </c>
      <c r="D1130" t="inlineStr">
        <is>
          <t>G1</t>
        </is>
      </c>
      <c r="E1130" t="inlineStr">
        <is>
          <t>VENEZUELANOS</t>
        </is>
      </c>
      <c r="F1130" t="inlineStr">
        <is>
          <t>POLÍTICA</t>
        </is>
      </c>
      <c r="G1130" t="inlineStr">
        <is>
          <t>GUSTAVO GARCIA E RONIARA CASTILHOS, G1 E TV GLOBO — BRASÍLIA</t>
        </is>
      </c>
      <c r="H1130" t="inlineStr">
        <is>
          <t>GOVERNO LANÇA PLATAFORMA PARA RECEBER DOAÇÕES PRIVADAS AO ACOLHIMENTO DE VENEZUELANOS</t>
        </is>
      </c>
      <c r="I1130" t="inlineStr">
        <is>
          <t>LANÇAMENTO FOI FEITO DURANTE CERIMÔNIA DE TROCA DE COMANDO DA OPERAÇÃO ACOLHIDA EM BRASÍLIA. FUNDO SERÁ GERENCIADO PELA FUNDAÇÃO BANCO DO BRASIL.</t>
        </is>
      </c>
      <c r="J1130" t="inlineStr"/>
      <c r="K1130" t="n">
        <v>0</v>
      </c>
      <c r="L1130" t="n">
        <v>0</v>
      </c>
      <c r="M1130" t="n">
        <v>0</v>
      </c>
      <c r="N1130" t="n">
        <v>0</v>
      </c>
      <c r="O1130" t="n">
        <v>2</v>
      </c>
      <c r="P1130">
        <f>HYPERLINK("https://g1.globo.com/politica/noticia/2020/01/16/governo-lanca-plataforma-para-receber-doacoes-privadas-ao-acolhimento-de-venezuelanos.ghtml", "URL")</f>
        <v/>
      </c>
      <c r="Q1130">
        <f>HYPERLINK("https://raw.githubusercontent.com/marcosmapl/dataset_imigrantes/main/materias_filtered/g1/venezuelanos/2020/00_jan/html/g1_cec4c874-2309-11ed-b24f-6dbe51e79fca_2465.html", "HTML")</f>
        <v/>
      </c>
      <c r="R1130">
        <f>HYPERLINK("https://raw.githubusercontent.com/marcosmapl/dataset_imigrantes/main/materias_filtered/g1/venezuelanos/2020/00_jan/txt/g1_cec4c874-2309-11ed-b24f-6dbe51e79fca_2465.txt", "TXT")</f>
        <v/>
      </c>
    </row>
    <row r="1131">
      <c r="A1131" s="1" t="n">
        <v>1129</v>
      </c>
      <c r="B1131" t="n">
        <v>2020</v>
      </c>
      <c r="C1131" s="2" t="n">
        <v>43846.8800462963</v>
      </c>
      <c r="D1131" t="inlineStr">
        <is>
          <t>A CRITICA</t>
        </is>
      </c>
      <c r="E1131" t="inlineStr">
        <is>
          <t>VENEZUELANOS</t>
        </is>
      </c>
      <c r="F1131" t="inlineStr"/>
      <c r="G1131" t="inlineStr">
        <is>
          <t>PORTAL A CRÍTICA</t>
        </is>
      </c>
      <c r="H1131" t="inlineStr">
        <is>
          <t>SECRETARIA DE ASSISTÊNCIA SOCIAL PLANEJA REFORÇO NA REDE ATENDIMENTO EM 2020</t>
        </is>
      </c>
      <c r="I1131" t="inlineStr">
        <is>
          <t>ENTRE OS PONTOS POSITIVOS DO BALANÇO APRESENTADO PELA PASTA ESTÁ A RETOMADA DOS REPASSES ESTADUAIS AO SISTEMA ÚNICO DE ASSISTÊNCIA SOCIAL</t>
        </is>
      </c>
      <c r="J1131" t="inlineStr"/>
      <c r="K1131" t="n">
        <v>0</v>
      </c>
      <c r="L1131" t="n">
        <v>1</v>
      </c>
      <c r="M1131" t="n">
        <v>0</v>
      </c>
      <c r="N1131" t="n">
        <v>0</v>
      </c>
      <c r="O1131" t="n">
        <v>0</v>
      </c>
      <c r="P1131">
        <f>HYPERLINK("https://www.acritica.com/secretaria-de-assistencia-social-planeja-reforco-na-rede-atendimento-em-2020-1.51707", "URL")</f>
        <v/>
      </c>
      <c r="Q1131">
        <f>HYPERLINK("https://raw.githubusercontent.com/marcosmapl/dataset_imigrantes/main/materias_filtered/a_critica/venezuelanos/2020/00_jan/html/1.51707_907.html", "HTML")</f>
        <v/>
      </c>
      <c r="R1131">
        <f>HYPERLINK("https://raw.githubusercontent.com/marcosmapl/dataset_imigrantes/main/materias_filtered/a_critica/venezuelanos/2020/00_jan/txt/1.51707_907.txt", "TXT")</f>
        <v/>
      </c>
    </row>
    <row r="1132">
      <c r="A1132" s="1" t="n">
        <v>1130</v>
      </c>
      <c r="B1132" t="n">
        <v>2020</v>
      </c>
      <c r="C1132" s="2" t="n">
        <v>43846.63317628473</v>
      </c>
      <c r="D1132" t="inlineStr">
        <is>
          <t>G1</t>
        </is>
      </c>
      <c r="E1132" t="inlineStr">
        <is>
          <t>VENEZUELANOS</t>
        </is>
      </c>
      <c r="F1132" t="inlineStr">
        <is>
          <t>RORAIMA</t>
        </is>
      </c>
      <c r="G1132" t="inlineStr">
        <is>
          <t>EMILY COSTA, G1 RR — BOA VISTA</t>
        </is>
      </c>
      <c r="H1132" t="inlineStr">
        <is>
          <t>NOVO GENERAL DO EXÉRCITO ASSUME ACOLHIDA A VENEZUELANOS EM RR</t>
        </is>
      </c>
      <c r="I1132" t="inlineStr">
        <is>
          <t>MISSÃO HUMANITÁRIA ATENDE REFUGIADOS NA FRONTEIRA, CUIDA DE ABRIGOS E REDISTRIBUI OS VENEZUELANOS A OUTROS ESTADOS DO PAÍS. CERIMÔNIA DE POSSE SERÁ NESTA QUINTA (16) EM BRASÍLIA.</t>
        </is>
      </c>
      <c r="J1132" t="inlineStr"/>
      <c r="K1132" t="n">
        <v>0</v>
      </c>
      <c r="L1132" t="n">
        <v>2</v>
      </c>
      <c r="M1132" t="n">
        <v>0</v>
      </c>
      <c r="N1132" t="n">
        <v>0</v>
      </c>
      <c r="O1132" t="n">
        <v>4</v>
      </c>
      <c r="P1132">
        <f>HYPERLINK("https://g1.globo.com/rr/roraima/noticia/2020/01/16/novo-general-do-exercito-assume-acolhida-a-venezuelanos-em-rr.ghtml", "URL")</f>
        <v/>
      </c>
      <c r="Q1132">
        <f>HYPERLINK("https://raw.githubusercontent.com/marcosmapl/dataset_imigrantes/main/materias_filtered/g1/venezuelanos/2020/00_jan/html/g1_678e72aa-232b-11ed-b24f-6dbe51e79fca_4243.html", "HTML")</f>
        <v/>
      </c>
      <c r="R1132">
        <f>HYPERLINK("https://raw.githubusercontent.com/marcosmapl/dataset_imigrantes/main/materias_filtered/g1/venezuelanos/2020/00_jan/txt/g1_678e72aa-232b-11ed-b24f-6dbe51e79fca_4243.txt", "TXT")</f>
        <v/>
      </c>
    </row>
    <row r="1133">
      <c r="A1133" s="1" t="n">
        <v>1131</v>
      </c>
      <c r="B1133" t="n">
        <v>2020</v>
      </c>
      <c r="C1133" s="2" t="n">
        <v>43845.92291666667</v>
      </c>
      <c r="D1133" t="inlineStr">
        <is>
          <t>A CRITICA</t>
        </is>
      </c>
      <c r="E1133" t="inlineStr">
        <is>
          <t>VENEZUELANOS</t>
        </is>
      </c>
      <c r="F1133" t="inlineStr">
        <is>
          <t>MANAUS</t>
        </is>
      </c>
      <c r="G1133" t="inlineStr">
        <is>
          <t>GABRIEL VERAS</t>
        </is>
      </c>
      <c r="H1133" t="inlineStr">
        <is>
          <t>LIAM NEESON CONHECE BARBEARIA DE MIGRANTES VENEZUELANOS DURANTE VISITA A MANAUS</t>
        </is>
      </c>
      <c r="I1133" t="inlineStr">
        <is>
          <t>A PASSAGEM DO ATOR INTERNACIONAL E EMBAIXADOR DA UNICEF PELA CAPITAL AMAZONENSE FOI A ÚLTIMA PARADA DE UMA VISITA DE QUATRO DIAS À REGIÃO DA FRONTEIRA BRASILEIRA COM A VENEZUELA</t>
        </is>
      </c>
      <c r="J1133" t="inlineStr"/>
      <c r="K1133" t="n">
        <v>0</v>
      </c>
      <c r="L1133" t="n">
        <v>1</v>
      </c>
      <c r="M1133" t="n">
        <v>0</v>
      </c>
      <c r="N1133" t="n">
        <v>0</v>
      </c>
      <c r="O1133" t="n">
        <v>0</v>
      </c>
      <c r="P1133">
        <f>HYPERLINK("https://www.acritica.com/manaus/liam-neeson-conhece-barbearia-de-migrantes-venezuelanos-durante-visita-a-manaus-1.50509", "URL")</f>
        <v/>
      </c>
      <c r="Q1133">
        <f>HYPERLINK("https://raw.githubusercontent.com/marcosmapl/dataset_imigrantes/main/materias_filtered/a_critica/venezuelanos/2020/00_jan/html/1.50509_995.html", "HTML")</f>
        <v/>
      </c>
      <c r="R1133">
        <f>HYPERLINK("https://raw.githubusercontent.com/marcosmapl/dataset_imigrantes/main/materias_filtered/a_critica/venezuelanos/2020/00_jan/txt/1.50509_995.txt", "TXT")</f>
        <v/>
      </c>
    </row>
    <row r="1134">
      <c r="A1134" s="1" t="n">
        <v>1132</v>
      </c>
      <c r="B1134" t="n">
        <v>2020</v>
      </c>
      <c r="C1134" s="2" t="n">
        <v>43845.67288194445</v>
      </c>
      <c r="D1134" t="inlineStr">
        <is>
          <t>A CRITICA</t>
        </is>
      </c>
      <c r="E1134" t="inlineStr">
        <is>
          <t>VENEZUELANOS</t>
        </is>
      </c>
      <c r="F1134" t="inlineStr">
        <is>
          <t>MANAUS</t>
        </is>
      </c>
      <c r="G1134" t="inlineStr">
        <is>
          <t>PORTAL A CRÍTICA</t>
        </is>
      </c>
      <c r="H1134" t="inlineStr">
        <is>
          <t>ONG ARRECADA DOAÇÕES PARA IMIGRANTES VENEZUELANOS EM MANAUS</t>
        </is>
      </c>
      <c r="I1134" t="inlineStr">
        <is>
          <t>OUPAS E SAPATOS, FRALDAS PARA BEBÊS, ROUPA DE CAMA, MESA E BANHO, UTENSÍLIOS DOMÉSTICOS, MÓVEIS, BRINQUEDOS E OUTROS PRODUTOS PODEM SER DOADOS</t>
        </is>
      </c>
      <c r="J1134" t="inlineStr"/>
      <c r="K1134" t="n">
        <v>0</v>
      </c>
      <c r="L1134" t="n">
        <v>1</v>
      </c>
      <c r="M1134" t="n">
        <v>0</v>
      </c>
      <c r="N1134" t="n">
        <v>0</v>
      </c>
      <c r="O1134" t="n">
        <v>1</v>
      </c>
      <c r="P1134">
        <f>HYPERLINK("https://www.acritica.com/manaus/ong-arrecada-doac-es-para-imigrantes-venezuelanos-em-manaus-1.50529", "URL")</f>
        <v/>
      </c>
      <c r="Q1134">
        <f>HYPERLINK("https://raw.githubusercontent.com/marcosmapl/dataset_imigrantes/main/materias_filtered/a_critica/venezuelanos/2020/00_jan/html/1.50529_327.html", "HTML")</f>
        <v/>
      </c>
      <c r="R1134">
        <f>HYPERLINK("https://raw.githubusercontent.com/marcosmapl/dataset_imigrantes/main/materias_filtered/a_critica/venezuelanos/2020/00_jan/txt/1.50529_327.txt", "TXT")</f>
        <v/>
      </c>
    </row>
    <row r="1135">
      <c r="A1135" s="1" t="n">
        <v>1133</v>
      </c>
      <c r="B1135" t="n">
        <v>2020</v>
      </c>
      <c r="C1135" s="2" t="n">
        <v>43845.54824496528</v>
      </c>
      <c r="D1135" t="inlineStr">
        <is>
          <t>G1</t>
        </is>
      </c>
      <c r="E1135" t="inlineStr">
        <is>
          <t>VENEZUELANOS</t>
        </is>
      </c>
      <c r="F1135" t="inlineStr">
        <is>
          <t>MARANHÃO</t>
        </is>
      </c>
      <c r="G1135" t="inlineStr">
        <is>
          <t>G1 MA — SÃO LUÍS</t>
        </is>
      </c>
      <c r="H1135" t="inlineStr">
        <is>
          <t>30 PEDIDOS DE REFÚGIO DE VENEZUELANOS AGUARDAM RESPOSTA NO MA, DIZ DPU</t>
        </is>
      </c>
      <c r="I1135" t="inlineStr">
        <is>
          <t>ALÉM DE SÃO LUÍS, HÁ PRESENÇA DE VENEZUELANOS NOS MUNICÍPIOS DE PINHEIRO, IMPERATRIZ, AÇAILÂNDIA, BALSAS, ESTREITO, SANTA INÊS E BOM JARDIM.</t>
        </is>
      </c>
      <c r="J1135" t="inlineStr"/>
      <c r="K1135" t="n">
        <v>0</v>
      </c>
      <c r="L1135" t="n">
        <v>1</v>
      </c>
      <c r="M1135" t="n">
        <v>0</v>
      </c>
      <c r="N1135" t="n">
        <v>0</v>
      </c>
      <c r="O1135" t="n">
        <v>1</v>
      </c>
      <c r="P1135">
        <f>HYPERLINK("https://g1.globo.com/ma/maranhao/noticia/2020/01/15/30-pedidos-de-refugio-de-venezuelanos-aguardam-resposta-no-ma-diz-dpu.ghtml", "URL")</f>
        <v/>
      </c>
      <c r="Q1135">
        <f>HYPERLINK("https://raw.githubusercontent.com/marcosmapl/dataset_imigrantes/main/materias_filtered/g1/venezuelanos/2020/00_jan/html/g1_046612b4-2321-11ed-b24f-6dbe51e79fca_3676.html", "HTML")</f>
        <v/>
      </c>
      <c r="R1135">
        <f>HYPERLINK("https://raw.githubusercontent.com/marcosmapl/dataset_imigrantes/main/materias_filtered/g1/venezuelanos/2020/00_jan/txt/g1_046612b4-2321-11ed-b24f-6dbe51e79fca_3676.txt", "TXT")</f>
        <v/>
      </c>
    </row>
    <row r="1136">
      <c r="A1136" s="1" t="n">
        <v>1134</v>
      </c>
      <c r="B1136" t="n">
        <v>2020</v>
      </c>
      <c r="C1136" s="2" t="n">
        <v>43844.91458333333</v>
      </c>
      <c r="D1136" t="inlineStr">
        <is>
          <t>A CRITICA</t>
        </is>
      </c>
      <c r="E1136" t="inlineStr">
        <is>
          <t>VENEZUELANOS</t>
        </is>
      </c>
      <c r="F1136" t="inlineStr">
        <is>
          <t>ESPORTES</t>
        </is>
      </c>
      <c r="G1136" t="inlineStr">
        <is>
          <t>LEONARDO SENA</t>
        </is>
      </c>
      <c r="H1136" t="inlineStr">
        <is>
          <t>3B SPORT ACERTA CONTRATAÇÃO DE ZAGUEIRA DA SELEÇÃO VENEZUELANA PETRA CABRERA</t>
        </is>
      </c>
      <c r="I1136" t="inlineStr">
        <is>
          <t>DEFENSORA SE JUNTA ÀS CONTERRÂNEAS YESSICA VELÁSQUEZ, DAYANA RODRIGUEZ, NATASHA ROSAS, CINTHIA ZARABIA E HILARY VERGARA, QUE DEVE RENOVAR COM O TIME NOS PRÓXIMOS DIAS</t>
        </is>
      </c>
      <c r="J1136" t="inlineStr"/>
      <c r="K1136" t="n">
        <v>0</v>
      </c>
      <c r="L1136" t="n">
        <v>1</v>
      </c>
      <c r="M1136" t="n">
        <v>0</v>
      </c>
      <c r="N1136" t="n">
        <v>0</v>
      </c>
      <c r="O1136" t="n">
        <v>0</v>
      </c>
      <c r="P1136">
        <f>HYPERLINK("https://www.acritica.com/esportes/3b-sport-acerta-contratac-o-de-zagueira-da-selec-o-venezuelana-petra-cabrera-1.50570", "URL")</f>
        <v/>
      </c>
      <c r="Q1136">
        <f>HYPERLINK("https://raw.githubusercontent.com/marcosmapl/dataset_imigrantes/main/materias_filtered/a_critica/venezuelanos/2020/00_jan/html/1.50570_1270.html", "HTML")</f>
        <v/>
      </c>
      <c r="R1136">
        <f>HYPERLINK("https://raw.githubusercontent.com/marcosmapl/dataset_imigrantes/main/materias_filtered/a_critica/venezuelanos/2020/00_jan/txt/1.50570_1270.txt", "TXT")</f>
        <v/>
      </c>
    </row>
    <row r="1137">
      <c r="A1137" s="1" t="n">
        <v>1135</v>
      </c>
      <c r="B1137" t="n">
        <v>2020</v>
      </c>
      <c r="C1137" s="2" t="n">
        <v>43843.82438543982</v>
      </c>
      <c r="D1137" t="inlineStr">
        <is>
          <t>G1</t>
        </is>
      </c>
      <c r="E1137" t="inlineStr">
        <is>
          <t>VENEZUELANOS</t>
        </is>
      </c>
      <c r="F1137" t="inlineStr">
        <is>
          <t>MUNDO</t>
        </is>
      </c>
      <c r="G1137" t="inlineStr">
        <is>
          <t>FRANCE PRESSE</t>
        </is>
      </c>
      <c r="H1137" t="inlineStr">
        <is>
          <t>EUA APLICAM SANÇÕES A 7 DEPUTADOS VENEZUELANOS, INCLUSIVE LUIS PARRA</t>
        </is>
      </c>
      <c r="I1137" t="inlineStr">
        <is>
          <t>GOVERNO NORTE-AMERICANO APLICA MEDIDAS EM RETALIAÇÃO A TENTATIVA DE APOIADORES DE NICOLÁS MADURO EM OBSTRUIR A VOTAÇÃO QUE RECONDUZIU JUAN GUAIDÓ À PRESIDÊNCIA DA ASSEMBLEIA NACIONAL, O LEGISLATIVO DA VENEZUELA.</t>
        </is>
      </c>
      <c r="J1137" t="inlineStr"/>
      <c r="K1137" t="n">
        <v>0</v>
      </c>
      <c r="L1137" t="n">
        <v>3</v>
      </c>
      <c r="M1137" t="n">
        <v>1</v>
      </c>
      <c r="N1137" t="n">
        <v>0</v>
      </c>
      <c r="O1137" t="n">
        <v>8</v>
      </c>
      <c r="P1137">
        <f>HYPERLINK("https://g1.globo.com/mundo/noticia/2020/01/13/eua-aplicam-sancoes-a-7-deputados-venezuelanos-inclusive-luis-parra.ghtml", "URL")</f>
        <v/>
      </c>
      <c r="Q1137">
        <f>HYPERLINK("https://raw.githubusercontent.com/marcosmapl/dataset_imigrantes/main/materias_filtered/g1/venezuelanos/2020/00_jan/html/g1_e225cda2-2307-11ed-b24f-6dbe51e79fca_2349.html", "HTML")</f>
        <v/>
      </c>
      <c r="R1137">
        <f>HYPERLINK("https://raw.githubusercontent.com/marcosmapl/dataset_imigrantes/main/materias_filtered/g1/venezuelanos/2020/00_jan/txt/g1_e225cda2-2307-11ed-b24f-6dbe51e79fca_2349.txt", "TXT")</f>
        <v/>
      </c>
    </row>
    <row r="1138">
      <c r="A1138" s="1" t="n">
        <v>1136</v>
      </c>
      <c r="B1138" t="n">
        <v>2020</v>
      </c>
      <c r="C1138" s="2" t="n">
        <v>43843.50626157408</v>
      </c>
      <c r="D1138" t="inlineStr">
        <is>
          <t>A CRITICA</t>
        </is>
      </c>
      <c r="E1138" t="inlineStr">
        <is>
          <t>HAITIANOS</t>
        </is>
      </c>
      <c r="F1138" t="inlineStr">
        <is>
          <t>MANAUS</t>
        </is>
      </c>
      <c r="G1138" t="inlineStr">
        <is>
          <t>IZABEL GUEDES</t>
        </is>
      </c>
      <c r="H1138" t="inlineStr">
        <is>
          <t>'PENSEI QUE ERA O FIM DO MUNDO', DIZ HAITIANO AO RELEMBRAR 10 ANOS DO TERREMOTO</t>
        </is>
      </c>
      <c r="I1138" t="inlineStr">
        <is>
          <t>JEAN RONALD, 32, PERDEU A NOIVA NA TRAGÉDIA E VEIO PARA MANAUS EM BUSCA DE OPORTUNIDADE. AQUI LAVOU PRATOS EM RESTAURANTES, FOI VENDEDOR, DEU AULA DE IDIOMAS E HOJE, DONO DO SEU PRÓPRIO NEGÓCIO, CONSEGUIU TRAZER A FAMÍLIA E NÃO PENSA EM VOLTAR PARA O PAÍS DE ORIGEM</t>
        </is>
      </c>
      <c r="J1138" t="inlineStr"/>
      <c r="K1138" t="n">
        <v>0</v>
      </c>
      <c r="L1138" t="n">
        <v>1</v>
      </c>
      <c r="M1138" t="n">
        <v>0</v>
      </c>
      <c r="N1138" t="n">
        <v>0</v>
      </c>
      <c r="O1138" t="n">
        <v>0</v>
      </c>
      <c r="P1138">
        <f>HYPERLINK("https://www.acritica.com/manaus/pensei-que-era-o-fim-do-mundo-diz-haitiano-ao-relembrar-10-anos-do-terremoto-1.51105", "URL")</f>
        <v/>
      </c>
      <c r="Q1138">
        <f>HYPERLINK("https://raw.githubusercontent.com/marcosmapl/dataset_imigrantes/main/materias_filtered/a_critica/haitianos/2020/00_jan/html/1.51105_59.html", "HTML")</f>
        <v/>
      </c>
      <c r="R1138">
        <f>HYPERLINK("https://raw.githubusercontent.com/marcosmapl/dataset_imigrantes/main/materias_filtered/a_critica/haitianos/2020/00_jan/txt/1.51105_59.txt", "TXT")</f>
        <v/>
      </c>
    </row>
    <row r="1139">
      <c r="A1139" s="1" t="n">
        <v>1137</v>
      </c>
      <c r="B1139" t="n">
        <v>2020</v>
      </c>
      <c r="C1139" s="2" t="n">
        <v>43843.49126914352</v>
      </c>
      <c r="D1139" t="inlineStr">
        <is>
          <t>G1</t>
        </is>
      </c>
      <c r="E1139" t="inlineStr">
        <is>
          <t>VENEZUELANOS</t>
        </is>
      </c>
      <c r="F1139" t="inlineStr">
        <is>
          <t>MUNDO</t>
        </is>
      </c>
      <c r="G1139" t="inlineStr">
        <is>
          <t>G1</t>
        </is>
      </c>
      <c r="H1139" t="inlineStr">
        <is>
          <t>POLÍCIA PRENDE MAIS DE 100 PESSOAS EM HOTEL DE BALNEÁRIO NO PERU</t>
        </is>
      </c>
      <c r="I1139" t="inlineStr">
        <is>
          <t>MAIORIA DOS SUSPEITOS PRESOS EM PUNTA NEGRA, AO SUL DE LIMA, ERA VENEZUELANA.</t>
        </is>
      </c>
      <c r="J1139" t="inlineStr"/>
      <c r="K1139" t="n">
        <v>0</v>
      </c>
      <c r="L1139" t="n">
        <v>1</v>
      </c>
      <c r="M1139" t="n">
        <v>0</v>
      </c>
      <c r="N1139" t="n">
        <v>0</v>
      </c>
      <c r="O1139" t="n">
        <v>0</v>
      </c>
      <c r="P1139">
        <f>HYPERLINK("https://g1.globo.com/mundo/noticia/2020/01/13/policia-prende-mais-de-100-pessoas-em-hotel-de-balneario-no-peru.ghtml", "URL")</f>
        <v/>
      </c>
      <c r="Q1139">
        <f>HYPERLINK("https://raw.githubusercontent.com/marcosmapl/dataset_imigrantes/main/materias_filtered/g1/venezuelanos/2020/00_jan/html/g1_e6f37464-231c-11ed-b24f-6dbe51e79fca_3472.html", "HTML")</f>
        <v/>
      </c>
      <c r="R1139">
        <f>HYPERLINK("https://raw.githubusercontent.com/marcosmapl/dataset_imigrantes/main/materias_filtered/g1/venezuelanos/2020/00_jan/txt/g1_e6f37464-231c-11ed-b24f-6dbe51e79fca_3472.txt", "TXT")</f>
        <v/>
      </c>
    </row>
    <row r="1140">
      <c r="A1140" s="1" t="n">
        <v>1138</v>
      </c>
      <c r="B1140" t="n">
        <v>2020</v>
      </c>
      <c r="C1140" s="2" t="n">
        <v>43843.48909722222</v>
      </c>
      <c r="D1140" t="inlineStr">
        <is>
          <t>A CRITICA</t>
        </is>
      </c>
      <c r="E1140" t="inlineStr">
        <is>
          <t>AMBOS</t>
        </is>
      </c>
      <c r="F1140" t="inlineStr">
        <is>
          <t>OPINIAO</t>
        </is>
      </c>
      <c r="G1140" t="inlineStr"/>
      <c r="H1140" t="inlineStr">
        <is>
          <t>DEZ ANOS NA TRAGÉDIA</t>
        </is>
      </c>
      <c r="I1140" t="inlineStr"/>
      <c r="J1140" t="inlineStr"/>
      <c r="K1140" t="n">
        <v>0</v>
      </c>
      <c r="L1140" t="n">
        <v>1</v>
      </c>
      <c r="M1140" t="n">
        <v>0</v>
      </c>
      <c r="N1140" t="n">
        <v>0</v>
      </c>
      <c r="O1140" t="n">
        <v>0</v>
      </c>
      <c r="P1140">
        <f>HYPERLINK("https://www.acritica.com/opiniao/dez-anos-na-tragedia-1.228406", "URL")</f>
        <v/>
      </c>
      <c r="Q1140">
        <f>HYPERLINK("https://raw.githubusercontent.com/marcosmapl/dataset_imigrantes/main/materias_filtered/a_critica/ambos/2020/00_jan/html/1.228406_564.html", "HTML")</f>
        <v/>
      </c>
      <c r="R1140">
        <f>HYPERLINK("https://raw.githubusercontent.com/marcosmapl/dataset_imigrantes/main/materias_filtered/a_critica/ambos/2020/00_jan/txt/1.228406_564.txt", "TXT")</f>
        <v/>
      </c>
    </row>
    <row r="1141">
      <c r="A1141" s="1" t="n">
        <v>1139</v>
      </c>
      <c r="B1141" t="n">
        <v>2020</v>
      </c>
      <c r="C1141" s="2" t="n">
        <v>43842.48636141204</v>
      </c>
      <c r="D1141" t="inlineStr">
        <is>
          <t>G1</t>
        </is>
      </c>
      <c r="E1141" t="inlineStr">
        <is>
          <t>VENEZUELANOS</t>
        </is>
      </c>
      <c r="F1141" t="inlineStr">
        <is>
          <t>MATO GROSSO</t>
        </is>
      </c>
      <c r="G1141" t="inlineStr">
        <is>
          <t>G1 MT</t>
        </is>
      </c>
      <c r="H1141" t="inlineStr">
        <is>
          <t>VENEZUELANOS INDÍGENAS ACAMPAM PERTO DE RODOVIÁRIA DE CUIABÁ E SE RECUSAM A IR PARA PASTORAL DO MIGRANTE, DIZ PREFEITURA</t>
        </is>
      </c>
      <c r="I1141" t="inlineStr">
        <is>
          <t>OS VENEZUELANOS SÃO DE ORIGEM INDÍGENA E ALEGAM SOFRER PRECONCEITO POR PARTE DOS OUTROS IMIGRANTES.</t>
        </is>
      </c>
      <c r="J1141" t="inlineStr"/>
      <c r="K1141" t="n">
        <v>0</v>
      </c>
      <c r="L1141" t="n">
        <v>1</v>
      </c>
      <c r="M1141" t="n">
        <v>0</v>
      </c>
      <c r="N1141" t="n">
        <v>0</v>
      </c>
      <c r="O1141" t="n">
        <v>6</v>
      </c>
      <c r="P1141">
        <f>HYPERLINK("https://g1.globo.com/mt/mato-grosso/noticia/2020/01/12/venezuelanos-indigenas-acampam-perto-de-rodoviaria-de-cuiaba-e-se-recusam-a-ir-para-pastoral-do-migrante-diz-prefeitura.ghtml", "URL")</f>
        <v/>
      </c>
      <c r="Q1141">
        <f>HYPERLINK("https://raw.githubusercontent.com/marcosmapl/dataset_imigrantes/main/materias_filtered/g1/venezuelanos/2020/00_jan/html/g1_abd35087-5e21-4e40-905e-d6bb350d9519_1624.html", "HTML")</f>
        <v/>
      </c>
      <c r="R1141">
        <f>HYPERLINK("https://raw.githubusercontent.com/marcosmapl/dataset_imigrantes/main/materias_filtered/g1/venezuelanos/2020/00_jan/txt/g1_abd35087-5e21-4e40-905e-d6bb350d9519_1624.txt", "TXT")</f>
        <v/>
      </c>
    </row>
    <row r="1142">
      <c r="A1142" s="1" t="n">
        <v>1140</v>
      </c>
      <c r="B1142" t="n">
        <v>2020</v>
      </c>
      <c r="C1142" s="2" t="n">
        <v>43842.48636141204</v>
      </c>
      <c r="D1142" t="inlineStr">
        <is>
          <t>G1</t>
        </is>
      </c>
      <c r="E1142" t="inlineStr">
        <is>
          <t>VENEZUELANOS</t>
        </is>
      </c>
      <c r="F1142" t="inlineStr">
        <is>
          <t>MATO GROSSO</t>
        </is>
      </c>
      <c r="G1142" t="inlineStr">
        <is>
          <t>G1 MT</t>
        </is>
      </c>
      <c r="H1142" t="inlineStr">
        <is>
          <t>VENEZUELANOS INDÍGENAS ACAMPAM PERTO DE RODOVIÁRIA DE CUIABÁ E SE RECUSAM A IR PARA PASTORAL DO MIGRANTE, DIZ PREFEITURA</t>
        </is>
      </c>
      <c r="I1142" t="inlineStr">
        <is>
          <t>OS VENEZUELANOS SÃO DE ORIGEM INDÍGENA E ALEGAM SOFRER PRECONCEITO POR PARTE DOS OUTROS IMIGRANTES.</t>
        </is>
      </c>
      <c r="J1142" t="inlineStr"/>
      <c r="K1142" t="n">
        <v>0</v>
      </c>
      <c r="L1142" t="n">
        <v>1</v>
      </c>
      <c r="M1142" t="n">
        <v>0</v>
      </c>
      <c r="N1142" t="n">
        <v>0</v>
      </c>
      <c r="O1142" t="n">
        <v>0</v>
      </c>
      <c r="P1142">
        <f>HYPERLINK("https://g1.globo.com/mt/mato-grosso/noticia/2020/01/12/venezuelanos-indigenas-acampam-perto-de-rodoviaria-de-cuiaba-e-se-recusam-a-ir-para-pastoral-do-migrante-diz-prefeitura.ghtml", "URL")</f>
        <v/>
      </c>
      <c r="Q1142">
        <f>HYPERLINK("https://raw.githubusercontent.com/marcosmapl/dataset_imigrantes/main/materias_filtered/g1/venezuelanos/2020/00_jan/html/g1_e45dd36a-2327-11ed-b24f-6dbe51e79fca_4054.html", "HTML")</f>
        <v/>
      </c>
      <c r="R1142">
        <f>HYPERLINK("https://raw.githubusercontent.com/marcosmapl/dataset_imigrantes/main/materias_filtered/g1/venezuelanos/2020/00_jan/txt/g1_e45dd36a-2327-11ed-b24f-6dbe51e79fca_4054.txt", "TXT")</f>
        <v/>
      </c>
    </row>
    <row r="1143">
      <c r="A1143" s="1" t="n">
        <v>1141</v>
      </c>
      <c r="B1143" t="n">
        <v>2020</v>
      </c>
      <c r="C1143" s="2" t="n">
        <v>43841.84427659722</v>
      </c>
      <c r="D1143" t="inlineStr">
        <is>
          <t>G1</t>
        </is>
      </c>
      <c r="E1143" t="inlineStr">
        <is>
          <t>VENEZUELANOS</t>
        </is>
      </c>
      <c r="F1143" t="inlineStr">
        <is>
          <t>PARÁ</t>
        </is>
      </c>
      <c r="G1143" t="inlineStr">
        <is>
          <t>G1 PA — BELÉM</t>
        </is>
      </c>
      <c r="H1143" t="inlineStr">
        <is>
          <t>INDÍGENA VENEZUELANA MORRE COM SUSPEITA DE TUBERCULOSE NA UNIDADE DE SAÚDE DO TAPANÃ, EM BELÉM</t>
        </is>
      </c>
      <c r="I1143" t="inlineStr">
        <is>
          <t>ELA TERIA IDO AO POSTO POR VOLTA DAS 2H30 BUSCAR ATENDIMENTO, QUANDO SOFREU UMA PARADA CARDIORRESPIRATÓRIA.</t>
        </is>
      </c>
      <c r="J1143" t="inlineStr"/>
      <c r="K1143" t="n">
        <v>0</v>
      </c>
      <c r="L1143" t="n">
        <v>1</v>
      </c>
      <c r="M1143" t="n">
        <v>0</v>
      </c>
      <c r="N1143" t="n">
        <v>0</v>
      </c>
      <c r="O1143" t="n">
        <v>0</v>
      </c>
      <c r="P1143">
        <f>HYPERLINK("https://g1.globo.com/pa/para/noticia/2020/01/11/indigena-venezuelana-morre-com-suspeita-de-tuberculose-na-unidade-de-saude-do-tapana-em-belem.ghtml", "URL")</f>
        <v/>
      </c>
      <c r="Q1143">
        <f>HYPERLINK("https://raw.githubusercontent.com/marcosmapl/dataset_imigrantes/main/materias_filtered/g1/venezuelanos/2020/00_jan/html/g1_4099c222-2311-11ed-b24f-6dbe51e79fca_2907.html", "HTML")</f>
        <v/>
      </c>
      <c r="R1143">
        <f>HYPERLINK("https://raw.githubusercontent.com/marcosmapl/dataset_imigrantes/main/materias_filtered/g1/venezuelanos/2020/00_jan/txt/g1_4099c222-2311-11ed-b24f-6dbe51e79fca_2907.txt", "TXT")</f>
        <v/>
      </c>
    </row>
    <row r="1144">
      <c r="A1144" s="1" t="n">
        <v>1142</v>
      </c>
      <c r="B1144" t="n">
        <v>2020</v>
      </c>
      <c r="C1144" s="2" t="n">
        <v>43841.71325313657</v>
      </c>
      <c r="D1144" t="inlineStr">
        <is>
          <t>G1</t>
        </is>
      </c>
      <c r="E1144" t="inlineStr">
        <is>
          <t>HAITIANOS</t>
        </is>
      </c>
      <c r="F1144" t="inlineStr">
        <is>
          <t>SÃO PAULO</t>
        </is>
      </c>
      <c r="G1144" t="inlineStr">
        <is>
          <t>FABRICIO LOBEL E RENATA RIBEIRO, TV GLOBO</t>
        </is>
      </c>
      <c r="H1144" t="inlineStr">
        <is>
          <t>DEZ ANOS APÓS TERREMOTO QUE DEVASTOU O PAÍS, HAITIANOS RECONSTROEM A VIDA EM SP</t>
        </is>
      </c>
      <c r="I1144" t="inlineStr">
        <is>
          <t>MAIS DE 107 MIL HAITIANOS MIGRARAM AO BRASIL, NA SEGUNDA MAIOR ONDA MIGRATÓRIA AO PAÍS DESDE 2010. A MAIORIA ESCOLHEU O ESTADO DE SÃO PAULO PARA RECONSTRUIR SUAS VIDAS.</t>
        </is>
      </c>
      <c r="J1144" t="inlineStr"/>
      <c r="K1144" t="n">
        <v>0</v>
      </c>
      <c r="L1144" t="n">
        <v>1</v>
      </c>
      <c r="M1144" t="n">
        <v>1</v>
      </c>
      <c r="N1144" t="n">
        <v>0</v>
      </c>
      <c r="O1144" t="n">
        <v>0</v>
      </c>
      <c r="P1144">
        <f>HYPERLINK("https://g1.globo.com/sp/sao-paulo/noticia/2020/01/11/dez-anos-apos-terremoto-que-devastou-o-pais-haitianos-reconstroem-a-vida-em-sp.ghtml", "URL")</f>
        <v/>
      </c>
      <c r="Q1144">
        <f>HYPERLINK("https://raw.githubusercontent.com/marcosmapl/dataset_imigrantes/main/materias_filtered/g1/haitianos/2020/00_jan/html/g1_a44d0df8-22f6-11ed-b24f-6dbe51e79fca_2026.html", "HTML")</f>
        <v/>
      </c>
      <c r="R1144">
        <f>HYPERLINK("https://raw.githubusercontent.com/marcosmapl/dataset_imigrantes/main/materias_filtered/g1/haitianos/2020/00_jan/txt/g1_a44d0df8-22f6-11ed-b24f-6dbe51e79fca_2026.txt", "TXT")</f>
        <v/>
      </c>
    </row>
    <row r="1145">
      <c r="A1145" s="1" t="n">
        <v>1143</v>
      </c>
      <c r="B1145" t="n">
        <v>2020</v>
      </c>
      <c r="C1145" s="2" t="n">
        <v>43841.07289444444</v>
      </c>
      <c r="D1145" t="inlineStr">
        <is>
          <t>G1</t>
        </is>
      </c>
      <c r="E1145" t="inlineStr">
        <is>
          <t>HAITIANOS</t>
        </is>
      </c>
      <c r="F1145" t="inlineStr">
        <is>
          <t>SANTA CATARINA</t>
        </is>
      </c>
      <c r="G1145" t="inlineStr">
        <is>
          <t>NSC TV E G1 SC</t>
        </is>
      </c>
      <c r="H1145" t="inlineStr">
        <is>
          <t>UM MÊS APÓS ACIDENTE NA BR-282, CORPOS DE DUAS HAITIANAS SEGUEM NO IML DE CHAPECÓ, SC</t>
        </is>
      </c>
      <c r="I1145" t="inlineStr">
        <is>
          <t>SEGUNDO IGP, NINGUÉM DA FAMÍLIA OU REPRESENTANTE LEGAL FOI AO INSTITUTO COM DOCUMENTAÇÃO NECESSÁRIA. ACIDENTE QUE MATOU 4 PESSOAS OCORREU EM PINHALZINHO.</t>
        </is>
      </c>
      <c r="J1145" t="inlineStr"/>
      <c r="K1145" t="n">
        <v>0</v>
      </c>
      <c r="L1145" t="n">
        <v>2</v>
      </c>
      <c r="M1145" t="n">
        <v>1</v>
      </c>
      <c r="N1145" t="n">
        <v>0</v>
      </c>
      <c r="O1145" t="n">
        <v>3</v>
      </c>
      <c r="P1145">
        <f>HYPERLINK("https://g1.globo.com/sc/santa-catarina/noticia/2020/01/10/um-mes-apos-acidente-na-br-282-corpos-de-duas-haitianas-seguem-no-iml-de-chapeco-sc.ghtml", "URL")</f>
        <v/>
      </c>
      <c r="Q1145">
        <f>HYPERLINK("https://raw.githubusercontent.com/marcosmapl/dataset_imigrantes/main/materias_filtered/g1/haitianos/2020/00_jan/html/g1_a37db786-2307-11ed-b24f-6dbe51e79fca_2332.html", "HTML")</f>
        <v/>
      </c>
      <c r="R1145">
        <f>HYPERLINK("https://raw.githubusercontent.com/marcosmapl/dataset_imigrantes/main/materias_filtered/g1/haitianos/2020/00_jan/txt/g1_a37db786-2307-11ed-b24f-6dbe51e79fca_2332.txt", "TXT")</f>
        <v/>
      </c>
    </row>
    <row r="1146">
      <c r="A1146" s="1" t="n">
        <v>1144</v>
      </c>
      <c r="B1146" t="n">
        <v>2020</v>
      </c>
      <c r="C1146" s="2" t="n">
        <v>43840.77888952546</v>
      </c>
      <c r="D1146" t="inlineStr">
        <is>
          <t>G1</t>
        </is>
      </c>
      <c r="E1146" t="inlineStr">
        <is>
          <t>VENEZUELANOS</t>
        </is>
      </c>
      <c r="F1146" t="inlineStr">
        <is>
          <t>RIO GRANDE DO SUL</t>
        </is>
      </c>
      <c r="G1146" t="inlineStr">
        <is>
          <t>G1 RS</t>
        </is>
      </c>
      <c r="H1146" t="inlineStr">
        <is>
          <t>PERÍCIA CONCLUI QUE VENEZUELANA MORTA PELO EX EM CAXIAS DO SUL FOI ATINGIDA POR ÁCIDO ASPIRÁVEL QUE CAUSA QUEIMADURA INTERNA</t>
        </is>
      </c>
      <c r="I1146" t="inlineStr">
        <is>
          <t>SUBSTÂNCIA FOI ENCONTRADA NA ROUPA DA VÍTIMA. ÁCIDO NÃO CAUSA QUEIMADURAS EXTENSAS, MAS PODE SER ASPIRADO. ARIANA MORREU POR ASFIXIA MECÂNICA.</t>
        </is>
      </c>
      <c r="J1146" t="inlineStr"/>
      <c r="K1146" t="n">
        <v>0</v>
      </c>
      <c r="L1146" t="n">
        <v>2</v>
      </c>
      <c r="M1146" t="n">
        <v>0</v>
      </c>
      <c r="N1146" t="n">
        <v>0</v>
      </c>
      <c r="O1146" t="n">
        <v>3</v>
      </c>
      <c r="P1146">
        <f>HYPERLINK("https://g1.globo.com/rs/rio-grande-do-sul/noticia/2020/01/10/pericia-conclui-que-venezuelana-morta-pelo-ex-em-caxias-do-sul-foi-atingida-por-acido-aspiravel-que-causa-queimadura-interna.ghtml", "URL")</f>
        <v/>
      </c>
      <c r="Q1146">
        <f>HYPERLINK("https://raw.githubusercontent.com/marcosmapl/dataset_imigrantes/main/materias_filtered/g1/venezuelanos/2020/00_jan/html/g1_08222a7e-2316-11ed-b24f-6dbe51e79fca_3122.html", "HTML")</f>
        <v/>
      </c>
      <c r="R1146">
        <f>HYPERLINK("https://raw.githubusercontent.com/marcosmapl/dataset_imigrantes/main/materias_filtered/g1/venezuelanos/2020/00_jan/txt/g1_08222a7e-2316-11ed-b24f-6dbe51e79fca_3122.txt", "TXT")</f>
        <v/>
      </c>
    </row>
    <row r="1147">
      <c r="A1147" s="1" t="n">
        <v>1145</v>
      </c>
      <c r="B1147" t="n">
        <v>2020</v>
      </c>
      <c r="C1147" s="2" t="n">
        <v>43839.98332898149</v>
      </c>
      <c r="D1147" t="inlineStr">
        <is>
          <t>G1</t>
        </is>
      </c>
      <c r="E1147" t="inlineStr">
        <is>
          <t>VENEZUELANOS</t>
        </is>
      </c>
      <c r="F1147" t="inlineStr">
        <is>
          <t>SANTA CATARINA</t>
        </is>
      </c>
      <c r="G1147" t="inlineStr">
        <is>
          <t>NSC TV</t>
        </is>
      </c>
      <c r="H1147" t="inlineStr">
        <is>
          <t>VENEZUELANOS QUE DIZEM TER SIDO 'OBRIGADOS' A IREM A FLORIANÓPOLIS CONSEGUEM EMPREGO EM ITAJAÍ</t>
        </is>
      </c>
      <c r="I1147" t="inlineStr">
        <is>
          <t>HOMENS DO GRUPO FORAM CONTRATADOS POR UMA EMPRESA QUE PRESTA SERVIÇOS TERCEIRIZADOS PARA A PREFEITURA.</t>
        </is>
      </c>
      <c r="J1147" t="inlineStr"/>
      <c r="K1147" t="n">
        <v>0</v>
      </c>
      <c r="L1147" t="n">
        <v>2</v>
      </c>
      <c r="M1147" t="n">
        <v>1</v>
      </c>
      <c r="N1147" t="n">
        <v>0</v>
      </c>
      <c r="O1147" t="n">
        <v>4</v>
      </c>
      <c r="P1147">
        <f>HYPERLINK("https://g1.globo.com/sc/santa-catarina/noticia/2020/01/09/venezuelanos-que-dizem-ter-sido-obrigados-a-irem-a-florianopolis-conseguem-emprego-em-itajai.ghtml", "URL")</f>
        <v/>
      </c>
      <c r="Q1147">
        <f>HYPERLINK("https://raw.githubusercontent.com/marcosmapl/dataset_imigrantes/main/materias_filtered/g1/venezuelanos/2020/00_jan/html/g1_966cac14-2316-11ed-b24f-6dbe51e79fca_3157.html", "HTML")</f>
        <v/>
      </c>
      <c r="R1147">
        <f>HYPERLINK("https://raw.githubusercontent.com/marcosmapl/dataset_imigrantes/main/materias_filtered/g1/venezuelanos/2020/00_jan/txt/g1_966cac14-2316-11ed-b24f-6dbe51e79fca_3157.txt", "TXT")</f>
        <v/>
      </c>
    </row>
    <row r="1148">
      <c r="A1148" s="1" t="n">
        <v>1146</v>
      </c>
      <c r="B1148" t="n">
        <v>2020</v>
      </c>
      <c r="C1148" s="2" t="n">
        <v>43839.44436342592</v>
      </c>
      <c r="D1148" t="inlineStr">
        <is>
          <t>A CRITICA</t>
        </is>
      </c>
      <c r="E1148" t="inlineStr">
        <is>
          <t>VENEZUELANOS</t>
        </is>
      </c>
      <c r="F1148" t="inlineStr">
        <is>
          <t>MANAUS</t>
        </is>
      </c>
      <c r="G1148" t="inlineStr">
        <is>
          <t>PORTAL A CRÍTICA</t>
        </is>
      </c>
      <c r="H1148" t="inlineStr">
        <is>
          <t>MAIS DE 5 MIL VENEZUELANOS FORAM ATENDIDOS PELO POSTO DE INTERIORIZAÇÃO</t>
        </is>
      </c>
      <c r="I1148" t="inlineStr">
        <is>
          <t>COM CERCA DE 224 MIL VENEZUELANOS NO BRASIL, A COLETA DOS DADOS FACILITA A RESPOSTA LOCAL, APOIA A ADEQUAÇÃO DE SERVIÇOS BÁSICOS COMO SAÚDE, EDUCAÇÃO E ABRIGAMENTO E AUXILIA O MAPEAMENTO DE FLUXOS DE MOBILIDADE INTERNAMENTE</t>
        </is>
      </c>
      <c r="J1148" t="inlineStr"/>
      <c r="K1148" t="n">
        <v>0</v>
      </c>
      <c r="L1148" t="n">
        <v>1</v>
      </c>
      <c r="M1148" t="n">
        <v>0</v>
      </c>
      <c r="N1148" t="n">
        <v>0</v>
      </c>
      <c r="O1148" t="n">
        <v>0</v>
      </c>
      <c r="P1148">
        <f>HYPERLINK("https://www.acritica.com/manaus/mais-de-5-mil-venezuelanos-foram-atendidos-pelo-posto-de-interiorizac-o-1.50983", "URL")</f>
        <v/>
      </c>
      <c r="Q1148">
        <f>HYPERLINK("https://raw.githubusercontent.com/marcosmapl/dataset_imigrantes/main/materias_filtered/a_critica/venezuelanos/2020/00_jan/html/1.50983_1252.html", "HTML")</f>
        <v/>
      </c>
      <c r="R1148">
        <f>HYPERLINK("https://raw.githubusercontent.com/marcosmapl/dataset_imigrantes/main/materias_filtered/a_critica/venezuelanos/2020/00_jan/txt/1.50983_1252.txt", "TXT")</f>
        <v/>
      </c>
    </row>
    <row r="1149">
      <c r="A1149" s="1" t="n">
        <v>1147</v>
      </c>
      <c r="B1149" t="n">
        <v>2020</v>
      </c>
      <c r="C1149" s="2" t="n">
        <v>43838.88541666666</v>
      </c>
      <c r="D1149" t="inlineStr">
        <is>
          <t>PORTAL AMAZONIA</t>
        </is>
      </c>
      <c r="E1149" t="inlineStr">
        <is>
          <t>VENEZUELANOS</t>
        </is>
      </c>
      <c r="F1149" t="inlineStr">
        <is>
          <t>CIDADES</t>
        </is>
      </c>
      <c r="G1149" t="inlineStr">
        <is>
          <t>REDAÇÃO</t>
        </is>
      </c>
      <c r="H1149" t="inlineStr">
        <is>
          <t>ATOR LIAM NEESON VISITA REFUGIADOS VENEZUELANOS EM RORAIMA</t>
        </is>
      </c>
      <c r="I1149" t="inlineStr">
        <is>
          <t>O ATOR IRLANDÊS LIAM NEESON ESTÁ EM VISITA OFICIAL A RORAIMA, NO NORTE DO BRASIL, COMO EMBAIXADOR DA BOA VONTADE DO FUNDO DAS NAÇÕES UNIDAS PARA A INFÂNCIA (UNICEF). NESTA TERÇA-FEIRA (7), ELE FOI À CIDADE DE PACARAIMA, NA FRONTEIRA ENTRE BRASIL E VE</t>
        </is>
      </c>
      <c r="J1149" t="inlineStr">
        <is>
          <t>LIAM NEESON, PACARAIMA, RORAIMA, VENEZUELA, VISITA</t>
        </is>
      </c>
      <c r="K1149" t="n">
        <v>5</v>
      </c>
      <c r="L1149" t="n">
        <v>2</v>
      </c>
      <c r="M1149" t="n">
        <v>0</v>
      </c>
      <c r="N1149" t="n">
        <v>0</v>
      </c>
      <c r="O1149" t="n">
        <v>10</v>
      </c>
      <c r="P1149">
        <f>HYPERLINK("https://portalamazonia.com/noticias/cidades/ator-liam-neeson-visita-refugiados-venezuelanos-em-roraima", "URL")</f>
        <v/>
      </c>
      <c r="Q1149">
        <f>HYPERLINK("https://raw.githubusercontent.com/marcosmapl/dataset_imigrantes/main/materias_filtered/portal_amazonia/venezuelanos/2020/00_jan/html/17864.17864_1595.html", "HTML")</f>
        <v/>
      </c>
      <c r="R1149">
        <f>HYPERLINK("https://raw.githubusercontent.com/marcosmapl/dataset_imigrantes/main/materias_filtered/portal_amazonia/venezuelanos/2020/00_jan/txt/17864.17864_1595.txt", "TXT")</f>
        <v/>
      </c>
    </row>
    <row r="1150">
      <c r="A1150" s="1" t="n">
        <v>1148</v>
      </c>
      <c r="B1150" t="n">
        <v>2020</v>
      </c>
      <c r="C1150" s="2" t="n">
        <v>43838.53333333333</v>
      </c>
      <c r="D1150" t="inlineStr">
        <is>
          <t>PORTAL AMAZONIA</t>
        </is>
      </c>
      <c r="E1150" t="inlineStr">
        <is>
          <t>AMBOS</t>
        </is>
      </c>
      <c r="F1150" t="inlineStr">
        <is>
          <t>EDUCAÇÃO</t>
        </is>
      </c>
      <c r="G1150" t="inlineStr">
        <is>
          <t>REDAÇÃO</t>
        </is>
      </c>
      <c r="H1150" t="inlineStr">
        <is>
          <t>MÚSICA AUXILIA NA APRENDIZAGEM DA LÍNGUA INGLESA EM MANAUS</t>
        </is>
      </c>
      <c r="I1150" t="inlineStr">
        <is>
          <t>QUEM NÃO GOSTA DE OUVIR A CANÇÃO FAVORITA? SEJA PARA CANTAR, DANÇAR, REFLETIR, RELAXAR OU ATÉ MESMO PARA PRATICAR ALGUMA ATIVIDADE FÍSICA, A MÚSICA É UNIVERSAL E POSSUI DIFERENTES RITMOS E LÍNGUAS. EM MANAUS, A MÚSICA TAMBÉM TEM SIDO USADA COMO INSTR</t>
        </is>
      </c>
      <c r="J1150" t="inlineStr">
        <is>
          <t>CURSO DE INGLES NA UEA 2019, INGLES, INGLES COM MUSICA MANAUS, PROGRAMA CIÊNCIA NA ESCOLA MANAUS</t>
        </is>
      </c>
      <c r="K1150" t="n">
        <v>4</v>
      </c>
      <c r="L1150" t="n">
        <v>3</v>
      </c>
      <c r="M1150" t="n">
        <v>0</v>
      </c>
      <c r="N1150" t="n">
        <v>0</v>
      </c>
      <c r="O1150" t="n">
        <v>9</v>
      </c>
      <c r="P1150">
        <f>HYPERLINK("https://portalamazonia.com/noticias/educacao/musica-auxilia-na-aprendizagem-da-lingua-inglesa-em-manaus", "URL")</f>
        <v/>
      </c>
      <c r="Q1150">
        <f>HYPERLINK("https://raw.githubusercontent.com/marcosmapl/dataset_imigrantes/main/materias_filtered/portal_amazonia/ambos/2020/00_jan/html/17855.17855_1579.html", "HTML")</f>
        <v/>
      </c>
      <c r="R1150">
        <f>HYPERLINK("https://raw.githubusercontent.com/marcosmapl/dataset_imigrantes/main/materias_filtered/portal_amazonia/ambos/2020/00_jan/txt/17855.17855_1579.txt", "TXT")</f>
        <v/>
      </c>
    </row>
    <row r="1151">
      <c r="A1151" s="1" t="n">
        <v>1149</v>
      </c>
      <c r="B1151" t="n">
        <v>2020</v>
      </c>
      <c r="C1151" s="2" t="n">
        <v>43838.51093390046</v>
      </c>
      <c r="D1151" t="inlineStr">
        <is>
          <t>G1</t>
        </is>
      </c>
      <c r="E1151" t="inlineStr">
        <is>
          <t>VENEZUELANOS</t>
        </is>
      </c>
      <c r="F1151" t="inlineStr">
        <is>
          <t>RORAIMA</t>
        </is>
      </c>
      <c r="G1151" t="inlineStr">
        <is>
          <t>EMILY COSTA, G1 RR — BOA VISTA</t>
        </is>
      </c>
      <c r="H1151" t="inlineStr">
        <is>
          <t>PASSA DE 3 MIL O NÚMERO DE VENEZUELANOS VIVENDO EM PRÉDIOS ABANDONADOS EM BOA VISTA</t>
        </is>
      </c>
      <c r="I1151" t="inlineStr">
        <is>
          <t>QUANTIDADE DE IMIGRANTES QUE VIVE EM 11 OCUPAÇÕES FOI APRESENTADA PELA OPERAÇÃO ACOLHIDA; GOVERNO QUER CRIAR COMITÊ PARA DESOCUPAR PRÉDIOS PÚBLICOS.</t>
        </is>
      </c>
      <c r="J1151" t="inlineStr"/>
      <c r="K1151" t="n">
        <v>0</v>
      </c>
      <c r="L1151" t="n">
        <v>1</v>
      </c>
      <c r="M1151" t="n">
        <v>0</v>
      </c>
      <c r="N1151" t="n">
        <v>0</v>
      </c>
      <c r="O1151" t="n">
        <v>21</v>
      </c>
      <c r="P1151">
        <f>HYPERLINK("https://g1.globo.com/rr/roraima/noticia/2020/01/08/passa-de-3-mil-o-numero-de-venezuelanos-vivendo-em-predios-abandonados-em-boa-vista.ghtml", "URL")</f>
        <v/>
      </c>
      <c r="Q1151">
        <f>HYPERLINK("https://raw.githubusercontent.com/marcosmapl/dataset_imigrantes/main/materias_filtered/g1/venezuelanos/2020/00_jan/html/g1_b14685ae-2308-11ed-b24f-6dbe51e79fca_2398.html", "HTML")</f>
        <v/>
      </c>
      <c r="R1151">
        <f>HYPERLINK("https://raw.githubusercontent.com/marcosmapl/dataset_imigrantes/main/materias_filtered/g1/venezuelanos/2020/00_jan/txt/g1_b14685ae-2308-11ed-b24f-6dbe51e79fca_2398.txt", "TXT")</f>
        <v/>
      </c>
    </row>
    <row r="1152">
      <c r="A1152" s="1" t="n">
        <v>1150</v>
      </c>
      <c r="B1152" t="n">
        <v>2020</v>
      </c>
      <c r="C1152" s="2" t="n">
        <v>43838.33468582176</v>
      </c>
      <c r="D1152" t="inlineStr">
        <is>
          <t>G1</t>
        </is>
      </c>
      <c r="E1152" t="inlineStr">
        <is>
          <t>VENEZUELANOS</t>
        </is>
      </c>
      <c r="F1152" t="inlineStr">
        <is>
          <t>MINAS GERAIS</t>
        </is>
      </c>
      <c r="G1152" t="inlineStr">
        <is>
          <t>G1 MINAS — BELO HORIZONTE</t>
        </is>
      </c>
      <c r="H1152" t="inlineStr">
        <is>
          <t>GRUPO DE VENEZUELANAS REFUGIADAS CHEGA A BH NESTA TERÇA-FEIRA</t>
        </is>
      </c>
      <c r="I1152" t="inlineStr">
        <is>
          <t>É A QUARTA VEZ QUE A CIDADE RECEBE PESSOAS DESTE PAÍS QUE FUGIRAM DAS CRISES FINANCEIRA E POLÍTICA. A INICIATIVA FAZ PARTE DO PROJETO ‘ACOLHE MINAS’, DO SERVIÇO JESUÍTA A MIGRANTES E REFUGIADOS.</t>
        </is>
      </c>
      <c r="J1152" t="inlineStr"/>
      <c r="K1152" t="n">
        <v>0</v>
      </c>
      <c r="L1152" t="n">
        <v>2</v>
      </c>
      <c r="M1152" t="n">
        <v>1</v>
      </c>
      <c r="N1152" t="n">
        <v>0</v>
      </c>
      <c r="O1152" t="n">
        <v>1</v>
      </c>
      <c r="P1152">
        <f>HYPERLINK("https://g1.globo.com/mg/minas-gerais/noticia/2020/01/08/grupo-de-venezuelanas-refugiadas-chega-a-belo-horizonte-nesta-terca-feira.ghtml", "URL")</f>
        <v/>
      </c>
      <c r="Q1152">
        <f>HYPERLINK("https://raw.githubusercontent.com/marcosmapl/dataset_imigrantes/main/materias_filtered/g1/venezuelanos/2020/00_jan/html/g1_e2a91e5e-231c-11ed-b24f-6dbe51e79fca_3471.html", "HTML")</f>
        <v/>
      </c>
      <c r="R1152">
        <f>HYPERLINK("https://raw.githubusercontent.com/marcosmapl/dataset_imigrantes/main/materias_filtered/g1/venezuelanos/2020/00_jan/txt/g1_e2a91e5e-231c-11ed-b24f-6dbe51e79fca_3471.txt", "TXT")</f>
        <v/>
      </c>
    </row>
    <row r="1153">
      <c r="A1153" s="1" t="n">
        <v>1151</v>
      </c>
      <c r="B1153" t="n">
        <v>2020</v>
      </c>
      <c r="C1153" s="2" t="n">
        <v>43837.80097310185</v>
      </c>
      <c r="D1153" t="inlineStr">
        <is>
          <t>G1</t>
        </is>
      </c>
      <c r="E1153" t="inlineStr">
        <is>
          <t>VENEZUELANOS</t>
        </is>
      </c>
      <c r="F1153" t="inlineStr">
        <is>
          <t>RORAIMA</t>
        </is>
      </c>
      <c r="G1153" t="inlineStr">
        <is>
          <t>EMILY COSTA E VALÉRIA OLIVEIRA, G1 RR — BOA VISTA</t>
        </is>
      </c>
      <c r="H1153" t="inlineStr">
        <is>
          <t>ATOR LIAM NEESON VISITA REFUGIADOS VENEZUELANOS EM RORAIMA</t>
        </is>
      </c>
      <c r="I1153" t="inlineStr">
        <is>
          <t>EMBAIXADOR DA BOA VONTADE DO UNICEF, ATOR IRLANDÊS FOI A PACARAIMA, NA FRONTEIRA COM A VENEZUELA, NESTA TERÇA-FEIRA (7).</t>
        </is>
      </c>
      <c r="J1153" t="inlineStr"/>
      <c r="K1153" t="n">
        <v>0</v>
      </c>
      <c r="L1153" t="n">
        <v>3</v>
      </c>
      <c r="M1153" t="n">
        <v>0</v>
      </c>
      <c r="N1153" t="n">
        <v>0</v>
      </c>
      <c r="O1153" t="n">
        <v>2</v>
      </c>
      <c r="P1153">
        <f>HYPERLINK("https://g1.globo.com/rr/roraima/noticia/2020/01/07/ator-liam-neeson-visita-refugiados-venezuelanos-em-roraima.ghtml", "URL")</f>
        <v/>
      </c>
      <c r="Q1153">
        <f>HYPERLINK("https://raw.githubusercontent.com/marcosmapl/dataset_imigrantes/main/materias_filtered/g1/venezuelanos/2020/00_jan/html/g1_0be4c368-232c-11ed-b24f-6dbe51e79fca_4282.html", "HTML")</f>
        <v/>
      </c>
      <c r="R1153">
        <f>HYPERLINK("https://raw.githubusercontent.com/marcosmapl/dataset_imigrantes/main/materias_filtered/g1/venezuelanos/2020/00_jan/txt/g1_0be4c368-232c-11ed-b24f-6dbe51e79fca_4282.txt", "TXT")</f>
        <v/>
      </c>
    </row>
    <row r="1154">
      <c r="A1154" s="1" t="n">
        <v>1152</v>
      </c>
      <c r="B1154" t="n">
        <v>2020</v>
      </c>
      <c r="C1154" s="2" t="n">
        <v>43836.97186291667</v>
      </c>
      <c r="D1154" t="inlineStr">
        <is>
          <t>G1</t>
        </is>
      </c>
      <c r="E1154" t="inlineStr">
        <is>
          <t>VENEZUELANOS</t>
        </is>
      </c>
      <c r="F1154" t="inlineStr">
        <is>
          <t>POLÍTICA</t>
        </is>
      </c>
      <c r="G1154" t="inlineStr">
        <is>
          <t>FERNANDA VIVAS E MARIANA OLIVEIRA, TV GLOBO — BRASÍLIA</t>
        </is>
      </c>
      <c r="H1154" t="inlineStr">
        <is>
          <t>PGR ENCAMINHA PARA O ITAMARATY PEDIDO DE EXTRADIÇÃO DE MILITARES VENEZUELANOS</t>
        </is>
      </c>
      <c r="I1154" t="inlineStr">
        <is>
          <t>PEDIDO FOI APRESENTADO PELA PROCURADORIA DA VENEZUELA NA SEMANA PASSADA; ÓRGÃO DIZ QUE MILITARES ESTÃO ENVOLVIDOS EM ATAQUE EM GRAN SABANA. MILITARES FORAM ENCONTRADOS EM RORAIMA.</t>
        </is>
      </c>
      <c r="J1154" t="inlineStr"/>
      <c r="K1154" t="n">
        <v>0</v>
      </c>
      <c r="L1154" t="n">
        <v>1</v>
      </c>
      <c r="M1154" t="n">
        <v>1</v>
      </c>
      <c r="N1154" t="n">
        <v>0</v>
      </c>
      <c r="O1154" t="n">
        <v>7</v>
      </c>
      <c r="P1154">
        <f>HYPERLINK("https://g1.globo.com/politica/noticia/2020/01/06/pgr-envia-para-o-itamaraty-pedido-de-extradicao-de-militares-venezuelanos.ghtml", "URL")</f>
        <v/>
      </c>
      <c r="Q1154">
        <f>HYPERLINK("https://raw.githubusercontent.com/marcosmapl/dataset_imigrantes/main/materias_filtered/g1/venezuelanos/2020/00_jan/html/g1_bebd4b3a-231e-11ed-b24f-6dbe51e79fca_3582.html", "HTML")</f>
        <v/>
      </c>
      <c r="R1154">
        <f>HYPERLINK("https://raw.githubusercontent.com/marcosmapl/dataset_imigrantes/main/materias_filtered/g1/venezuelanos/2020/00_jan/txt/g1_bebd4b3a-231e-11ed-b24f-6dbe51e79fca_3582.txt", "TXT")</f>
        <v/>
      </c>
    </row>
    <row r="1155">
      <c r="A1155" s="1" t="n">
        <v>1153</v>
      </c>
      <c r="B1155" t="n">
        <v>2020</v>
      </c>
      <c r="C1155" s="2" t="n">
        <v>43836.78539398148</v>
      </c>
      <c r="D1155" t="inlineStr">
        <is>
          <t>G1</t>
        </is>
      </c>
      <c r="E1155" t="inlineStr">
        <is>
          <t>VENEZUELANOS</t>
        </is>
      </c>
      <c r="F1155" t="inlineStr">
        <is>
          <t>PIAUÍ</t>
        </is>
      </c>
      <c r="G1155" t="inlineStr">
        <is>
          <t>PITV 1</t>
        </is>
      </c>
      <c r="H1155" t="inlineStr">
        <is>
          <t>NOVO GRUPO DE VENEZUELANOS É FLAGRADO PEDINDO ESMOLA COM CRIANÇAS  EM SEMÁFOROS DE TERESINA</t>
        </is>
      </c>
      <c r="I1155" t="inlineStr">
        <is>
          <t>SEGUNDO O SECRETÁRIO DE ASSISTÊNCIA SOCIAL E POLÍTICAS INTEGRADAS (SEMCASPI) SAMUEL SILVEIRA, ESTE GRUPO AINDA NÃO ESTÁ SOB RESPONSORIALIDADE DA PREFEITURA, MAS RECEBE AUXILIO DO ESTADO.</t>
        </is>
      </c>
      <c r="J1155" t="inlineStr"/>
      <c r="K1155" t="n">
        <v>0</v>
      </c>
      <c r="L1155" t="n">
        <v>2</v>
      </c>
      <c r="M1155" t="n">
        <v>1</v>
      </c>
      <c r="N1155" t="n">
        <v>0</v>
      </c>
      <c r="O1155" t="n">
        <v>2</v>
      </c>
      <c r="P1155">
        <f>HYPERLINK("https://g1.globo.com/pi/piaui/noticia/2020/01/06/novo-grupo-de-venezuelanos-e-flagrado-pedindo-esmola-com-criancas-em-semaforos-de-teresina.ghtml", "URL")</f>
        <v/>
      </c>
      <c r="Q1155">
        <f>HYPERLINK("https://raw.githubusercontent.com/marcosmapl/dataset_imigrantes/main/materias_filtered/g1/venezuelanos/2020/00_jan/html/g1_f2387786-231f-11ed-b24f-6dbe51e79fca_3653.html", "HTML")</f>
        <v/>
      </c>
      <c r="R1155">
        <f>HYPERLINK("https://raw.githubusercontent.com/marcosmapl/dataset_imigrantes/main/materias_filtered/g1/venezuelanos/2020/00_jan/txt/g1_f2387786-231f-11ed-b24f-6dbe51e79fca_3653.txt", "TXT")</f>
        <v/>
      </c>
    </row>
    <row r="1156">
      <c r="A1156" s="1" t="n">
        <v>1154</v>
      </c>
      <c r="B1156" t="n">
        <v>2020</v>
      </c>
      <c r="C1156" s="2" t="n">
        <v>43835.98340793981</v>
      </c>
      <c r="D1156" t="inlineStr">
        <is>
          <t>G1</t>
        </is>
      </c>
      <c r="E1156" t="inlineStr">
        <is>
          <t>VENEZUELANOS</t>
        </is>
      </c>
      <c r="F1156" t="inlineStr">
        <is>
          <t>MUNDO</t>
        </is>
      </c>
      <c r="G1156" t="inlineStr">
        <is>
          <t>BBC</t>
        </is>
      </c>
      <c r="H1156" t="inlineStr">
        <is>
          <t>QUEM É LUIS PARRA, POLÊMICO DEPUTADO ELEITO PRESIDENTE DO CONGRESSO DA VENEZUELA NO LUGAR DE GUAIDÓ</t>
        </is>
      </c>
      <c r="I1156" t="inlineStr">
        <is>
          <t>ACUSADO DE CORRUPÇÃO E EXPULSO DE SEU PARTIDO, O DEPUTADO FOI NOMEADO PRESIDENTE DA CÂMARA COM O APOIO DE CHAVISTAS. O OPOSITOR JUAN GUAIDÓ, IMPEDIDO DE ENTRAR NA CÂMARA, ACUSOU A ELEIÇÃO DE 'GOLPE PARLAMENTAR'.</t>
        </is>
      </c>
      <c r="J1156" t="inlineStr"/>
      <c r="K1156" t="n">
        <v>0</v>
      </c>
      <c r="L1156" t="n">
        <v>1</v>
      </c>
      <c r="M1156" t="n">
        <v>0</v>
      </c>
      <c r="N1156" t="n">
        <v>0</v>
      </c>
      <c r="O1156" t="n">
        <v>1</v>
      </c>
      <c r="P1156">
        <f>HYPERLINK("https://g1.globo.com/mundo/noticia/2020/01/05/quem-e-luis-parra-polemico-deputado-eleito-presidente-do-congresso-da-venezuela-no-lugar-de-guaido.ghtml", "URL")</f>
        <v/>
      </c>
      <c r="Q1156">
        <f>HYPERLINK("https://raw.githubusercontent.com/marcosmapl/dataset_imigrantes/main/materias_filtered/g1/venezuelanos/2020/00_jan/html/g1_71288d08-231e-11ed-b24f-6dbe51e79fca_3561.html", "HTML")</f>
        <v/>
      </c>
      <c r="R1156">
        <f>HYPERLINK("https://raw.githubusercontent.com/marcosmapl/dataset_imigrantes/main/materias_filtered/g1/venezuelanos/2020/00_jan/txt/g1_71288d08-231e-11ed-b24f-6dbe51e79fca_3561.txt", "TXT")</f>
        <v/>
      </c>
    </row>
    <row r="1157">
      <c r="A1157" s="1" t="n">
        <v>1155</v>
      </c>
      <c r="B1157" t="n">
        <v>2020</v>
      </c>
      <c r="C1157" s="2" t="n">
        <v>43834.83519383102</v>
      </c>
      <c r="D1157" t="inlineStr">
        <is>
          <t>G1</t>
        </is>
      </c>
      <c r="E1157" t="inlineStr">
        <is>
          <t>HAITIANOS</t>
        </is>
      </c>
      <c r="F1157" t="inlineStr">
        <is>
          <t>SANTA CATARINA</t>
        </is>
      </c>
      <c r="G1157" t="inlineStr">
        <is>
          <t>G1 SC</t>
        </is>
      </c>
      <c r="H1157" t="inlineStr">
        <is>
          <t>RESGATE DE BANHISTAS, AÉCIO NEVES NO HOSPITAL, REABERTURA DA PONTE HERCÍLIO LUZ E AS MAIS LIDAS DO G1 SC</t>
        </is>
      </c>
      <c r="I1157" t="inlineStr">
        <is>
          <t>BOMBEIROS RESGATARAM PELO MENOS NOVE PESSOAS APÓS CABEÇA D'ÁGUA ATINGIR CACHOEIRA NA GRANDE FLORIANÓPOLIS. A NOTÍCIA FOI A MAIS LIDA DA SEMANA.</t>
        </is>
      </c>
      <c r="J1157" t="inlineStr"/>
      <c r="K1157" t="n">
        <v>0</v>
      </c>
      <c r="L1157" t="n">
        <v>4</v>
      </c>
      <c r="M1157" t="n">
        <v>2</v>
      </c>
      <c r="N1157" t="n">
        <v>0</v>
      </c>
      <c r="O1157" t="n">
        <v>11</v>
      </c>
      <c r="P1157">
        <f>HYPERLINK("https://g1.globo.com/sc/santa-catarina/noticia/2020/01/04/resgate-de-banhistas-aecio-neves-no-hospital-reabertura-da-ponte-hercilio-luz-e-as-mais-lidas-do-g1-sc.ghtml", "URL")</f>
        <v/>
      </c>
      <c r="Q1157">
        <f>HYPERLINK("https://raw.githubusercontent.com/marcosmapl/dataset_imigrantes/main/materias_filtered/g1/haitianos/2020/00_jan/html/g1_6cb13736-2326-11ed-b24f-6dbe51e79fca_3975.html", "HTML")</f>
        <v/>
      </c>
      <c r="R1157">
        <f>HYPERLINK("https://raw.githubusercontent.com/marcosmapl/dataset_imigrantes/main/materias_filtered/g1/haitianos/2020/00_jan/txt/g1_6cb13736-2326-11ed-b24f-6dbe51e79fca_3975.txt", "TXT")</f>
        <v/>
      </c>
    </row>
    <row r="1158">
      <c r="A1158" s="1" t="n">
        <v>1156</v>
      </c>
      <c r="B1158" t="n">
        <v>2020</v>
      </c>
      <c r="C1158" s="2" t="n">
        <v>43834.77090277777</v>
      </c>
      <c r="D1158" t="inlineStr">
        <is>
          <t>A CRITICA</t>
        </is>
      </c>
      <c r="E1158" t="inlineStr">
        <is>
          <t>VENEZUELANOS</t>
        </is>
      </c>
      <c r="F1158" t="inlineStr">
        <is>
          <t>ESPORTES</t>
        </is>
      </c>
      <c r="G1158" t="inlineStr">
        <is>
          <t>LANE AZEVEDO</t>
        </is>
      </c>
      <c r="H1158" t="inlineStr">
        <is>
          <t>NACIONAL APRESENTA ELENCO COMPLETO PARA A TEMPORADA DE 2020</t>
        </is>
      </c>
      <c r="I1158" t="inlineStr">
        <is>
          <t>COM 23 JOGADORES NO PLANTEL, O NAÇA APRESENTOU OS JOGADORES DURANTE EVENTO NO CT BARBOSA FILHO, NA ZONA LESTE DE MANAUS</t>
        </is>
      </c>
      <c r="J1158" t="inlineStr"/>
      <c r="K1158" t="n">
        <v>0</v>
      </c>
      <c r="L1158" t="n">
        <v>1</v>
      </c>
      <c r="M1158" t="n">
        <v>0</v>
      </c>
      <c r="N1158" t="n">
        <v>0</v>
      </c>
      <c r="O1158" t="n">
        <v>0</v>
      </c>
      <c r="P1158">
        <f>HYPERLINK("https://www.acritica.com/esportes/nacional-apresenta-elenco-completo-para-a-temporada-de-2020-1.51084", "URL")</f>
        <v/>
      </c>
      <c r="Q1158">
        <f>HYPERLINK("https://raw.githubusercontent.com/marcosmapl/dataset_imigrantes/main/materias_filtered/a_critica/venezuelanos/2020/00_jan/html/1.51084_349.html", "HTML")</f>
        <v/>
      </c>
      <c r="R1158">
        <f>HYPERLINK("https://raw.githubusercontent.com/marcosmapl/dataset_imigrantes/main/materias_filtered/a_critica/venezuelanos/2020/00_jan/txt/1.51084_349.txt", "TXT")</f>
        <v/>
      </c>
    </row>
    <row r="1159">
      <c r="A1159" s="1" t="n">
        <v>1157</v>
      </c>
      <c r="B1159" t="n">
        <v>2020</v>
      </c>
      <c r="C1159" s="2" t="n">
        <v>43831.90396799768</v>
      </c>
      <c r="D1159" t="inlineStr">
        <is>
          <t>G1</t>
        </is>
      </c>
      <c r="E1159" t="inlineStr">
        <is>
          <t>HAITIANOS</t>
        </is>
      </c>
      <c r="F1159" t="inlineStr">
        <is>
          <t>SANTA CATARINA</t>
        </is>
      </c>
      <c r="G1159" t="inlineStr">
        <is>
          <t>NSC TV E G1 SC</t>
        </is>
      </c>
      <c r="H1159" t="inlineStr">
        <is>
          <t>MÃE HAITIANA REENCONTRA FILHOS EM SC APÓS QUASE 4 ANOS</t>
        </is>
      </c>
      <c r="I1159" t="inlineStr">
        <is>
          <t>MULHER PRECISOU DEIXAR TRÊS FILHOS NO HAITI QUANDO VEIO PARA JOINVILLE. COM AJUDA DA PATROA, MÃE TERÁ FAMÍLIA AO LADO EM 2020.</t>
        </is>
      </c>
      <c r="J1159" t="inlineStr"/>
      <c r="K1159" t="n">
        <v>0</v>
      </c>
      <c r="L1159" t="n">
        <v>2</v>
      </c>
      <c r="M1159" t="n">
        <v>1</v>
      </c>
      <c r="N1159" t="n">
        <v>0</v>
      </c>
      <c r="O1159" t="n">
        <v>2</v>
      </c>
      <c r="P1159">
        <f>HYPERLINK("https://g1.globo.com/sc/santa-catarina/noticia/2020/01/01/mae-haitiana-reencontra-filhos-em-sc-apos-quase-4-anos.ghtml", "URL")</f>
        <v/>
      </c>
      <c r="Q1159">
        <f>HYPERLINK("https://raw.githubusercontent.com/marcosmapl/dataset_imigrantes/main/materias_filtered/g1/haitianos/2020/00_jan/html/g1_3d0e4058-230a-11ed-b24f-6dbe51e79fca_2491.html", "HTML")</f>
        <v/>
      </c>
      <c r="R1159">
        <f>HYPERLINK("https://raw.githubusercontent.com/marcosmapl/dataset_imigrantes/main/materias_filtered/g1/haitianos/2020/00_jan/txt/g1_3d0e4058-230a-11ed-b24f-6dbe51e79fca_2491.txt", "TXT")</f>
        <v/>
      </c>
    </row>
    <row r="1160">
      <c r="A1160" s="1" t="n">
        <v>1158</v>
      </c>
      <c r="B1160" t="n">
        <v>2020</v>
      </c>
      <c r="C1160" s="2" t="n">
        <v>43831.75803824074</v>
      </c>
      <c r="D1160" t="inlineStr">
        <is>
          <t>G1</t>
        </is>
      </c>
      <c r="E1160" t="inlineStr">
        <is>
          <t>VENEZUELANOS</t>
        </is>
      </c>
      <c r="F1160" t="inlineStr">
        <is>
          <t>PARÁ</t>
        </is>
      </c>
      <c r="G1160" t="inlineStr">
        <is>
          <t>G1 PA — BELÉM</t>
        </is>
      </c>
      <c r="H1160" t="inlineStr">
        <is>
          <t>ÍNDIOS VENEZUELANOS DIZEM TER SOFRIDO AGRESSÕES DE AGENTES DA GUARDA MUNICIPAL</t>
        </is>
      </c>
      <c r="I1160" t="inlineStr">
        <is>
          <t>CASO ACONTECEU NA MANHÃ DESTA QUARTA-FEIRA (1º). GUARDA MUNICIPAL E POLÍCIA MILITAR FORAM ACIONADOS PARA CONTER TUMULTO OCORRIDO DENTRO DE UM ABRIGO DOS REFUGIADOS.</t>
        </is>
      </c>
      <c r="J1160" t="inlineStr"/>
      <c r="K1160" t="n">
        <v>0</v>
      </c>
      <c r="L1160" t="n">
        <v>1</v>
      </c>
      <c r="M1160" t="n">
        <v>1</v>
      </c>
      <c r="N1160" t="n">
        <v>0</v>
      </c>
      <c r="O1160" t="n">
        <v>0</v>
      </c>
      <c r="P1160">
        <f>HYPERLINK("https://g1.globo.com/pa/para/noticia/2020/01/01/indios-venezuelanos-denunciam-terem-sofrido-agressoes-da-guarda-municipal-de-belem.ghtml", "URL")</f>
        <v/>
      </c>
      <c r="Q1160">
        <f>HYPERLINK("https://raw.githubusercontent.com/marcosmapl/dataset_imigrantes/main/materias_filtered/g1/venezuelanos/2020/00_jan/html/g1_06ce5edc-230b-11ed-b24f-6dbe51e79fca_2539.html", "HTML")</f>
        <v/>
      </c>
      <c r="R1160">
        <f>HYPERLINK("https://raw.githubusercontent.com/marcosmapl/dataset_imigrantes/main/materias_filtered/g1/venezuelanos/2020/00_jan/txt/g1_06ce5edc-230b-11ed-b24f-6dbe51e79fca_2539.txt", "TXT")</f>
        <v/>
      </c>
    </row>
    <row r="1161">
      <c r="A1161" s="1" t="n">
        <v>1159</v>
      </c>
      <c r="B1161" t="n">
        <v>2020</v>
      </c>
      <c r="C1161" s="2" t="n">
        <v>43831.75428131944</v>
      </c>
      <c r="D1161" t="inlineStr">
        <is>
          <t>G1</t>
        </is>
      </c>
      <c r="E1161" t="inlineStr">
        <is>
          <t>VENEZUELANOS</t>
        </is>
      </c>
      <c r="F1161" t="inlineStr">
        <is>
          <t>RORAIMA</t>
        </is>
      </c>
      <c r="G1161" t="inlineStr">
        <is>
          <t>G1 RR — BOA VISTA</t>
        </is>
      </c>
      <c r="H1161" t="inlineStr">
        <is>
          <t>PRIMEIRA BEBÊ QUE NASCEU EM RR EM 2020 É FILHA DE VENEZUELANA E SE CHAMA FREDIMAR</t>
        </is>
      </c>
      <c r="I1161" t="inlineStr">
        <is>
          <t>BEBÊ NASCEU PESANDO 3435 KG E MEDINDO 51 CM. PARTO FOI CESARIANA SEM COMPLICAÇÕES, DE ACORDO COM DIREÇÃO DA MATERNIDADE.</t>
        </is>
      </c>
      <c r="J1161" t="inlineStr"/>
      <c r="K1161" t="n">
        <v>0</v>
      </c>
      <c r="L1161" t="n">
        <v>2</v>
      </c>
      <c r="M1161" t="n">
        <v>0</v>
      </c>
      <c r="N1161" t="n">
        <v>0</v>
      </c>
      <c r="O1161" t="n">
        <v>1</v>
      </c>
      <c r="P1161">
        <f>HYPERLINK("https://g1.globo.com/rr/roraima/noticia/2020/01/01/primeira-bebe-que-nasceu-em-rr-em-2020-e-filha-de-venezuelana-e-se-chama-fredimar.ghtml", "URL")</f>
        <v/>
      </c>
      <c r="Q1161">
        <f>HYPERLINK("https://raw.githubusercontent.com/marcosmapl/dataset_imigrantes/main/materias_filtered/g1/venezuelanos/2020/00_jan/html/g1_94fe330c-232a-11ed-b24f-6dbe51e79fca_4188.html", "HTML")</f>
        <v/>
      </c>
      <c r="R1161">
        <f>HYPERLINK("https://raw.githubusercontent.com/marcosmapl/dataset_imigrantes/main/materias_filtered/g1/venezuelanos/2020/00_jan/txt/g1_94fe330c-232a-11ed-b24f-6dbe51e79fca_4188.txt", "TXT")</f>
        <v/>
      </c>
    </row>
    <row r="1162">
      <c r="A1162" s="1" t="n">
        <v>1160</v>
      </c>
      <c r="B1162" t="n">
        <v>2019</v>
      </c>
      <c r="C1162" s="2" t="n">
        <v>43830.60726851852</v>
      </c>
      <c r="D1162" t="inlineStr">
        <is>
          <t>A CRITICA</t>
        </is>
      </c>
      <c r="E1162" t="inlineStr">
        <is>
          <t>VENEZUELANOS</t>
        </is>
      </c>
      <c r="F1162" t="inlineStr"/>
      <c r="G1162" t="inlineStr">
        <is>
          <t>LUIZ G. MELO</t>
        </is>
      </c>
      <c r="H1162" t="inlineStr">
        <is>
          <t>NUTRICIONISTA DÁ DICAS PARA SE LIVRAR DOS EFEITOS DO EXCESSO DE BEBIDAS ALCOÓLICAS</t>
        </is>
      </c>
      <c r="I1162" t="inlineStr">
        <is>
          <t>DO PONTO DE VISTA CIENTÍFICO, NÃO EXISTA UMA RECEITA INFALÍVEL QUE EVITE A RESSACA, MAS MANTER-SE HIDRATADO E ESTAR BEM ALIMENTADOS ESTÃO ENTRE AS DICAS MAIS POPULARES</t>
        </is>
      </c>
      <c r="J1162" t="inlineStr"/>
      <c r="K1162" t="n">
        <v>0</v>
      </c>
      <c r="L1162" t="n">
        <v>1</v>
      </c>
      <c r="M1162" t="n">
        <v>0</v>
      </c>
      <c r="N1162" t="n">
        <v>0</v>
      </c>
      <c r="O1162" t="n">
        <v>0</v>
      </c>
      <c r="P1162">
        <f>HYPERLINK("https://www.acritica.com/nutricionista-da-dicas-para-se-livrar-dos-efeitos-do-excesso-de-bebidas-alcoolicas-1.52282", "URL")</f>
        <v/>
      </c>
      <c r="Q1162">
        <f>HYPERLINK("https://raw.githubusercontent.com/marcosmapl/dataset_imigrantes/main/materias_filtered/a_critica/venezuelanos/2019/11_dez/html/1.52282_667.html", "HTML")</f>
        <v/>
      </c>
      <c r="R1162">
        <f>HYPERLINK("https://raw.githubusercontent.com/marcosmapl/dataset_imigrantes/main/materias_filtered/a_critica/venezuelanos/2019/11_dez/txt/1.52282_667.txt", "TXT")</f>
        <v/>
      </c>
    </row>
    <row r="1163">
      <c r="A1163" s="1" t="n">
        <v>1161</v>
      </c>
      <c r="B1163" t="n">
        <v>2019</v>
      </c>
      <c r="C1163" s="2" t="n">
        <v>43830.54991214121</v>
      </c>
      <c r="D1163" t="inlineStr">
        <is>
          <t>G1</t>
        </is>
      </c>
      <c r="E1163" t="inlineStr">
        <is>
          <t>HAITIANOS</t>
        </is>
      </c>
      <c r="F1163" t="inlineStr">
        <is>
          <t>RORAIMA</t>
        </is>
      </c>
      <c r="G1163" t="inlineStr">
        <is>
          <t>G1 RR — BOA VISTA</t>
        </is>
      </c>
      <c r="H1163" t="inlineStr">
        <is>
          <t>RETROSPECTIVA 2019: OURO ILEGAL, HAITIANOS, POLÍTICOS CONDENADOS, FRONTEIRA FECHADA E MAIS EM RR</t>
        </is>
      </c>
      <c r="I1163" t="inlineStr">
        <is>
          <t>RELEMBRE FATOS POLÍTICOS IMPORTANTES, HISTÓRIAS DA VIDA URBANA, CRIMES, OPERAÇÕES POLICIAIS E OUTROS DESTAQUES DE 2019 EM RORAIMA.</t>
        </is>
      </c>
      <c r="J1163" t="inlineStr"/>
      <c r="K1163" t="n">
        <v>0</v>
      </c>
      <c r="L1163" t="n">
        <v>1</v>
      </c>
      <c r="M1163" t="n">
        <v>0</v>
      </c>
      <c r="N1163" t="n">
        <v>0</v>
      </c>
      <c r="O1163" t="n">
        <v>62</v>
      </c>
      <c r="P1163">
        <f>HYPERLINK("https://g1.globo.com/rr/roraima/noticia/2019/12/31/retrospectiva-2019-ouro-ilegal-haitianos-politicos-condenados-fronteira-fechada-e-mais-em-rr.ghtml", "URL")</f>
        <v/>
      </c>
      <c r="Q1163">
        <f>HYPERLINK("https://raw.githubusercontent.com/marcosmapl/dataset_imigrantes/main/materias_filtered/g1/haitianos/2019/11_dez/html/g1_dfe45834-22b1-11ed-b24f-6dbe51e79fca_1639.html", "HTML")</f>
        <v/>
      </c>
      <c r="R1163">
        <f>HYPERLINK("https://raw.githubusercontent.com/marcosmapl/dataset_imigrantes/main/materias_filtered/g1/haitianos/2019/11_dez/txt/g1_dfe45834-22b1-11ed-b24f-6dbe51e79fca_1639.txt", "TXT")</f>
        <v/>
      </c>
    </row>
    <row r="1164">
      <c r="A1164" s="1" t="n">
        <v>1162</v>
      </c>
      <c r="B1164" t="n">
        <v>2019</v>
      </c>
      <c r="C1164" s="2" t="n">
        <v>43829.78684092592</v>
      </c>
      <c r="D1164" t="inlineStr">
        <is>
          <t>G1</t>
        </is>
      </c>
      <c r="E1164" t="inlineStr">
        <is>
          <t>VENEZUELANOS</t>
        </is>
      </c>
      <c r="F1164" t="inlineStr">
        <is>
          <t>RORAIMA</t>
        </is>
      </c>
      <c r="G1164" t="inlineStr">
        <is>
          <t>G1 RR* — PACARAIMA</t>
        </is>
      </c>
      <c r="H1164" t="inlineStr">
        <is>
          <t>ÍNDIOS VENEZUELANOS PROTESTAM CONTRA MADURO NA FRONTEIRA COM O BRASIL</t>
        </is>
      </c>
      <c r="I1164" t="inlineStr">
        <is>
          <t>GRUPO DE PEMONES AFIRMA QUE TEM SOFRIDO PERSEGUIÇÃO DO GOVERNO CHAVISTA APÓS ATAQUE A UMA BASE MILITAR NA VENEZUELA NO DIA 22 DE DEZEMBRO. EXÉRCITO ENCONTROU CINCO MILITARES VENEZUELANOS EM TERRA INDÍGENA DE RORAIMA E OS ACOLHEU; MEDIDA FOI CRITICADA PELO GOVERNO MADURO, QUE FALA EM 'TERRORISTAS'.</t>
        </is>
      </c>
      <c r="J1164" t="inlineStr"/>
      <c r="K1164" t="n">
        <v>0</v>
      </c>
      <c r="L1164" t="n">
        <v>2</v>
      </c>
      <c r="M1164" t="n">
        <v>0</v>
      </c>
      <c r="N1164" t="n">
        <v>0</v>
      </c>
      <c r="O1164" t="n">
        <v>4</v>
      </c>
      <c r="P1164">
        <f>HYPERLINK("https://g1.globo.com/rr/roraima/noticia/2019/12/30/indios-venezuelanos-protestam-contra-maduro-na-fronteira-com-o-brasil.ghtml", "URL")</f>
        <v/>
      </c>
      <c r="Q1164">
        <f>HYPERLINK("https://raw.githubusercontent.com/marcosmapl/dataset_imigrantes/main/materias_filtered/g1/venezuelanos/2019/11_dez/html/g1_2b2fe710-232d-11ed-b24f-6dbe51e79fca_4345.html", "HTML")</f>
        <v/>
      </c>
      <c r="R1164">
        <f>HYPERLINK("https://raw.githubusercontent.com/marcosmapl/dataset_imigrantes/main/materias_filtered/g1/venezuelanos/2019/11_dez/txt/g1_2b2fe710-232d-11ed-b24f-6dbe51e79fca_4345.txt", "TXT")</f>
        <v/>
      </c>
    </row>
    <row r="1165">
      <c r="A1165" s="1" t="n">
        <v>1163</v>
      </c>
      <c r="B1165" t="n">
        <v>2019</v>
      </c>
      <c r="C1165" s="2" t="n">
        <v>43827.95375695602</v>
      </c>
      <c r="D1165" t="inlineStr">
        <is>
          <t>G1</t>
        </is>
      </c>
      <c r="E1165" t="inlineStr">
        <is>
          <t>VENEZUELANOS</t>
        </is>
      </c>
      <c r="F1165" t="inlineStr">
        <is>
          <t>POLÍTICA</t>
        </is>
      </c>
      <c r="G1165" t="inlineStr">
        <is>
          <t>G1 — BRASÍLIA</t>
        </is>
      </c>
      <c r="H1165" t="inlineStr">
        <is>
          <t>ITAMARATY E DEFESA INFORMAM QUE MILITARES VENEZUELANOS RETIDOS EM RR PEDIRÃO REFÚGIO AO BRASIL</t>
        </is>
      </c>
      <c r="I1165" t="inlineStr">
        <is>
          <t>MILITARES FORAM ENCONTRADOS PELO EXÉRCITO BRASILEIRO NA QUINTA (26). SEGUNDO O GOVERNO DE NICOLÁS MADURO, ELES SÃO 'DESERTORES' E ESTÃO ENVOLVIDOS NO ATAQUE  A UMA BASE MILITAR NA VENEZUELA.</t>
        </is>
      </c>
      <c r="J1165" t="inlineStr"/>
      <c r="K1165" t="n">
        <v>0</v>
      </c>
      <c r="L1165" t="n">
        <v>0</v>
      </c>
      <c r="M1165" t="n">
        <v>0</v>
      </c>
      <c r="N1165" t="n">
        <v>0</v>
      </c>
      <c r="O1165" t="n">
        <v>12</v>
      </c>
      <c r="P1165">
        <f>HYPERLINK("https://g1.globo.com/politica/noticia/2019/12/28/itamaraty-e-defesa-informam-que-militares-venezuelanos-retidos-em-rr-pedirao-refugio-ao-brasil.ghtml", "URL")</f>
        <v/>
      </c>
      <c r="Q1165">
        <f>HYPERLINK("https://raw.githubusercontent.com/marcosmapl/dataset_imigrantes/main/materias_filtered/g1/venezuelanos/2019/11_dez/html/g1_fd775de4-2318-11ed-b24f-6dbe51e79fca_3292.html", "HTML")</f>
        <v/>
      </c>
      <c r="R1165">
        <f>HYPERLINK("https://raw.githubusercontent.com/marcosmapl/dataset_imigrantes/main/materias_filtered/g1/venezuelanos/2019/11_dez/txt/g1_fd775de4-2318-11ed-b24f-6dbe51e79fca_3292.txt", "TXT")</f>
        <v/>
      </c>
    </row>
    <row r="1166">
      <c r="A1166" s="1" t="n">
        <v>1164</v>
      </c>
      <c r="B1166" t="n">
        <v>2019</v>
      </c>
      <c r="C1166" s="2" t="n">
        <v>43827.77035881944</v>
      </c>
      <c r="D1166" t="inlineStr">
        <is>
          <t>G1</t>
        </is>
      </c>
      <c r="E1166" t="inlineStr">
        <is>
          <t>VENEZUELANOS</t>
        </is>
      </c>
      <c r="F1166" t="inlineStr">
        <is>
          <t>ECONOMIA</t>
        </is>
      </c>
      <c r="G1166" t="inlineStr">
        <is>
          <t>BBC</t>
        </is>
      </c>
      <c r="H1166" t="inlineStr">
        <is>
          <t>O QUE HÁ POR TRÁS DA APARENTE MELHORA DA ECONOMIA DA VENEZUELA</t>
        </is>
      </c>
      <c r="I1166" t="inlineStr">
        <is>
          <t>MAIS DÓLARES ESTÃO CIRCULANDO EM CARACAS, ONDE SURGEM DIVERSAS LOJAS DE PRODUTOS IMPORTADOS DE MIAMI. MAS ISSO INDICA UMA REAL RECUPERAÇÃO ECONÔMICA VENEZUELANA?</t>
        </is>
      </c>
      <c r="J1166" t="inlineStr"/>
      <c r="K1166" t="n">
        <v>0</v>
      </c>
      <c r="L1166" t="n">
        <v>1</v>
      </c>
      <c r="M1166" t="n">
        <v>0</v>
      </c>
      <c r="N1166" t="n">
        <v>0</v>
      </c>
      <c r="O1166" t="n">
        <v>0</v>
      </c>
      <c r="P1166">
        <f>HYPERLINK("https://g1.globo.com/economia/noticia/2019/12/28/o-que-ha-por-tras-da-aparente-melhora-da-economia-da-venezuela.ghtml", "URL")</f>
        <v/>
      </c>
      <c r="Q1166">
        <f>HYPERLINK("https://raw.githubusercontent.com/marcosmapl/dataset_imigrantes/main/materias_filtered/g1/venezuelanos/2019/11_dez/html/g1_9f927ec8-2315-11ed-b24f-6dbe51e79fca_3097.html", "HTML")</f>
        <v/>
      </c>
      <c r="R1166">
        <f>HYPERLINK("https://raw.githubusercontent.com/marcosmapl/dataset_imigrantes/main/materias_filtered/g1/venezuelanos/2019/11_dez/txt/g1_9f927ec8-2315-11ed-b24f-6dbe51e79fca_3097.txt", "TXT")</f>
        <v/>
      </c>
    </row>
    <row r="1167">
      <c r="A1167" s="1" t="n">
        <v>1165</v>
      </c>
      <c r="B1167" t="n">
        <v>2019</v>
      </c>
      <c r="C1167" s="2" t="n">
        <v>43827.73251157408</v>
      </c>
      <c r="D1167" t="inlineStr">
        <is>
          <t>A CRITICA</t>
        </is>
      </c>
      <c r="E1167" t="inlineStr">
        <is>
          <t>VENEZUELANOS</t>
        </is>
      </c>
      <c r="F1167" t="inlineStr"/>
      <c r="G1167" t="inlineStr">
        <is>
          <t>AFP</t>
        </is>
      </c>
      <c r="H1167" t="inlineStr">
        <is>
          <t>VENEZUELA EXIGE QUE BRASIL ENTREGUE MILITARES LOCALIZADOS EM RORAIMA</t>
        </is>
      </c>
      <c r="I1167" t="inlineStr">
        <is>
          <t>"ELES ESTAVAM DESARMADOS E FORAM LEVADOS PARA BOA VISTA (CAPITAL DO ESTADO), ONDE ESTÃO SENDO ENTREVISTADOS", DISSE UMA DECLARAÇÃO CONJUNTA DOS MINISTÉRIOS DAS RELAÇÕES EXTERIORES E DA DEFESA</t>
        </is>
      </c>
      <c r="J1167" t="inlineStr"/>
      <c r="K1167" t="n">
        <v>0</v>
      </c>
      <c r="L1167" t="n">
        <v>1</v>
      </c>
      <c r="M1167" t="n">
        <v>0</v>
      </c>
      <c r="N1167" t="n">
        <v>0</v>
      </c>
      <c r="O1167" t="n">
        <v>0</v>
      </c>
      <c r="P1167">
        <f>HYPERLINK("https://www.acritica.com/venezuela-exige-que-brasil-entregue-militares-localizados-em-roraima-1.51632", "URL")</f>
        <v/>
      </c>
      <c r="Q1167">
        <f>HYPERLINK("https://raw.githubusercontent.com/marcosmapl/dataset_imigrantes/main/materias_filtered/a_critica/venezuelanos/2019/11_dez/html/1.51632_517.html", "HTML")</f>
        <v/>
      </c>
      <c r="R1167">
        <f>HYPERLINK("https://raw.githubusercontent.com/marcosmapl/dataset_imigrantes/main/materias_filtered/a_critica/venezuelanos/2019/11_dez/txt/1.51632_517.txt", "TXT")</f>
        <v/>
      </c>
    </row>
    <row r="1168">
      <c r="A1168" s="1" t="n">
        <v>1166</v>
      </c>
      <c r="B1168" t="n">
        <v>2019</v>
      </c>
      <c r="C1168" s="2" t="n">
        <v>43827.49095451389</v>
      </c>
      <c r="D1168" t="inlineStr">
        <is>
          <t>G1</t>
        </is>
      </c>
      <c r="E1168" t="inlineStr">
        <is>
          <t>HAITIANOS</t>
        </is>
      </c>
      <c r="F1168" t="inlineStr">
        <is>
          <t>COMO SERÁ?</t>
        </is>
      </c>
      <c r="G1168" t="inlineStr">
        <is>
          <t>COMO SERÁ</t>
        </is>
      </c>
      <c r="H1168" t="inlineStr">
        <is>
          <t>'SABORES E SABERES DO MUNDO': APRENDA A FAZER UMA SOPA DE ABÓBORA HAITIANA</t>
        </is>
      </c>
      <c r="I1168" t="inlineStr">
        <is>
          <t>SOPA DE ABÓBORA É UM PRATO HAITIANO QUE, ALÉM DE MUITO SABOR, TEM MUITA HISTÓRIA: REPRESENTA A INDEPENDÊNCIA DO PAÍS.</t>
        </is>
      </c>
      <c r="J1168" t="inlineStr"/>
      <c r="K1168" t="n">
        <v>0</v>
      </c>
      <c r="L1168" t="n">
        <v>1</v>
      </c>
      <c r="M1168" t="n">
        <v>0</v>
      </c>
      <c r="N1168" t="n">
        <v>0</v>
      </c>
      <c r="O1168" t="n">
        <v>0</v>
      </c>
      <c r="P1168">
        <f>HYPERLINK("https://g1.globo.com/como-sera/noticia/2019/12/28/sabores-e-saberes-do-mundo-aprenda-a-fazer-uma-sopa-de-abobora-haitiana.ghtml", "URL")</f>
        <v/>
      </c>
      <c r="Q1168">
        <f>HYPERLINK("https://raw.githubusercontent.com/marcosmapl/dataset_imigrantes/main/materias_filtered/g1/haitianos/2019/11_dez/html/g1_d48a0ce0-22ed-11ed-b24f-6dbe51e79fca_1689.html", "HTML")</f>
        <v/>
      </c>
      <c r="R1168">
        <f>HYPERLINK("https://raw.githubusercontent.com/marcosmapl/dataset_imigrantes/main/materias_filtered/g1/haitianos/2019/11_dez/txt/g1_d48a0ce0-22ed-11ed-b24f-6dbe51e79fca_1689.txt", "TXT")</f>
        <v/>
      </c>
    </row>
    <row r="1169">
      <c r="A1169" s="1" t="n">
        <v>1167</v>
      </c>
      <c r="B1169" t="n">
        <v>2019</v>
      </c>
      <c r="C1169" s="2" t="n">
        <v>43826.81397863426</v>
      </c>
      <c r="D1169" t="inlineStr">
        <is>
          <t>G1</t>
        </is>
      </c>
      <c r="E1169" t="inlineStr">
        <is>
          <t>VENEZUELANOS</t>
        </is>
      </c>
      <c r="F1169" t="inlineStr">
        <is>
          <t>RORAIMA</t>
        </is>
      </c>
      <c r="G1169" t="inlineStr">
        <is>
          <t>G1 RR — BOA VISTA</t>
        </is>
      </c>
      <c r="H1169" t="inlineStr">
        <is>
          <t>EXÉRCITO ENCONTRA CINCO MILITARES VENEZUELANOS EM TERRA INDÍGENA DE RR</t>
        </is>
      </c>
      <c r="I1169" t="inlineStr">
        <is>
          <t>MILITARES VENEZUELANOS ESTAVAM DESARMADOS E FORAM LEVADOS À CAPITAL BOA VISTA. HÁ QUATRO DIAS UM DESTACAMENTO DA FORÇA ARMADA NA VENEZUELA FOI INVADIDO; REGIÃO É EM ÁREA DE FRONTEIRA COM RORAIMA.</t>
        </is>
      </c>
      <c r="J1169" t="inlineStr"/>
      <c r="K1169" t="n">
        <v>0</v>
      </c>
      <c r="L1169" t="n">
        <v>0</v>
      </c>
      <c r="M1169" t="n">
        <v>0</v>
      </c>
      <c r="N1169" t="n">
        <v>0</v>
      </c>
      <c r="O1169" t="n">
        <v>2</v>
      </c>
      <c r="P1169">
        <f>HYPERLINK("https://g1.globo.com/rr/roraima/noticia/2019/12/27/exercito-encontra-cinco-militares-venezuelanos-em-terra-indigena-de-rr.ghtml", "URL")</f>
        <v/>
      </c>
      <c r="Q1169">
        <f>HYPERLINK("https://raw.githubusercontent.com/marcosmapl/dataset_imigrantes/main/materias_filtered/g1/venezuelanos/2019/11_dez/html/g1_db6b703c-232c-11ed-b24f-6dbe51e79fca_4330.html", "HTML")</f>
        <v/>
      </c>
      <c r="R1169">
        <f>HYPERLINK("https://raw.githubusercontent.com/marcosmapl/dataset_imigrantes/main/materias_filtered/g1/venezuelanos/2019/11_dez/txt/g1_db6b703c-232c-11ed-b24f-6dbe51e79fca_4330.txt", "TXT")</f>
        <v/>
      </c>
    </row>
    <row r="1170">
      <c r="A1170" s="1" t="n">
        <v>1168</v>
      </c>
      <c r="B1170" t="n">
        <v>2019</v>
      </c>
      <c r="C1170" s="2" t="n">
        <v>43825.5125</v>
      </c>
      <c r="D1170" t="inlineStr">
        <is>
          <t>A CRITICA</t>
        </is>
      </c>
      <c r="E1170" t="inlineStr">
        <is>
          <t>HAITIANOS</t>
        </is>
      </c>
      <c r="F1170" t="inlineStr"/>
      <c r="G1170" t="inlineStr">
        <is>
          <t>PORTAL A CRÍTICA E AGÊNCIAS</t>
        </is>
      </c>
      <c r="H1170" t="inlineStr">
        <is>
          <t>SOLICITAÇÃO DE VISTO PARA CIDADÃOS HAITIANOS TEM NOVAS REGRAS NO BRASIL</t>
        </is>
      </c>
      <c r="I1170" t="inlineStr">
        <is>
          <t>SEGUNDO O MINISTÉRIO DA JUSTIÇA E O DAS RELAÇÕES EXTERIORES, A NOVA RESOLUÇÃO REDUZ OS PRAZOS E A BUROCRACIA PARA RETIRADA DO DOCUMENTO</t>
        </is>
      </c>
      <c r="J1170" t="inlineStr"/>
      <c r="K1170" t="n">
        <v>0</v>
      </c>
      <c r="L1170" t="n">
        <v>1</v>
      </c>
      <c r="M1170" t="n">
        <v>0</v>
      </c>
      <c r="N1170" t="n">
        <v>0</v>
      </c>
      <c r="O1170" t="n">
        <v>0</v>
      </c>
      <c r="P1170">
        <f>HYPERLINK("https://www.acritica.com/solicitac-o-de-visto-para-cidad-os-haitianos-tem-novas-regras-no-brasil-1.51364", "URL")</f>
        <v/>
      </c>
      <c r="Q1170">
        <f>HYPERLINK("https://raw.githubusercontent.com/marcosmapl/dataset_imigrantes/main/materias_filtered/a_critica/haitianos/2019/11_dez/html/1.51364_317.html", "HTML")</f>
        <v/>
      </c>
      <c r="R1170">
        <f>HYPERLINK("https://raw.githubusercontent.com/marcosmapl/dataset_imigrantes/main/materias_filtered/a_critica/haitianos/2019/11_dez/txt/1.51364_317.txt", "TXT")</f>
        <v/>
      </c>
    </row>
    <row r="1171">
      <c r="A1171" s="1" t="n">
        <v>1169</v>
      </c>
      <c r="B1171" t="n">
        <v>2019</v>
      </c>
      <c r="C1171" s="2" t="n">
        <v>43825.0209168287</v>
      </c>
      <c r="D1171" t="inlineStr">
        <is>
          <t>G1</t>
        </is>
      </c>
      <c r="E1171" t="inlineStr">
        <is>
          <t>VENEZUELANOS</t>
        </is>
      </c>
      <c r="F1171" t="inlineStr">
        <is>
          <t>JORNAL NACIONAL</t>
        </is>
      </c>
      <c r="G1171" t="inlineStr"/>
      <c r="H1171" t="inlineStr">
        <is>
          <t>CRIANÇAS VENEZUELANAS ACABAM NAS RUAS APÓS CRUZAR FRONTEIRA EM BUSCA DE AJUDA HUMANITÁRIA</t>
        </is>
      </c>
      <c r="I1171" t="inlineStr">
        <is>
          <t>LEVANTAMENTO INDICA QUE, DE MAIO DE 2018 ATÉ NOVEMBRO DE 2019, 529 CRIANÇAS E ADOLESCENTES ATRAVESSARAM A FRONTEIRA DA VENEZUELA COM O BRASIL. A MAIORIA TEM ENTRE 13 E 17 ANOS.</t>
        </is>
      </c>
      <c r="J1171" t="inlineStr"/>
      <c r="K1171" t="n">
        <v>0</v>
      </c>
      <c r="L1171" t="n">
        <v>1</v>
      </c>
      <c r="M1171" t="n">
        <v>1</v>
      </c>
      <c r="N1171" t="n">
        <v>0</v>
      </c>
      <c r="O1171" t="n">
        <v>0</v>
      </c>
      <c r="P1171">
        <f>HYPERLINK("https://g1.globo.com/jornal-nacional/noticia/2019/12/25/criancas-venezuelanas-acabam-nas-ruas-apos-cruzar-fronteira-em-busca-de-ajuda-humanitaria.ghtml", "URL")</f>
        <v/>
      </c>
      <c r="Q1171">
        <f>HYPERLINK("https://raw.githubusercontent.com/marcosmapl/dataset_imigrantes/main/materias_filtered/g1/venezuelanos/2019/11_dez/html/g1_093a619c-2320-11ed-b24f-6dbe51e79fca_3658.html", "HTML")</f>
        <v/>
      </c>
      <c r="R1171">
        <f>HYPERLINK("https://raw.githubusercontent.com/marcosmapl/dataset_imigrantes/main/materias_filtered/g1/venezuelanos/2019/11_dez/txt/g1_093a619c-2320-11ed-b24f-6dbe51e79fca_3658.txt", "TXT")</f>
        <v/>
      </c>
    </row>
    <row r="1172">
      <c r="A1172" s="1" t="n">
        <v>1170</v>
      </c>
      <c r="B1172" t="n">
        <v>2019</v>
      </c>
      <c r="C1172" s="2" t="n">
        <v>43824.90795318287</v>
      </c>
      <c r="D1172" t="inlineStr">
        <is>
          <t>G1</t>
        </is>
      </c>
      <c r="E1172" t="inlineStr">
        <is>
          <t>VENEZUELANOS</t>
        </is>
      </c>
      <c r="F1172" t="inlineStr">
        <is>
          <t>RIO GRANDE DO NORTE</t>
        </is>
      </c>
      <c r="G1172" t="inlineStr">
        <is>
          <t>SÉRGIO HENRIQUE SANTOS, INTER TV CABUGI</t>
        </is>
      </c>
      <c r="H1172" t="inlineStr">
        <is>
          <t>VOLUNTÁRIOS FAZEM CEIA DE NATAL PARA VENEZUELANOS REFUGIADOS NA CAPITAL POTIGUAR</t>
        </is>
      </c>
      <c r="I1172" t="inlineStr">
        <is>
          <t>ESTRANGEIROS QUE VIVEM NAS RUAS E EM UMA POUSADA NA ZONA OESTE DA CIDADE.</t>
        </is>
      </c>
      <c r="J1172" t="inlineStr"/>
      <c r="K1172" t="n">
        <v>0</v>
      </c>
      <c r="L1172" t="n">
        <v>1</v>
      </c>
      <c r="M1172" t="n">
        <v>0</v>
      </c>
      <c r="N1172" t="n">
        <v>0</v>
      </c>
      <c r="O1172" t="n">
        <v>0</v>
      </c>
      <c r="P1172">
        <f>HYPERLINK("https://g1.globo.com/rn/rio-grande-do-norte/noticia/2019/12/25/voluntarios-fazem-ceia-de-natal-para-venezuelanos-refugiados-na-capital-potiguar.ghtml", "URL")</f>
        <v/>
      </c>
      <c r="Q1172">
        <f>HYPERLINK("https://raw.githubusercontent.com/marcosmapl/dataset_imigrantes/main/materias_filtered/g1/venezuelanos/2019/11_dez/html/g1_d94ca714-2311-11ed-b24f-6dbe51e79fca_2937.html", "HTML")</f>
        <v/>
      </c>
      <c r="R1172">
        <f>HYPERLINK("https://raw.githubusercontent.com/marcosmapl/dataset_imigrantes/main/materias_filtered/g1/venezuelanos/2019/11_dez/txt/g1_d94ca714-2311-11ed-b24f-6dbe51e79fca_2937.txt", "TXT")</f>
        <v/>
      </c>
    </row>
    <row r="1173">
      <c r="A1173" s="1" t="n">
        <v>1171</v>
      </c>
      <c r="B1173" t="n">
        <v>2019</v>
      </c>
      <c r="C1173" s="2" t="n">
        <v>43824.82763925926</v>
      </c>
      <c r="D1173" t="inlineStr">
        <is>
          <t>G1</t>
        </is>
      </c>
      <c r="E1173" t="inlineStr">
        <is>
          <t>VENEZUELANOS</t>
        </is>
      </c>
      <c r="F1173" t="inlineStr">
        <is>
          <t>RONDÔNIA</t>
        </is>
      </c>
      <c r="G1173" t="inlineStr">
        <is>
          <t>REDE AMAZÔNICA</t>
        </is>
      </c>
      <c r="H1173" t="inlineStr">
        <is>
          <t>VENEZUELANOS PARTICIPAM DE CEIA DE NATAL EM ABRIGO DE PORTO VELHO</t>
        </is>
      </c>
      <c r="I1173" t="inlineStr">
        <is>
          <t>MAIS DE 40 PESSOAS PARTICIPARAM DA CEIA NA CASA DE ACOLHIMENTO FREI DAMIÃO NO DIA 24 DE DEZEMBRO. NOITE FOI DE PRESENTES E ESPERANÇA PARA OS IMIGRANTES.</t>
        </is>
      </c>
      <c r="J1173" t="inlineStr"/>
      <c r="K1173" t="n">
        <v>0</v>
      </c>
      <c r="L1173" t="n">
        <v>1</v>
      </c>
      <c r="M1173" t="n">
        <v>1</v>
      </c>
      <c r="N1173" t="n">
        <v>0</v>
      </c>
      <c r="O1173" t="n">
        <v>0</v>
      </c>
      <c r="P1173">
        <f>HYPERLINK("https://g1.globo.com/ro/rondonia/noticia/2019/12/25/venezuelanos-participam-de-ceia-de-natal-em-abrigo-de-porto-velho.ghtml", "URL")</f>
        <v/>
      </c>
      <c r="Q1173">
        <f>HYPERLINK("https://raw.githubusercontent.com/marcosmapl/dataset_imigrantes/main/materias_filtered/g1/venezuelanos/2019/11_dez/html/g1_b0d13406-2322-11ed-b24f-6dbe51e79fca_3767.html", "HTML")</f>
        <v/>
      </c>
      <c r="R1173">
        <f>HYPERLINK("https://raw.githubusercontent.com/marcosmapl/dataset_imigrantes/main/materias_filtered/g1/venezuelanos/2019/11_dez/txt/g1_b0d13406-2322-11ed-b24f-6dbe51e79fca_3767.txt", "TXT")</f>
        <v/>
      </c>
    </row>
    <row r="1174">
      <c r="A1174" s="1" t="n">
        <v>1172</v>
      </c>
      <c r="B1174" t="n">
        <v>2019</v>
      </c>
      <c r="C1174" s="2" t="n">
        <v>43824.60858796296</v>
      </c>
      <c r="D1174" t="inlineStr">
        <is>
          <t>A CRITICA</t>
        </is>
      </c>
      <c r="E1174" t="inlineStr">
        <is>
          <t>VENEZUELANOS</t>
        </is>
      </c>
      <c r="F1174" t="inlineStr"/>
      <c r="G1174" t="inlineStr">
        <is>
          <t>AFP</t>
        </is>
      </c>
      <c r="H1174" t="inlineStr">
        <is>
          <t>EM MENSAGEM DE NATAL, PAPA PEDE ESPERANÇA ÀS NAÇÕES AMERICANAS</t>
        </is>
      </c>
      <c r="I1174" t="inlineStr">
        <is>
          <t>LÍDER DA IGREJA CATÓLICA LANÇOU PALAVRAS ESPECÍFICAS PARA A VENEZUELA, PEDINDO QUE "O PEQUENO MENINO DE BELÉM ANIME O AMADO POVO VENEZUELANO" E QUE ELE POSSA RECEBER "A AJUDA DE QUE PRECISA"</t>
        </is>
      </c>
      <c r="J1174" t="inlineStr"/>
      <c r="K1174" t="n">
        <v>0</v>
      </c>
      <c r="L1174" t="n">
        <v>1</v>
      </c>
      <c r="M1174" t="n">
        <v>0</v>
      </c>
      <c r="N1174" t="n">
        <v>0</v>
      </c>
      <c r="O1174" t="n">
        <v>0</v>
      </c>
      <c r="P1174">
        <f>HYPERLINK("https://www.acritica.com/em-mensagem-de-natal-papa-pede-esperanca-as-nac-es-americanas-1.51412", "URL")</f>
        <v/>
      </c>
      <c r="Q1174">
        <f>HYPERLINK("https://raw.githubusercontent.com/marcosmapl/dataset_imigrantes/main/materias_filtered/a_critica/venezuelanos/2019/11_dez/html/1.51412_720.html", "HTML")</f>
        <v/>
      </c>
      <c r="R1174">
        <f>HYPERLINK("https://raw.githubusercontent.com/marcosmapl/dataset_imigrantes/main/materias_filtered/a_critica/venezuelanos/2019/11_dez/txt/1.51412_720.txt", "TXT")</f>
        <v/>
      </c>
    </row>
    <row r="1175">
      <c r="A1175" s="1" t="n">
        <v>1173</v>
      </c>
      <c r="B1175" t="n">
        <v>2019</v>
      </c>
      <c r="C1175" s="2" t="n">
        <v>43824.554919375</v>
      </c>
      <c r="D1175" t="inlineStr">
        <is>
          <t>G1</t>
        </is>
      </c>
      <c r="E1175" t="inlineStr">
        <is>
          <t>VENEZUELANOS</t>
        </is>
      </c>
      <c r="F1175" t="inlineStr">
        <is>
          <t>RORAIMA</t>
        </is>
      </c>
      <c r="G1175" t="inlineStr">
        <is>
          <t>EMILY COSTA, G1 RR — BOA VISTA</t>
        </is>
      </c>
      <c r="H1175" t="inlineStr">
        <is>
          <t>VENEZUELANO PROCURADO PELA INTERPOL POR TRÁFICO E LAVAGEM DE DINHEIRO É PRESO EM BOA VISTA</t>
        </is>
      </c>
      <c r="I1175" t="inlineStr">
        <is>
          <t>ROBERTO ANTONIO ESPEJO CAMACHO ERA PROCURADO POR CRIMES COMETIDOS NA REPÚBLICA DOMINICANA. NO INÍCIO DESTE MÊS ELE TAMBÉM FOI PRESO POR LIGAÇÃO COM CONTRABANDO DE OURO EM RORAIMA.</t>
        </is>
      </c>
      <c r="J1175" t="inlineStr"/>
      <c r="K1175" t="n">
        <v>0</v>
      </c>
      <c r="L1175" t="n">
        <v>1</v>
      </c>
      <c r="M1175" t="n">
        <v>0</v>
      </c>
      <c r="N1175" t="n">
        <v>0</v>
      </c>
      <c r="O1175" t="n">
        <v>3</v>
      </c>
      <c r="P1175">
        <f>HYPERLINK("https://g1.globo.com/rr/roraima/noticia/2019/12/25/venezuelano-procurado-pela-interpol-e-preso-em-boa-vista.ghtml", "URL")</f>
        <v/>
      </c>
      <c r="Q1175">
        <f>HYPERLINK("https://raw.githubusercontent.com/marcosmapl/dataset_imigrantes/main/materias_filtered/g1/venezuelanos/2019/11_dez/html/g1_f6145156-232c-11ed-b24f-6dbe51e79fca_4336.html", "HTML")</f>
        <v/>
      </c>
      <c r="R1175">
        <f>HYPERLINK("https://raw.githubusercontent.com/marcosmapl/dataset_imigrantes/main/materias_filtered/g1/venezuelanos/2019/11_dez/txt/g1_f6145156-232c-11ed-b24f-6dbe51e79fca_4336.txt", "TXT")</f>
        <v/>
      </c>
    </row>
    <row r="1176">
      <c r="A1176" s="1" t="n">
        <v>1174</v>
      </c>
      <c r="B1176" t="n">
        <v>2019</v>
      </c>
      <c r="C1176" s="2" t="n">
        <v>43824.52310813657</v>
      </c>
      <c r="D1176" t="inlineStr">
        <is>
          <t>G1</t>
        </is>
      </c>
      <c r="E1176" t="inlineStr">
        <is>
          <t>VENEZUELANOS</t>
        </is>
      </c>
      <c r="F1176" t="inlineStr">
        <is>
          <t>BAHIA</t>
        </is>
      </c>
      <c r="G1176" t="inlineStr">
        <is>
          <t>G1 BA</t>
        </is>
      </c>
      <c r="H1176" t="inlineStr">
        <is>
          <t>MAIS DE 50 REFUGIADOS VENEZUELANOS SÃO ACOLHIDOS NA BASE AÉREA DE SALVADOR</t>
        </is>
      </c>
      <c r="I1176" t="inlineStr">
        <is>
          <t>NO LOCAL, VENEZUELANOS JANTARAM E DESCANSARAM. ELES SERÃO ENCAMINHADOS PARA DIVERSAS CIDADES DO NORDESTE BRASILEIRO.</t>
        </is>
      </c>
      <c r="J1176" t="inlineStr"/>
      <c r="K1176" t="n">
        <v>0</v>
      </c>
      <c r="L1176" t="n">
        <v>2</v>
      </c>
      <c r="M1176" t="n">
        <v>0</v>
      </c>
      <c r="N1176" t="n">
        <v>0</v>
      </c>
      <c r="O1176" t="n">
        <v>2</v>
      </c>
      <c r="P1176">
        <f>HYPERLINK("https://g1.globo.com/ba/bahia/noticia/2019/12/25/mai-de-50-refugiados-venezuelanos-sao-acolhidos-na-base-aerea-de-salvador.ghtml", "URL")</f>
        <v/>
      </c>
      <c r="Q1176">
        <f>HYPERLINK("https://raw.githubusercontent.com/marcosmapl/dataset_imigrantes/main/materias_filtered/g1/venezuelanos/2019/11_dez/html/g1_8191f320-231c-11ed-b24f-6dbe51e79fca_3448.html", "HTML")</f>
        <v/>
      </c>
      <c r="R1176">
        <f>HYPERLINK("https://raw.githubusercontent.com/marcosmapl/dataset_imigrantes/main/materias_filtered/g1/venezuelanos/2019/11_dez/txt/g1_8191f320-231c-11ed-b24f-6dbe51e79fca_3448.txt", "TXT")</f>
        <v/>
      </c>
    </row>
    <row r="1177">
      <c r="A1177" s="1" t="n">
        <v>1175</v>
      </c>
      <c r="B1177" t="n">
        <v>2019</v>
      </c>
      <c r="C1177" s="2" t="n">
        <v>43824.02925465278</v>
      </c>
      <c r="D1177" t="inlineStr">
        <is>
          <t>G1</t>
        </is>
      </c>
      <c r="E1177" t="inlineStr">
        <is>
          <t>HAITIANOS</t>
        </is>
      </c>
      <c r="F1177" t="inlineStr">
        <is>
          <t>SANTA CATARINA</t>
        </is>
      </c>
      <c r="G1177" t="inlineStr">
        <is>
          <t>LISANDRA OLIVEIRA, NSC TV</t>
        </is>
      </c>
      <c r="H1177" t="inlineStr">
        <is>
          <t>POLÍCIA IDENTIFICA MOTORISTA SUSPEITO DE ATROPELAR CASAL DE HAITIANOS EM SC</t>
        </is>
      </c>
      <c r="I1177" t="inlineStr">
        <is>
          <t>HOMEM SE APRESENTOU À POLÍCIA, MAS NÃO FOI PRESO. HAITIANO MORREU ATROPELADO E MULHER, QUE ESTAVA GRÁVIDA, PERDEU O BEBÊ. ELA SEGUE INTERNADA.</t>
        </is>
      </c>
      <c r="J1177" t="inlineStr"/>
      <c r="K1177" t="n">
        <v>0</v>
      </c>
      <c r="L1177" t="n">
        <v>2</v>
      </c>
      <c r="M1177" t="n">
        <v>1</v>
      </c>
      <c r="N1177" t="n">
        <v>0</v>
      </c>
      <c r="O1177" t="n">
        <v>3</v>
      </c>
      <c r="P1177">
        <f>HYPERLINK("https://g1.globo.com/sc/santa-catarina/noticia/2019/12/24/policia-identifica-motorista-suspeito-de-atropelar-casal-de-haitianos-em-sc.ghtml", "URL")</f>
        <v/>
      </c>
      <c r="Q1177">
        <f>HYPERLINK("https://raw.githubusercontent.com/marcosmapl/dataset_imigrantes/main/materias_filtered/g1/haitianos/2019/11_dez/html/g1_ab9f82c2-22f9-11ed-b24f-6dbe51e79fca_2177.html", "HTML")</f>
        <v/>
      </c>
      <c r="R1177">
        <f>HYPERLINK("https://raw.githubusercontent.com/marcosmapl/dataset_imigrantes/main/materias_filtered/g1/haitianos/2019/11_dez/txt/g1_ab9f82c2-22f9-11ed-b24f-6dbe51e79fca_2177.txt", "TXT")</f>
        <v/>
      </c>
    </row>
    <row r="1178">
      <c r="A1178" s="1" t="n">
        <v>1176</v>
      </c>
      <c r="B1178" t="n">
        <v>2019</v>
      </c>
      <c r="C1178" s="2" t="n">
        <v>43823.885165</v>
      </c>
      <c r="D1178" t="inlineStr">
        <is>
          <t>G1</t>
        </is>
      </c>
      <c r="E1178" t="inlineStr">
        <is>
          <t>VENEZUELANOS</t>
        </is>
      </c>
      <c r="F1178" t="inlineStr">
        <is>
          <t>RORAIMA</t>
        </is>
      </c>
      <c r="G1178" t="inlineStr">
        <is>
          <t>REDE AMAZÔNICA RORAIMA — BOA VISTA</t>
        </is>
      </c>
      <c r="H1178" t="inlineStr">
        <is>
          <t>VENEZUELANOS QUE VIVEM EM ABRIGO PREPARAM CEIA DE NATAL TÍPICA EM BOA VISTA</t>
        </is>
      </c>
      <c r="I1178" t="inlineStr">
        <is>
          <t>AÇÃO OCORRE NO CENTRO DE ACOLHIMENTO FRATERNIDADE SEM FRONTEIRAS E DEVE BENEFICIAR 275 FAMÍLIAS.</t>
        </is>
      </c>
      <c r="J1178" t="inlineStr"/>
      <c r="K1178" t="n">
        <v>0</v>
      </c>
      <c r="L1178" t="n">
        <v>2</v>
      </c>
      <c r="M1178" t="n">
        <v>0</v>
      </c>
      <c r="N1178" t="n">
        <v>0</v>
      </c>
      <c r="O1178" t="n">
        <v>1</v>
      </c>
      <c r="P1178">
        <f>HYPERLINK("https://g1.globo.com/rr/roraima/noticia/2019/12/24/venezuelanos-que-vivem-em-abrigo-preparam-ceia-de-natal-tipica-em-boa-vista.ghtml", "URL")</f>
        <v/>
      </c>
      <c r="Q1178">
        <f>HYPERLINK("https://raw.githubusercontent.com/marcosmapl/dataset_imigrantes/main/materias_filtered/g1/venezuelanos/2019/11_dez/html/g1_98271b7c-230f-11ed-b24f-6dbe51e79fca_2806.html", "HTML")</f>
        <v/>
      </c>
      <c r="R1178">
        <f>HYPERLINK("https://raw.githubusercontent.com/marcosmapl/dataset_imigrantes/main/materias_filtered/g1/venezuelanos/2019/11_dez/txt/g1_98271b7c-230f-11ed-b24f-6dbe51e79fca_2806.txt", "TXT")</f>
        <v/>
      </c>
    </row>
    <row r="1179">
      <c r="A1179" s="1" t="n">
        <v>1177</v>
      </c>
      <c r="B1179" t="n">
        <v>2019</v>
      </c>
      <c r="C1179" s="2" t="n">
        <v>43823.67486791666</v>
      </c>
      <c r="D1179" t="inlineStr">
        <is>
          <t>G1</t>
        </is>
      </c>
      <c r="E1179" t="inlineStr">
        <is>
          <t>VENEZUELANOS</t>
        </is>
      </c>
      <c r="F1179" t="inlineStr">
        <is>
          <t>SANTA CATARINA</t>
        </is>
      </c>
      <c r="G1179" t="inlineStr">
        <is>
          <t>KAROLLAYNE ROSA E VALÉRIA MARTINS, G1 SC E NSC TV</t>
        </is>
      </c>
      <c r="H1179" t="inlineStr">
        <is>
          <t>IMIGRANTES VENEZUELANOS QUE DIZEM TER CHEGADO 'OBRIGADOS' A FLORIANÓPOLIS RETORNAM A ITAJAÍ</t>
        </is>
      </c>
      <c r="I1179" t="inlineStr">
        <is>
          <t>VAN ENVIADA POR PREFEITURA DA CIDADE DO VALE DEIXOU A CAPITAL NA TARDE DESTA TERÇA. FAMÍLIAS CHEGARAM NA SEGUNDA-FEIRA EM FLORIANÓPOLIS E DISSERAM QUE FORAM OBRIGADOS A ENTRAR EM VEÍCULO.</t>
        </is>
      </c>
      <c r="J1179" t="inlineStr"/>
      <c r="K1179" t="n">
        <v>0</v>
      </c>
      <c r="L1179" t="n">
        <v>4</v>
      </c>
      <c r="M1179" t="n">
        <v>2</v>
      </c>
      <c r="N1179" t="n">
        <v>0</v>
      </c>
      <c r="O1179" t="n">
        <v>4</v>
      </c>
      <c r="P1179">
        <f>HYPERLINK("https://g1.globo.com/sc/santa-catarina/noticia/2019/12/24/imigrante-indigenas-que-afirmam-terem-sido-levados-obrigados-a-florianopolis-retornam-a-itajai.ghtml", "URL")</f>
        <v/>
      </c>
      <c r="Q1179">
        <f>HYPERLINK("https://raw.githubusercontent.com/marcosmapl/dataset_imigrantes/main/materias_filtered/g1/venezuelanos/2019/11_dez/html/g1_787d165a-231e-11ed-b24f-6dbe51e79fca_3563.html", "HTML")</f>
        <v/>
      </c>
      <c r="R1179">
        <f>HYPERLINK("https://raw.githubusercontent.com/marcosmapl/dataset_imigrantes/main/materias_filtered/g1/venezuelanos/2019/11_dez/txt/g1_787d165a-231e-11ed-b24f-6dbe51e79fca_3563.txt", "TXT")</f>
        <v/>
      </c>
    </row>
    <row r="1180">
      <c r="A1180" s="1" t="n">
        <v>1178</v>
      </c>
      <c r="B1180" t="n">
        <v>2019</v>
      </c>
      <c r="C1180" s="2" t="n">
        <v>43823.33394449074</v>
      </c>
      <c r="D1180" t="inlineStr">
        <is>
          <t>G1</t>
        </is>
      </c>
      <c r="E1180" t="inlineStr">
        <is>
          <t>VENEZUELANOS</t>
        </is>
      </c>
      <c r="F1180" t="inlineStr">
        <is>
          <t>CEARÁ</t>
        </is>
      </c>
      <c r="G1180" t="inlineStr">
        <is>
          <t>THEYSE VIANA, G1 CE</t>
        </is>
      </c>
      <c r="H1180" t="inlineStr">
        <is>
          <t>EX-REFUGIADO VENEZUELANO E MULHER PASSAM PRIMEIRO NATAL LONGE DA FAMÍLIA, EM FORTALEZA</t>
        </is>
      </c>
      <c r="I1180" t="inlineStr">
        <is>
          <t>FILENS STEVEN E VANESSA RUIZ ESTÃO NA CAPITAL CEARENSE HÁ CINCO MESES, ONDE CONSEGUIRAM EMPREGOS FORMAIS E REFÚGIO DOS PROBLEMAS POLÍTICOS E SOCIOECONÔMICOS DA VENEZUELA.</t>
        </is>
      </c>
      <c r="J1180" t="inlineStr"/>
      <c r="K1180" t="n">
        <v>0</v>
      </c>
      <c r="L1180" t="n">
        <v>2</v>
      </c>
      <c r="M1180" t="n">
        <v>0</v>
      </c>
      <c r="N1180" t="n">
        <v>0</v>
      </c>
      <c r="O1180" t="n">
        <v>1</v>
      </c>
      <c r="P1180">
        <f>HYPERLINK("https://g1.globo.com/ce/ceara/noticia/2019/12/24/ex-refugiado-venezuelano-e-mulher-passam-primeiro-natal-longe-da-familia-em-fortaleza.ghtml", "URL")</f>
        <v/>
      </c>
      <c r="Q1180">
        <f>HYPERLINK("https://raw.githubusercontent.com/marcosmapl/dataset_imigrantes/main/materias_filtered/g1/venezuelanos/2019/11_dez/html/g1_35dcb4ba-2321-11ed-b24f-6dbe51e79fca_3685.html", "HTML")</f>
        <v/>
      </c>
      <c r="R1180">
        <f>HYPERLINK("https://raw.githubusercontent.com/marcosmapl/dataset_imigrantes/main/materias_filtered/g1/venezuelanos/2019/11_dez/txt/g1_35dcb4ba-2321-11ed-b24f-6dbe51e79fca_3685.txt", "TXT")</f>
        <v/>
      </c>
    </row>
    <row r="1181">
      <c r="A1181" s="1" t="n">
        <v>1179</v>
      </c>
      <c r="B1181" t="n">
        <v>2019</v>
      </c>
      <c r="C1181" s="2" t="n">
        <v>43823.10883104167</v>
      </c>
      <c r="D1181" t="inlineStr">
        <is>
          <t>G1</t>
        </is>
      </c>
      <c r="E1181" t="inlineStr">
        <is>
          <t>VENEZUELANOS</t>
        </is>
      </c>
      <c r="F1181" t="inlineStr">
        <is>
          <t>SANTA CATARINA</t>
        </is>
      </c>
      <c r="G1181" t="inlineStr">
        <is>
          <t>G1 SC</t>
        </is>
      </c>
      <c r="H1181" t="inlineStr">
        <is>
          <t>PREFEITURA REGISTRA BOLETIM DE OCORRÊNCIA APÓS VENEZUELANOS CHEGAREM A FLORIANÓPOLIS 'OBRIGADOS'</t>
        </is>
      </c>
      <c r="I1181" t="inlineStr">
        <is>
          <t>"DESTINO FINAL ERA ITAJAÍ, LÁ FORAM OBRIGADOS A EMBARCAR E VIR ATÉ A CAPITAL", EXPLICOU SECRETÁRIA DA ASSISTÊNCIA SOCIAL DE FLORIANÓPOLIS.  CASO OCORREU NA SEGUNDA E PREFEITURA DE ITAJAÍ NEGA TRANSFERÊNCIA DE IMIGRANTES.</t>
        </is>
      </c>
      <c r="J1181" t="inlineStr"/>
      <c r="K1181" t="n">
        <v>0</v>
      </c>
      <c r="L1181" t="n">
        <v>2</v>
      </c>
      <c r="M1181" t="n">
        <v>1</v>
      </c>
      <c r="N1181" t="n">
        <v>0</v>
      </c>
      <c r="O1181" t="n">
        <v>4</v>
      </c>
      <c r="P1181">
        <f>HYPERLINK("https://g1.globo.com/sc/santa-catarina/noticia/2019/12/23/prefeitura-registra-boletim-de-ocorrencia-apos-venezuelanos-chegarem-a-florianopolis-obrigados.ghtml", "URL")</f>
        <v/>
      </c>
      <c r="Q1181">
        <f>HYPERLINK("https://raw.githubusercontent.com/marcosmapl/dataset_imigrantes/main/materias_filtered/g1/venezuelanos/2019/11_dez/html/g1_5373be34-2316-11ed-b24f-6dbe51e79fca_3140.html", "HTML")</f>
        <v/>
      </c>
      <c r="R1181">
        <f>HYPERLINK("https://raw.githubusercontent.com/marcosmapl/dataset_imigrantes/main/materias_filtered/g1/venezuelanos/2019/11_dez/txt/g1_5373be34-2316-11ed-b24f-6dbe51e79fca_3140.txt", "TXT")</f>
        <v/>
      </c>
    </row>
    <row r="1182">
      <c r="A1182" s="1" t="n">
        <v>1180</v>
      </c>
      <c r="B1182" t="n">
        <v>2019</v>
      </c>
      <c r="C1182" s="2" t="n">
        <v>43822.91672252315</v>
      </c>
      <c r="D1182" t="inlineStr">
        <is>
          <t>G1</t>
        </is>
      </c>
      <c r="E1182" t="inlineStr">
        <is>
          <t>HAITIANOS</t>
        </is>
      </c>
      <c r="F1182" t="inlineStr">
        <is>
          <t>SANTA CATARINA</t>
        </is>
      </c>
      <c r="G1182" t="inlineStr">
        <is>
          <t>G1 SC</t>
        </is>
      </c>
      <c r="H1182" t="inlineStr">
        <is>
          <t>HAITIANO MORRE ATROPELADO E MULHER GRÁVIDA FICA FERIDA EM RODOVIA NO NORTE DE SC</t>
        </is>
      </c>
      <c r="I1182" t="inlineStr">
        <is>
          <t>MOTORISTA QUE ATINGIU CASAL NO ACOSTAMENTO EM ARAQUARI FUGIU SEM PRESTAR SOCORRO E AINDA NÃO FOI IDENTIFICADO, SEGUNDO POLÍCIA MILITAR RODOVIÁRIA.</t>
        </is>
      </c>
      <c r="J1182" t="inlineStr"/>
      <c r="K1182" t="n">
        <v>0</v>
      </c>
      <c r="L1182" t="n">
        <v>2</v>
      </c>
      <c r="M1182" t="n">
        <v>1</v>
      </c>
      <c r="N1182" t="n">
        <v>0</v>
      </c>
      <c r="O1182" t="n">
        <v>2</v>
      </c>
      <c r="P1182">
        <f>HYPERLINK("https://g1.globo.com/sc/santa-catarina/noticia/2019/12/23/haitiano-morre-atropelado-e-mulher-gravida-fica-ferida-em-rodovia-no-norte-de-sc.ghtml", "URL")</f>
        <v/>
      </c>
      <c r="Q1182">
        <f>HYPERLINK("https://raw.githubusercontent.com/marcosmapl/dataset_imigrantes/main/materias_filtered/g1/haitianos/2019/11_dez/html/g1_250464b6-22f5-11ed-b24f-6dbe51e79fca_1934.html", "HTML")</f>
        <v/>
      </c>
      <c r="R1182">
        <f>HYPERLINK("https://raw.githubusercontent.com/marcosmapl/dataset_imigrantes/main/materias_filtered/g1/haitianos/2019/11_dez/txt/g1_250464b6-22f5-11ed-b24f-6dbe51e79fca_1934.txt", "TXT")</f>
        <v/>
      </c>
    </row>
    <row r="1183">
      <c r="A1183" s="1" t="n">
        <v>1181</v>
      </c>
      <c r="B1183" t="n">
        <v>2019</v>
      </c>
      <c r="C1183" s="2" t="n">
        <v>43822.74332688657</v>
      </c>
      <c r="D1183" t="inlineStr">
        <is>
          <t>G1</t>
        </is>
      </c>
      <c r="E1183" t="inlineStr">
        <is>
          <t>VENEZUELANOS</t>
        </is>
      </c>
      <c r="F1183" t="inlineStr">
        <is>
          <t>RORAIMA</t>
        </is>
      </c>
      <c r="G1183" t="inlineStr">
        <is>
          <t>G1 RR</t>
        </is>
      </c>
      <c r="H1183" t="inlineStr">
        <is>
          <t>CRIANÇAS RECEBEM BRINQUEDOS DOADOS EM CAMPANHA DE NATAL DA REDE AMAZÔNICA EM RR</t>
        </is>
      </c>
      <c r="I1183" t="inlineStr">
        <is>
          <t>AÇÃO BENEFICIOU 400 CRIANÇAS VENEZUELANAS EM BOA VISTA.</t>
        </is>
      </c>
      <c r="J1183" t="inlineStr"/>
      <c r="K1183" t="n">
        <v>0</v>
      </c>
      <c r="L1183" t="n">
        <v>2</v>
      </c>
      <c r="M1183" t="n">
        <v>0</v>
      </c>
      <c r="N1183" t="n">
        <v>0</v>
      </c>
      <c r="O1183" t="n">
        <v>1</v>
      </c>
      <c r="P1183">
        <f>HYPERLINK("https://g1.globo.com/rr/roraima/noticia/2019/12/23/criancas-recebem-brinquedos-doados-em-campanha-de-natal-da-rede-amazonica-em-rr.ghtml", "URL")</f>
        <v/>
      </c>
      <c r="Q1183">
        <f>HYPERLINK("https://raw.githubusercontent.com/marcosmapl/dataset_imigrantes/main/materias_filtered/g1/venezuelanos/2019/11_dez/html/g1_677e1c08-232a-11ed-b24f-6dbe51e79fca_4177.html", "HTML")</f>
        <v/>
      </c>
      <c r="R1183">
        <f>HYPERLINK("https://raw.githubusercontent.com/marcosmapl/dataset_imigrantes/main/materias_filtered/g1/venezuelanos/2019/11_dez/txt/g1_677e1c08-232a-11ed-b24f-6dbe51e79fca_4177.txt", "TXT")</f>
        <v/>
      </c>
    </row>
    <row r="1184">
      <c r="A1184" s="1" t="n">
        <v>1182</v>
      </c>
      <c r="B1184" t="n">
        <v>2019</v>
      </c>
      <c r="C1184" s="2" t="n">
        <v>43822.71249371528</v>
      </c>
      <c r="D1184" t="inlineStr">
        <is>
          <t>G1</t>
        </is>
      </c>
      <c r="E1184" t="inlineStr">
        <is>
          <t>HAITIANOS</t>
        </is>
      </c>
      <c r="F1184" t="inlineStr">
        <is>
          <t>MUNDO</t>
        </is>
      </c>
      <c r="G1184" t="inlineStr">
        <is>
          <t>G1</t>
        </is>
      </c>
      <c r="H1184" t="inlineStr">
        <is>
          <t>COM 30 MIL PEDIDOS DE REFÚGIO PENDENTES, GOVERNO FACILITA AUTORIZAÇÃO DE RESIDÊNCIA PARA HAITIANOS</t>
        </is>
      </c>
      <c r="I1184" t="inlineStr">
        <is>
          <t>SOLICITANTES PODERÃO APRESENTAR SOMENTE OS DOCUMENTOS QUE TIVEREM EM MÃOS. SEGUNDO MINISTÉRIO DA JUSTIÇA E SEGURANÇA PÚBLICA, IMIGRAÇÃO DE CIDADÃOS DO HAITI OCORRE DEVIDO AOS DESASTRES NATURAIS NO PAÍS — CONDIÇÃO QUE NÃO SE ENQUADRA NAS CATEGORIAS DE REFÚGIO.</t>
        </is>
      </c>
      <c r="J1184" t="inlineStr"/>
      <c r="K1184" t="n">
        <v>0</v>
      </c>
      <c r="L1184" t="n">
        <v>2</v>
      </c>
      <c r="M1184" t="n">
        <v>1</v>
      </c>
      <c r="N1184" t="n">
        <v>0</v>
      </c>
      <c r="O1184" t="n">
        <v>10</v>
      </c>
      <c r="P1184">
        <f>HYPERLINK("https://g1.globo.com/mundo/noticia/2019/12/23/com-30-mil-pedidos-de-refugio-pendentes-governo-facilita-autorizacao-de-residencia-para-haitianos.ghtml", "URL")</f>
        <v/>
      </c>
      <c r="Q1184">
        <f>HYPERLINK("https://raw.githubusercontent.com/marcosmapl/dataset_imigrantes/main/materias_filtered/g1/haitianos/2019/11_dez/html/g1_9e101be0-22f3-11ed-b24f-6dbe51e79fca_1849.html", "HTML")</f>
        <v/>
      </c>
      <c r="R1184">
        <f>HYPERLINK("https://raw.githubusercontent.com/marcosmapl/dataset_imigrantes/main/materias_filtered/g1/haitianos/2019/11_dez/txt/g1_9e101be0-22f3-11ed-b24f-6dbe51e79fca_1849.txt", "TXT")</f>
        <v/>
      </c>
    </row>
    <row r="1185">
      <c r="A1185" s="1" t="n">
        <v>1183</v>
      </c>
      <c r="B1185" t="n">
        <v>2019</v>
      </c>
      <c r="C1185" s="2" t="n">
        <v>43822.68937820602</v>
      </c>
      <c r="D1185" t="inlineStr">
        <is>
          <t>G1</t>
        </is>
      </c>
      <c r="E1185" t="inlineStr">
        <is>
          <t>VENEZUELANOS</t>
        </is>
      </c>
      <c r="F1185" t="inlineStr">
        <is>
          <t>MARANHÃO</t>
        </is>
      </c>
      <c r="G1185" t="inlineStr">
        <is>
          <t>G1 MA — SÃO LUÍS, MA</t>
        </is>
      </c>
      <c r="H1185" t="inlineStr">
        <is>
          <t>BRIGA ENTRE ÍNDIOS VENEZUELANOS TERMINA COM DOIS ESFAQUEADOS NO MARANHÃO</t>
        </is>
      </c>
      <c r="I1185" t="inlineStr">
        <is>
          <t>ESTA FOI A TERCEIRA CONFUSÃO ENTRE OS INDÍGENAS, QUE CHEGARAM À FUNAI FUGINDO DA CRISE HUMANITÁRIA NA VENEZUELA HÁ CERCA DE DOIS MESES</t>
        </is>
      </c>
      <c r="J1185" t="inlineStr"/>
      <c r="K1185" t="n">
        <v>0</v>
      </c>
      <c r="L1185" t="n">
        <v>3</v>
      </c>
      <c r="M1185" t="n">
        <v>1</v>
      </c>
      <c r="N1185" t="n">
        <v>0</v>
      </c>
      <c r="O1185" t="n">
        <v>1</v>
      </c>
      <c r="P1185">
        <f>HYPERLINK("https://g1.globo.com/ma/maranhao/noticia/2019/12/23/briga-entre-indios-venezuelanos-termina-com-dois-esfaqueados.ghtml", "URL")</f>
        <v/>
      </c>
      <c r="Q1185">
        <f>HYPERLINK("https://raw.githubusercontent.com/marcosmapl/dataset_imigrantes/main/materias_filtered/g1/venezuelanos/2019/11_dez/html/g1_0ff79ba8-2316-11ed-b24f-6dbe51e79fca_3124.html", "HTML")</f>
        <v/>
      </c>
      <c r="R1185">
        <f>HYPERLINK("https://raw.githubusercontent.com/marcosmapl/dataset_imigrantes/main/materias_filtered/g1/venezuelanos/2019/11_dez/txt/g1_0ff79ba8-2316-11ed-b24f-6dbe51e79fca_3124.txt", "TXT")</f>
        <v/>
      </c>
    </row>
    <row r="1186">
      <c r="A1186" s="1" t="n">
        <v>1184</v>
      </c>
      <c r="B1186" t="n">
        <v>2019</v>
      </c>
      <c r="C1186" s="2" t="n">
        <v>43821.72166959491</v>
      </c>
      <c r="D1186" t="inlineStr">
        <is>
          <t>G1</t>
        </is>
      </c>
      <c r="E1186" t="inlineStr">
        <is>
          <t>HAITIANOS</t>
        </is>
      </c>
      <c r="F1186" t="inlineStr">
        <is>
          <t>RORAIMA</t>
        </is>
      </c>
      <c r="G1186" t="inlineStr">
        <is>
          <t>G1 RR</t>
        </is>
      </c>
      <c r="H1186" t="inlineStr">
        <is>
          <t>VOCÊ VIU? IMIGRAÇÃO DE HAITIANOS, ASSALTO A CASA DE DEPUTADO E AUMENTO PARA DELEGADOS EM RR</t>
        </is>
      </c>
      <c r="I1186" t="inlineStr">
        <is>
          <t>VEJA AS NOTÍCIAS MAIS LIDAS NO G1 RORAIMA ENTRE 15 E 21 DE DEZEMBRO.</t>
        </is>
      </c>
      <c r="J1186" t="inlineStr"/>
      <c r="K1186" t="n">
        <v>0</v>
      </c>
      <c r="L1186" t="n">
        <v>3</v>
      </c>
      <c r="M1186" t="n">
        <v>1</v>
      </c>
      <c r="N1186" t="n">
        <v>0</v>
      </c>
      <c r="O1186" t="n">
        <v>14</v>
      </c>
      <c r="P1186">
        <f>HYPERLINK("https://g1.globo.com/rr/roraima/noticia/2019/12/22/voce-viu-imigracao-de-haitianos-assalto-a-casa-de-deputado-e-aumento-para-delegados-em-rr.ghtml", "URL")</f>
        <v/>
      </c>
      <c r="Q1186">
        <f>HYPERLINK("https://raw.githubusercontent.com/marcosmapl/dataset_imigrantes/main/materias_filtered/g1/haitianos/2019/11_dez/html/g1_bcedd458-22f3-11ed-b24f-6dbe51e79fca_1855.html", "HTML")</f>
        <v/>
      </c>
      <c r="R1186">
        <f>HYPERLINK("https://raw.githubusercontent.com/marcosmapl/dataset_imigrantes/main/materias_filtered/g1/haitianos/2019/11_dez/txt/g1_bcedd458-22f3-11ed-b24f-6dbe51e79fca_1855.txt", "TXT")</f>
        <v/>
      </c>
    </row>
    <row r="1187">
      <c r="A1187" s="1" t="n">
        <v>1185</v>
      </c>
      <c r="B1187" t="n">
        <v>2019</v>
      </c>
      <c r="C1187" s="2" t="n">
        <v>43820.44738828704</v>
      </c>
      <c r="D1187" t="inlineStr">
        <is>
          <t>G1</t>
        </is>
      </c>
      <c r="E1187" t="inlineStr">
        <is>
          <t>VENEZUELANOS</t>
        </is>
      </c>
      <c r="F1187" t="inlineStr">
        <is>
          <t>COMO SERÁ?</t>
        </is>
      </c>
      <c r="G1187" t="inlineStr"/>
      <c r="H1187" t="inlineStr">
        <is>
          <t>APRENDA A FAZER AHYACA, PRATO TÍPICO NATALINO DA VENEZUELA</t>
        </is>
      </c>
      <c r="I1187" t="inlineStr">
        <is>
          <t>NA SÉRIE 'SABERES E SABORES DO MUNDO', A REFUGIADA VENEZUELANA ADRIANA FALA SOBRE SUA NOVA VIDA NO BRASIL E ENSINA RECEITA À REPÓRTER MARIANE SALERNO, DO COMO SERÁ.</t>
        </is>
      </c>
      <c r="J1187" t="inlineStr"/>
      <c r="K1187" t="n">
        <v>0</v>
      </c>
      <c r="L1187" t="n">
        <v>1</v>
      </c>
      <c r="M1187" t="n">
        <v>0</v>
      </c>
      <c r="N1187" t="n">
        <v>0</v>
      </c>
      <c r="O1187" t="n">
        <v>0</v>
      </c>
      <c r="P1187">
        <f>HYPERLINK("https://g1.globo.com/como-sera/interatividade/noticia/2019/12/21/aprenda-a-fazer-ahyaca-prato-tipico-natalino-da-venezuela.ghtml", "URL")</f>
        <v/>
      </c>
      <c r="Q1187">
        <f>HYPERLINK("https://raw.githubusercontent.com/marcosmapl/dataset_imigrantes/main/materias_filtered/g1/venezuelanos/2019/11_dez/html/g1_35f2d40a-2319-11ed-b24f-6dbe51e79fca_3303.html", "HTML")</f>
        <v/>
      </c>
      <c r="R1187">
        <f>HYPERLINK("https://raw.githubusercontent.com/marcosmapl/dataset_imigrantes/main/materias_filtered/g1/venezuelanos/2019/11_dez/txt/g1_35f2d40a-2319-11ed-b24f-6dbe51e79fca_3303.txt", "TXT")</f>
        <v/>
      </c>
    </row>
    <row r="1188">
      <c r="A1188" s="1" t="n">
        <v>1186</v>
      </c>
      <c r="B1188" t="n">
        <v>2019</v>
      </c>
      <c r="C1188" s="2" t="n">
        <v>43820.03007166667</v>
      </c>
      <c r="D1188" t="inlineStr">
        <is>
          <t>G1</t>
        </is>
      </c>
      <c r="E1188" t="inlineStr">
        <is>
          <t>VENEZUELANOS</t>
        </is>
      </c>
      <c r="F1188" t="inlineStr">
        <is>
          <t>PARÁ</t>
        </is>
      </c>
      <c r="G1188" t="inlineStr">
        <is>
          <t>G1 PA — BELÉM</t>
        </is>
      </c>
      <c r="H1188" t="inlineStr">
        <is>
          <t>MPF RECOMENDA MEDIDAS DE ABRIGO E ASSISTÊNCIA HUMANITÁRIA A REFUGIADOS INDÍGENAS VENEZUELANOS EM TODO O PA</t>
        </is>
      </c>
      <c r="I1188" t="inlineStr">
        <is>
          <t>A RECOMENDAÇÃO FOI ENVIADA NESTA SEXTA, 20, À CASA CIVIL DA PRESIDÊNCIA DA REPÚBLICA, AO GOVERNO DO PARÁ E À PREFEITURA DE ANANINDEUA.</t>
        </is>
      </c>
      <c r="J1188" t="inlineStr"/>
      <c r="K1188" t="n">
        <v>0</v>
      </c>
      <c r="L1188" t="n">
        <v>1</v>
      </c>
      <c r="M1188" t="n">
        <v>0</v>
      </c>
      <c r="N1188" t="n">
        <v>0</v>
      </c>
      <c r="O1188" t="n">
        <v>0</v>
      </c>
      <c r="P1188">
        <f>HYPERLINK("https://g1.globo.com/pa/para/noticia/2019/12/20/mpf-recomenda-medidas-de-abrigo-e-assistencia-humanitaria-a-refugiados-indigenas-venezuelanos-em-todo-o-pa.ghtml", "URL")</f>
        <v/>
      </c>
      <c r="Q1188">
        <f>HYPERLINK("https://raw.githubusercontent.com/marcosmapl/dataset_imigrantes/main/materias_filtered/g1/venezuelanos/2019/11_dez/html/g1_4cef061e-231a-11ed-b24f-6dbe51e79fca_3328.html", "HTML")</f>
        <v/>
      </c>
      <c r="R1188">
        <f>HYPERLINK("https://raw.githubusercontent.com/marcosmapl/dataset_imigrantes/main/materias_filtered/g1/venezuelanos/2019/11_dez/txt/g1_4cef061e-231a-11ed-b24f-6dbe51e79fca_3328.txt", "TXT")</f>
        <v/>
      </c>
    </row>
    <row r="1189">
      <c r="A1189" s="1" t="n">
        <v>1187</v>
      </c>
      <c r="B1189" t="n">
        <v>2019</v>
      </c>
      <c r="C1189" s="2" t="n">
        <v>43817.50972222222</v>
      </c>
      <c r="D1189" t="inlineStr">
        <is>
          <t>PORTAL AMAZONIA</t>
        </is>
      </c>
      <c r="E1189" t="inlineStr">
        <is>
          <t>VENEZUELANOS</t>
        </is>
      </c>
      <c r="F1189" t="inlineStr">
        <is>
          <t>EDUCAÇÃO</t>
        </is>
      </c>
      <c r="G1189" t="inlineStr">
        <is>
          <t>REDAÇÃO</t>
        </is>
      </c>
      <c r="H1189" t="inlineStr">
        <is>
          <t>COMEÇARAM AS MATRÍCULAS DE NOVOS ALUNOS DA REDE PÚBLICA MUNICIPAL E ESTADUAL</t>
        </is>
      </c>
      <c r="I1189" t="inlineStr">
        <is>
          <t>AS MATRÍCULAS PARA NOVOS ALUNOS DA REDE PÚBLICA DE ENSINO DE MANAUS E DO AMAZONAS SERÃO ATÉ O DIA 20 JANEIRO. O PROCEDIMENTO PODERÁ SER REALIZADO VIA INTERNET, POR MEIO DO SITE WWW.MATRICULAS.AM.GOV.BR, OU PRESENCIALMENTE, DAS 8H ÀS 17H, EM TODAS AS</t>
        </is>
      </c>
      <c r="J1189" t="inlineStr">
        <is>
          <t>AMAZONAS, MANAUS, MATRICULA, MATRICULAS 2020 AMAZONAS, MATRICULAS ESCOLAS 2020, MATRICULAS MANAUS 2020</t>
        </is>
      </c>
      <c r="K1189" t="n">
        <v>6</v>
      </c>
      <c r="L1189" t="n">
        <v>3</v>
      </c>
      <c r="M1189" t="n">
        <v>0</v>
      </c>
      <c r="N1189" t="n">
        <v>0</v>
      </c>
      <c r="O1189" t="n">
        <v>11</v>
      </c>
      <c r="P1189">
        <f>HYPERLINK("https://portalamazonia.com/noticias/educacao/comecaram-as-matriculas-de-novos-alunos-da-rede-publica-municipal-e-estadual", "URL")</f>
        <v/>
      </c>
      <c r="Q1189">
        <f>HYPERLINK("https://raw.githubusercontent.com/marcosmapl/dataset_imigrantes/main/materias_filtered/portal_amazonia/venezuelanos/2019/11_dez/html/21546.21546_1402.html", "HTML")</f>
        <v/>
      </c>
      <c r="R1189">
        <f>HYPERLINK("https://raw.githubusercontent.com/marcosmapl/dataset_imigrantes/main/materias_filtered/portal_amazonia/venezuelanos/2019/11_dez/txt/21546.21546_1402.txt", "TXT")</f>
        <v/>
      </c>
    </row>
    <row r="1190">
      <c r="A1190" s="1" t="n">
        <v>1188</v>
      </c>
      <c r="B1190" t="n">
        <v>2019</v>
      </c>
      <c r="C1190" s="2" t="n">
        <v>43816.64696759259</v>
      </c>
      <c r="D1190" t="inlineStr">
        <is>
          <t>A CRITICA</t>
        </is>
      </c>
      <c r="E1190" t="inlineStr">
        <is>
          <t>VENEZUELANOS</t>
        </is>
      </c>
      <c r="F1190" t="inlineStr">
        <is>
          <t>MANAUS</t>
        </is>
      </c>
      <c r="G1190" t="inlineStr">
        <is>
          <t>MARIA PAULA SANTOS</t>
        </is>
      </c>
      <c r="H1190" t="inlineStr">
        <is>
          <t>CALENDÁRIO DE MATRÍCULAS DE ESCOLAS MUNICIPAIS E ESTADUAIS É DIVULGADO</t>
        </is>
      </c>
      <c r="I1190" t="inlineStr">
        <is>
          <t>A REMATRÍCULA DOS ALUNOS QUE ESTUDARAM, EM 2019, NAS REDES ESTADUAL E MUNICIPAL DE ENSINO É AUTOMÁTICA E INICIA NA PRÓXIMA QUINTA-FEIRA (19)</t>
        </is>
      </c>
      <c r="J1190" t="inlineStr"/>
      <c r="K1190" t="n">
        <v>0</v>
      </c>
      <c r="L1190" t="n">
        <v>1</v>
      </c>
      <c r="M1190" t="n">
        <v>0</v>
      </c>
      <c r="N1190" t="n">
        <v>0</v>
      </c>
      <c r="O1190" t="n">
        <v>0</v>
      </c>
      <c r="P1190">
        <f>HYPERLINK("https://www.acritica.com/manaus/calendario-de-matriculas-de-escolas-municipais-e-estaduais-e-divulgado-1.52747", "URL")</f>
        <v/>
      </c>
      <c r="Q1190">
        <f>HYPERLINK("https://raw.githubusercontent.com/marcosmapl/dataset_imigrantes/main/materias_filtered/a_critica/venezuelanos/2019/11_dez/html/1.52747_1174.html", "HTML")</f>
        <v/>
      </c>
      <c r="R1190">
        <f>HYPERLINK("https://raw.githubusercontent.com/marcosmapl/dataset_imigrantes/main/materias_filtered/a_critica/venezuelanos/2019/11_dez/txt/1.52747_1174.txt", "TXT")</f>
        <v/>
      </c>
    </row>
    <row r="1191">
      <c r="A1191" s="1" t="n">
        <v>1189</v>
      </c>
      <c r="B1191" t="n">
        <v>2019</v>
      </c>
      <c r="C1191" s="2" t="n">
        <v>43815.58143045139</v>
      </c>
      <c r="D1191" t="inlineStr">
        <is>
          <t>G1</t>
        </is>
      </c>
      <c r="E1191" t="inlineStr">
        <is>
          <t>VENEZUELANOS</t>
        </is>
      </c>
      <c r="F1191" t="inlineStr">
        <is>
          <t>RORAIMA</t>
        </is>
      </c>
      <c r="G1191" t="inlineStr">
        <is>
          <t>G1 RR — BOA VISTA</t>
        </is>
      </c>
      <c r="H1191" t="inlineStr">
        <is>
          <t>VENEZUELANO MORRE E OUTRO FICA GRAVEMENTE FERIDO APÓS AGRESSÕES A PAULADAS EM BOA VISTA</t>
        </is>
      </c>
      <c r="I1191" t="inlineStr">
        <is>
          <t>JOSÉ GREGÓRIO MATA FARIAS MORREU E EDUARDO GUSTAVO LOPES GUEVARA FOI LEVADO AO HOSPITAL COM TRAUMATISMO CRANIANO; CRIME OCORREU PRÓXIMO AO ABRIGO SANTA TERESA.</t>
        </is>
      </c>
      <c r="J1191" t="inlineStr"/>
      <c r="K1191" t="n">
        <v>0</v>
      </c>
      <c r="L1191" t="n">
        <v>0</v>
      </c>
      <c r="M1191" t="n">
        <v>0</v>
      </c>
      <c r="N1191" t="n">
        <v>0</v>
      </c>
      <c r="O1191" t="n">
        <v>0</v>
      </c>
      <c r="P1191">
        <f>HYPERLINK("https://g1.globo.com/rr/roraima/noticia/2019/12/16/homem-e-encontrado-morto-com-rosto-desfigurado-em-boa-vista.ghtml", "URL")</f>
        <v/>
      </c>
      <c r="Q1191">
        <f>HYPERLINK("https://raw.githubusercontent.com/marcosmapl/dataset_imigrantes/main/materias_filtered/g1/venezuelanos/2019/11_dez/html/g1_f18b76e4-2315-11ed-b24f-6dbe51e79fca_3117.html", "HTML")</f>
        <v/>
      </c>
      <c r="R1191">
        <f>HYPERLINK("https://raw.githubusercontent.com/marcosmapl/dataset_imigrantes/main/materias_filtered/g1/venezuelanos/2019/11_dez/txt/g1_f18b76e4-2315-11ed-b24f-6dbe51e79fca_3117.txt", "TXT")</f>
        <v/>
      </c>
    </row>
    <row r="1192">
      <c r="A1192" s="1" t="n">
        <v>1190</v>
      </c>
      <c r="B1192" t="n">
        <v>2019</v>
      </c>
      <c r="C1192" s="2" t="n">
        <v>43815.40590599537</v>
      </c>
      <c r="D1192" t="inlineStr">
        <is>
          <t>G1</t>
        </is>
      </c>
      <c r="E1192" t="inlineStr">
        <is>
          <t>AMBOS</t>
        </is>
      </c>
      <c r="F1192" t="inlineStr">
        <is>
          <t>RORAIMA</t>
        </is>
      </c>
      <c r="G1192" t="inlineStr">
        <is>
          <t>EMILY COSTA, G1 RR — BOA VISTA</t>
        </is>
      </c>
      <c r="H1192" t="inlineStr">
        <is>
          <t>NOVA ONDA DE HAITIANOS CHEGA AO BRASIL PELA GUIANA E ENGROSSA ÊXODO DE ESTRANGEIROS EM RORAIMA</t>
        </is>
      </c>
      <c r="I1192" t="inlineStr">
        <is>
          <t>ATÉ NOVEMBRO, MAIS DE 13 MIL IMIGRANTES VINDOS DO HAITI ENTRARAM NO PAÍS PELA FRONTEIRA DA GUIANA, EM BONFIM (RR) -- FORAM 993 EM 2018; MESMA ROTA TROUXE 31 MIL CUBANOS DESDE 2018. ESTADO TAMBÉM É PORTA DE ENTRADA DO ÊXODO VENEZUELANO AO BRASIL.</t>
        </is>
      </c>
      <c r="J1192" t="inlineStr"/>
      <c r="K1192" t="n">
        <v>0</v>
      </c>
      <c r="L1192" t="n">
        <v>2</v>
      </c>
      <c r="M1192" t="n">
        <v>2</v>
      </c>
      <c r="N1192" t="n">
        <v>0</v>
      </c>
      <c r="O1192" t="n">
        <v>9</v>
      </c>
      <c r="P1192">
        <f>HYPERLINK("https://g1.globo.com/rr/roraima/noticia/2019/12/16/nova-onda-de-haitianos-chega-ao-brasil-pela-guiana-e-engrossa-exodo-de-estrangeiros-em-roraima.ghtml", "URL")</f>
        <v/>
      </c>
      <c r="Q1192">
        <f>HYPERLINK("https://raw.githubusercontent.com/marcosmapl/dataset_imigrantes/main/materias_filtered/g1/ambos/2019/11_dez/html/g1_8647525a-22ec-11ed-b24f-6dbe51e79fca_1659.html", "HTML")</f>
        <v/>
      </c>
      <c r="R1192">
        <f>HYPERLINK("https://raw.githubusercontent.com/marcosmapl/dataset_imigrantes/main/materias_filtered/g1/ambos/2019/11_dez/txt/g1_8647525a-22ec-11ed-b24f-6dbe51e79fca_1659.txt", "TXT")</f>
        <v/>
      </c>
    </row>
    <row r="1193">
      <c r="A1193" s="1" t="n">
        <v>1191</v>
      </c>
      <c r="B1193" t="n">
        <v>2019</v>
      </c>
      <c r="C1193" s="2" t="n">
        <v>43815.09567129629</v>
      </c>
      <c r="D1193" t="inlineStr">
        <is>
          <t>A CRITICA</t>
        </is>
      </c>
      <c r="E1193" t="inlineStr">
        <is>
          <t>VENEZUELANOS</t>
        </is>
      </c>
      <c r="F1193" t="inlineStr">
        <is>
          <t>POLICIA</t>
        </is>
      </c>
      <c r="G1193" t="inlineStr">
        <is>
          <t>JAN NOGUEIRA</t>
        </is>
      </c>
      <c r="H1193" t="inlineStr">
        <is>
          <t>HOMEM É MORTO A PAULADAS E TIROS NO COLÔNIA SANTO ANTÔNIO</t>
        </is>
      </c>
      <c r="I1193" t="inlineStr">
        <is>
          <t>O HOMEM IDENTIFICADO APENAS COMO REINALDO JESUS ESTARIA MANTENDO UMA ADOLESCENTE DE 13 ANOS SOB CÁRCERE PRIVADO, QUANDO FOI DESCOBERTO E MORTO POR TRAFICANTES DA ÁREA</t>
        </is>
      </c>
      <c r="J1193" t="inlineStr"/>
      <c r="K1193" t="n">
        <v>0</v>
      </c>
      <c r="L1193" t="n">
        <v>1</v>
      </c>
      <c r="M1193" t="n">
        <v>0</v>
      </c>
      <c r="N1193" t="n">
        <v>0</v>
      </c>
      <c r="O1193" t="n">
        <v>0</v>
      </c>
      <c r="P1193">
        <f>HYPERLINK("https://www.acritica.com/policia/homem-e-morto-a-pauladas-e-tiros-no-colonia-santo-antonio-1.52908", "URL")</f>
        <v/>
      </c>
      <c r="Q1193">
        <f>HYPERLINK("https://raw.githubusercontent.com/marcosmapl/dataset_imigrantes/main/materias_filtered/a_critica/venezuelanos/2019/11_dez/html/1.52908_848.html", "HTML")</f>
        <v/>
      </c>
      <c r="R1193">
        <f>HYPERLINK("https://raw.githubusercontent.com/marcosmapl/dataset_imigrantes/main/materias_filtered/a_critica/venezuelanos/2019/11_dez/txt/1.52908_848.txt", "TXT")</f>
        <v/>
      </c>
    </row>
    <row r="1194">
      <c r="A1194" s="1" t="n">
        <v>1192</v>
      </c>
      <c r="B1194" t="n">
        <v>2019</v>
      </c>
      <c r="C1194" s="2" t="n">
        <v>43814.61736111111</v>
      </c>
      <c r="D1194" t="inlineStr">
        <is>
          <t>A CRITICA</t>
        </is>
      </c>
      <c r="E1194" t="inlineStr">
        <is>
          <t>VENEZUELANOS</t>
        </is>
      </c>
      <c r="F1194" t="inlineStr">
        <is>
          <t>POLICIA</t>
        </is>
      </c>
      <c r="G1194" t="inlineStr">
        <is>
          <t>JOANA QUEIROZ</t>
        </is>
      </c>
      <c r="H1194" t="inlineStr">
        <is>
          <t>IML IDENTIFICA 60 CÁPSULAS DE COCAÍNA EM CADÁVER DE VENEZUELANA EM MANAUS</t>
        </is>
      </c>
      <c r="I1194" t="inlineStr">
        <is>
          <t>A MULHER DE 43 ANOS MORREU VÍTIMA DE INFLAMAÇÃO NA PAREDE ABDOMINAL. AO REALIZAR A NECROPSIA, OS PERITOS DO IML CONSTATARAM QUE A INFECÇÃO GENERALIZADA FOI CAUSADA POR 60 CÁPSULAS DE COCAÍNA QUE ESTAVAM NO ESTÔMAGO DA MULHER</t>
        </is>
      </c>
      <c r="J1194" t="inlineStr"/>
      <c r="K1194" t="n">
        <v>0</v>
      </c>
      <c r="L1194" t="n">
        <v>1</v>
      </c>
      <c r="M1194" t="n">
        <v>0</v>
      </c>
      <c r="N1194" t="n">
        <v>0</v>
      </c>
      <c r="O1194" t="n">
        <v>0</v>
      </c>
      <c r="P1194">
        <f>HYPERLINK("https://www.acritica.com/policia/iml-identifica-60-capsulas-de-cocaina-em-cadaver-de-venezuelana-em-manaus-1.52882", "URL")</f>
        <v/>
      </c>
      <c r="Q1194">
        <f>HYPERLINK("https://raw.githubusercontent.com/marcosmapl/dataset_imigrantes/main/materias_filtered/a_critica/venezuelanos/2019/11_dez/html/1.52882_1366.html", "HTML")</f>
        <v/>
      </c>
      <c r="R1194">
        <f>HYPERLINK("https://raw.githubusercontent.com/marcosmapl/dataset_imigrantes/main/materias_filtered/a_critica/venezuelanos/2019/11_dez/txt/1.52882_1366.txt", "TXT")</f>
        <v/>
      </c>
    </row>
    <row r="1195">
      <c r="A1195" s="1" t="n">
        <v>1193</v>
      </c>
      <c r="B1195" t="n">
        <v>2019</v>
      </c>
      <c r="C1195" s="2" t="n">
        <v>43814.45581494213</v>
      </c>
      <c r="D1195" t="inlineStr">
        <is>
          <t>G1</t>
        </is>
      </c>
      <c r="E1195" t="inlineStr">
        <is>
          <t>HAITIANOS</t>
        </is>
      </c>
      <c r="F1195" t="inlineStr">
        <is>
          <t>CAMPINAS E REGIÃO</t>
        </is>
      </c>
      <c r="G1195" t="inlineStr">
        <is>
          <t>G1 CAMPINAS E REGIÃO</t>
        </is>
      </c>
      <c r="H1195" t="inlineStr">
        <is>
          <t>NÚMERO DE LATINO-AMERICANOS COM CARTEIRA ASSINADA SOBE 23% NA RMC</t>
        </is>
      </c>
      <c r="I1195" t="inlineStr">
        <is>
          <t>HAITIANOS REPRESENTAM 56% DO TOTAL DE TRABALHADORES DESSA REGIÃO NOS 20 MUNICÍPIOS DA REGIÃO METROPOLITANA DE CAMPINAS, SEGUNDO DADOS DA RAIS.</t>
        </is>
      </c>
      <c r="J1195" t="inlineStr"/>
      <c r="K1195" t="n">
        <v>0</v>
      </c>
      <c r="L1195" t="n">
        <v>1</v>
      </c>
      <c r="M1195" t="n">
        <v>0</v>
      </c>
      <c r="N1195" t="n">
        <v>0</v>
      </c>
      <c r="O1195" t="n">
        <v>1</v>
      </c>
      <c r="P1195">
        <f>HYPERLINK("https://g1.globo.com/sp/campinas-regiao/noticia/2019/12/15/numero-de-latino-americanos-com-carteira-assinada-sobe-23percent-na-rmc.ghtml", "URL")</f>
        <v/>
      </c>
      <c r="Q1195">
        <f>HYPERLINK("https://raw.githubusercontent.com/marcosmapl/dataset_imigrantes/main/materias_filtered/g1/haitianos/2019/11_dez/html/g1_4128dfa0-22fa-11ed-b24f-6dbe51e79fca_2208.html", "HTML")</f>
        <v/>
      </c>
      <c r="R1195">
        <f>HYPERLINK("https://raw.githubusercontent.com/marcosmapl/dataset_imigrantes/main/materias_filtered/g1/haitianos/2019/11_dez/txt/g1_4128dfa0-22fa-11ed-b24f-6dbe51e79fca_2208.txt", "TXT")</f>
        <v/>
      </c>
    </row>
    <row r="1196">
      <c r="A1196" s="1" t="n">
        <v>1194</v>
      </c>
      <c r="B1196" t="n">
        <v>2019</v>
      </c>
      <c r="C1196" s="2" t="n">
        <v>43813.73580641203</v>
      </c>
      <c r="D1196" t="inlineStr">
        <is>
          <t>G1</t>
        </is>
      </c>
      <c r="E1196" t="inlineStr">
        <is>
          <t>VENEZUELANOS</t>
        </is>
      </c>
      <c r="F1196" t="inlineStr">
        <is>
          <t>CEARÁ</t>
        </is>
      </c>
      <c r="G1196" t="inlineStr">
        <is>
          <t>RODRIGO RODRIGUES E JOÃO LIMA NETO, G1 CE</t>
        </is>
      </c>
      <c r="H1196" t="inlineStr">
        <is>
          <t>VENEZUELANOS REFUGIADOS VIVEM DE DOAÇÕES EM RODOVIÁRIA DE FORTALEZA</t>
        </is>
      </c>
      <c r="I1196" t="inlineStr">
        <is>
          <t>ESTRANGEIROS CHEGARAM EM DIFERENTES SEMANAS DO MÊS DE DEZEMBRO DESTE ANO.</t>
        </is>
      </c>
      <c r="J1196" t="inlineStr"/>
      <c r="K1196" t="n">
        <v>0</v>
      </c>
      <c r="L1196" t="n">
        <v>2</v>
      </c>
      <c r="M1196" t="n">
        <v>0</v>
      </c>
      <c r="N1196" t="n">
        <v>0</v>
      </c>
      <c r="O1196" t="n">
        <v>0</v>
      </c>
      <c r="P1196">
        <f>HYPERLINK("https://g1.globo.com/ce/ceara/noticia/2019/12/14/venezuelanos-refugiados-vivem-de-doacoes-em-rodoviaria-de-fortaleza.ghtml", "URL")</f>
        <v/>
      </c>
      <c r="Q1196">
        <f>HYPERLINK("https://raw.githubusercontent.com/marcosmapl/dataset_imigrantes/main/materias_filtered/g1/venezuelanos/2019/11_dez/html/g1_e94ea01e-2324-11ed-b24f-6dbe51e79fca_3889.html", "HTML")</f>
        <v/>
      </c>
      <c r="R1196">
        <f>HYPERLINK("https://raw.githubusercontent.com/marcosmapl/dataset_imigrantes/main/materias_filtered/g1/venezuelanos/2019/11_dez/txt/g1_e94ea01e-2324-11ed-b24f-6dbe51e79fca_3889.txt", "TXT")</f>
        <v/>
      </c>
    </row>
    <row r="1197">
      <c r="A1197" s="1" t="n">
        <v>1195</v>
      </c>
      <c r="B1197" t="n">
        <v>2019</v>
      </c>
      <c r="C1197" s="2" t="n">
        <v>43813.62995524306</v>
      </c>
      <c r="D1197" t="inlineStr">
        <is>
          <t>G1</t>
        </is>
      </c>
      <c r="E1197" t="inlineStr">
        <is>
          <t>VENEZUELANOS</t>
        </is>
      </c>
      <c r="F1197" t="inlineStr">
        <is>
          <t>AMAZONAS</t>
        </is>
      </c>
      <c r="G1197" t="inlineStr">
        <is>
          <t>G1 AM</t>
        </is>
      </c>
      <c r="H1197" t="inlineStr">
        <is>
          <t>VENEZUELANA DÁ À LUZ EM QUARTEL DA POLÍCIA MILITAR NO CAREIRO VÁRZEA, INTERIOR DO AM</t>
        </is>
      </c>
      <c r="I1197" t="inlineStr">
        <is>
          <t>MULHER E MARIDO TENTAVAM EMBARCAR PARA A CAPITAL QUANDO A BOLSA ESTOUROU.</t>
        </is>
      </c>
      <c r="J1197" t="inlineStr"/>
      <c r="K1197" t="n">
        <v>0</v>
      </c>
      <c r="L1197" t="n">
        <v>0</v>
      </c>
      <c r="M1197" t="n">
        <v>0</v>
      </c>
      <c r="N1197" t="n">
        <v>0</v>
      </c>
      <c r="O1197" t="n">
        <v>0</v>
      </c>
      <c r="P1197">
        <f>HYPERLINK("https://g1.globo.com/am/amazonas/noticia/2019/12/14/venezuelana-da-a-luz-em-quartel-da-policia-militar-no-careiro-varzea-interior-do-am.ghtml", "URL")</f>
        <v/>
      </c>
      <c r="Q1197">
        <f>HYPERLINK("https://raw.githubusercontent.com/marcosmapl/dataset_imigrantes/main/materias_filtered/g1/venezuelanos/2019/11_dez/html/g1_b8e1e236-2312-11ed-b24f-6dbe51e79fca_2977.html", "HTML")</f>
        <v/>
      </c>
      <c r="R1197">
        <f>HYPERLINK("https://raw.githubusercontent.com/marcosmapl/dataset_imigrantes/main/materias_filtered/g1/venezuelanos/2019/11_dez/txt/g1_b8e1e236-2312-11ed-b24f-6dbe51e79fca_2977.txt", "TXT")</f>
        <v/>
      </c>
    </row>
    <row r="1198">
      <c r="A1198" s="1" t="n">
        <v>1196</v>
      </c>
      <c r="B1198" t="n">
        <v>2019</v>
      </c>
      <c r="C1198" s="2" t="n">
        <v>43813.57444527778</v>
      </c>
      <c r="D1198" t="inlineStr">
        <is>
          <t>G1</t>
        </is>
      </c>
      <c r="E1198" t="inlineStr">
        <is>
          <t>VENEZUELANOS</t>
        </is>
      </c>
      <c r="F1198" t="inlineStr">
        <is>
          <t>RIO GRANDE DO SUL</t>
        </is>
      </c>
      <c r="G1198" t="inlineStr">
        <is>
          <t>G1 RS E RBS TV</t>
        </is>
      </c>
      <c r="H1198" t="inlineStr">
        <is>
          <t>IRMÃ DE VENEZUELANA MORTA EM CAXIAS DO SUL DIZ QUE EX 'NUNCA ACEITOU' FIM DO RELACIONAMENTO; HOMEM ESTÁ PRESO</t>
        </is>
      </c>
      <c r="I1198" t="inlineStr">
        <is>
          <t>SUSPEITO DO CRIME SE APRESENTOU À POLÍCIA NA SEXTA-FEIRA (13) E ADMITIU QUE JOGOU LÍQUIDO EM ARIANA VICTORIA GODOY FIGUERA. ELA TEVE PARTE DO CORPO QUEIMADA E NÃO RESISTIU. HOMEM DISSE À DELEGADA QUE QUERIA ASSUSTAR A JOVEM, E NÃO SABE QUAL SUBSTÂNCIA A ATINGIU.</t>
        </is>
      </c>
      <c r="J1198" t="inlineStr"/>
      <c r="K1198" t="n">
        <v>0</v>
      </c>
      <c r="L1198" t="n">
        <v>2</v>
      </c>
      <c r="M1198" t="n">
        <v>1</v>
      </c>
      <c r="N1198" t="n">
        <v>0</v>
      </c>
      <c r="O1198" t="n">
        <v>2</v>
      </c>
      <c r="P1198">
        <f>HYPERLINK("https://g1.globo.com/rs/rio-grande-do-sul/noticia/2019/12/14/irma-de-venezuelana-morta-em-caxias-do-sul-diz-que-ex-nunca-aceitou-fim-do-relacionamento-homem-esta-preso.ghtml", "URL")</f>
        <v/>
      </c>
      <c r="Q1198">
        <f>HYPERLINK("https://raw.githubusercontent.com/marcosmapl/dataset_imigrantes/main/materias_filtered/g1/venezuelanos/2019/11_dez/html/g1_e9a307fe-231e-11ed-b24f-6dbe51e79fca_3590.html", "HTML")</f>
        <v/>
      </c>
      <c r="R1198">
        <f>HYPERLINK("https://raw.githubusercontent.com/marcosmapl/dataset_imigrantes/main/materias_filtered/g1/venezuelanos/2019/11_dez/txt/g1_e9a307fe-231e-11ed-b24f-6dbe51e79fca_3590.txt", "TXT")</f>
        <v/>
      </c>
    </row>
    <row r="1199">
      <c r="A1199" s="1" t="n">
        <v>1197</v>
      </c>
      <c r="B1199" t="n">
        <v>2019</v>
      </c>
      <c r="C1199" s="2" t="n">
        <v>43812.97013888889</v>
      </c>
      <c r="D1199" t="inlineStr">
        <is>
          <t>A CRITICA</t>
        </is>
      </c>
      <c r="E1199" t="inlineStr">
        <is>
          <t>VENEZUELANOS</t>
        </is>
      </c>
      <c r="F1199" t="inlineStr"/>
      <c r="G1199" t="inlineStr">
        <is>
          <t>REBECA BEATRIZ</t>
        </is>
      </c>
      <c r="H1199" t="inlineStr">
        <is>
          <t>TRABALHOS COM ARTESANATO FAVORECEM A INSERÇÃO DE MIGRANTES NO AMAZONAS</t>
        </is>
      </c>
      <c r="I1199" t="inlineStr">
        <is>
          <t>FEIRA PROMOVIDA NO PÁTIO DO SEBRAE COMERCIALIZOU PRODUTOS ARTESANAIS ELABORADOS POR REFUGIADOS E MIGRANTES VENEZUELANO</t>
        </is>
      </c>
      <c r="J1199" t="inlineStr"/>
      <c r="K1199" t="n">
        <v>0</v>
      </c>
      <c r="L1199" t="n">
        <v>1</v>
      </c>
      <c r="M1199" t="n">
        <v>0</v>
      </c>
      <c r="N1199" t="n">
        <v>0</v>
      </c>
      <c r="O1199" t="n">
        <v>0</v>
      </c>
      <c r="P1199">
        <f>HYPERLINK("https://www.acritica.com/trabalhos-com-artesanato-favorecem-a-inserc-o-de-migrantes-no-amazonas-1.52972", "URL")</f>
        <v/>
      </c>
      <c r="Q1199">
        <f>HYPERLINK("https://raw.githubusercontent.com/marcosmapl/dataset_imigrantes/main/materias_filtered/a_critica/venezuelanos/2019/11_dez/html/1.52972_467.html", "HTML")</f>
        <v/>
      </c>
      <c r="R1199">
        <f>HYPERLINK("https://raw.githubusercontent.com/marcosmapl/dataset_imigrantes/main/materias_filtered/a_critica/venezuelanos/2019/11_dez/txt/1.52972_467.txt", "TXT")</f>
        <v/>
      </c>
    </row>
    <row r="1200">
      <c r="A1200" s="1" t="n">
        <v>1198</v>
      </c>
      <c r="B1200" t="n">
        <v>2019</v>
      </c>
      <c r="C1200" s="2" t="n">
        <v>43812.63402777778</v>
      </c>
      <c r="D1200" t="inlineStr">
        <is>
          <t>PORTAL AMAZONIA</t>
        </is>
      </c>
      <c r="E1200" t="inlineStr">
        <is>
          <t>VENEZUELANOS</t>
        </is>
      </c>
      <c r="F1200" t="inlineStr">
        <is>
          <t>EDUCAÇÃO</t>
        </is>
      </c>
      <c r="G1200" t="inlineStr">
        <is>
          <t>REDAÇÃO</t>
        </is>
      </c>
      <c r="H1200" t="inlineStr">
        <is>
          <t>PESQUISADORA DO INPA GANHA GRANDE PRÊMIO DA CAPES DE MELHOR TESE 2019</t>
        </is>
      </c>
      <c r="I1200" t="inlineStr">
        <is>
          <t>CAROLINA LEVIS, DO INSTITUTO NACIONAL DE PESQUISAS DA AMAZÔNIA (INPA), BEATRIZ SCHMIDT, DA UNIVERSIDADE FEDERAL DO RIO GRANDE DO SUL (UFRGS), E JOSÉ HOLANDA DA SILVA, DA UNIVERSIDADE FEDERAL DE PERNAMBUCO (UFPE), FORAM OS GRANDES VENCEDORES DA 14ª ED</t>
        </is>
      </c>
      <c r="J1200" t="inlineStr">
        <is>
          <t>MUSEU GOELDI, MUSEU PARAENSE EMÍLIO GOELDI, PESQUISADORA DO INPA, PRÊMIO, PREMIO CAPES 2019, PREMIO CAPES 2019 INPA</t>
        </is>
      </c>
      <c r="K1200" t="n">
        <v>6</v>
      </c>
      <c r="L1200" t="n">
        <v>4</v>
      </c>
      <c r="M1200" t="n">
        <v>0</v>
      </c>
      <c r="N1200" t="n">
        <v>0</v>
      </c>
      <c r="O1200" t="n">
        <v>11</v>
      </c>
      <c r="P1200">
        <f>HYPERLINK("https://portalamazonia.com/noticias/educacao/pesquisadora-do-inpa-ganha-grande-premio-da-capes-de-melhor-tese-2019", "URL")</f>
        <v/>
      </c>
      <c r="Q1200">
        <f>HYPERLINK("https://raw.githubusercontent.com/marcosmapl/dataset_imigrantes/main/materias_filtered/portal_amazonia/venezuelanos/2019/11_dez/html/21514.21514_1507.html", "HTML")</f>
        <v/>
      </c>
      <c r="R1200">
        <f>HYPERLINK("https://raw.githubusercontent.com/marcosmapl/dataset_imigrantes/main/materias_filtered/portal_amazonia/venezuelanos/2019/11_dez/txt/21514.21514_1507.txt", "TXT")</f>
        <v/>
      </c>
    </row>
    <row r="1201">
      <c r="A1201" s="1" t="n">
        <v>1199</v>
      </c>
      <c r="B1201" t="n">
        <v>2019</v>
      </c>
      <c r="C1201" s="2" t="n">
        <v>43812.53794231481</v>
      </c>
      <c r="D1201" t="inlineStr">
        <is>
          <t>G1</t>
        </is>
      </c>
      <c r="E1201" t="inlineStr">
        <is>
          <t>VENEZUELANOS</t>
        </is>
      </c>
      <c r="F1201" t="inlineStr">
        <is>
          <t>RORAIMA</t>
        </is>
      </c>
      <c r="G1201" t="inlineStr">
        <is>
          <t>EMILY COSTA E JACKSON FÉLIX, G1 RR</t>
        </is>
      </c>
      <c r="H1201" t="inlineStr">
        <is>
          <t>ADOLESCENTE VENEZUELANO É ACHADO DEGOLADO NA FRONTEIRA EM PACARAIMA, RR</t>
        </is>
      </c>
      <c r="I1201" t="inlineStr">
        <is>
          <t>JOSE GREGORIO CAMPBELL RODRIGUES, DE 16 ANOS, FOI ACHADO EM ÁREA DE MATA NA ENTRADA DA CIDADE; CORPO FOI LEVADO AO IML, EM BOA VISTA.</t>
        </is>
      </c>
      <c r="J1201" t="inlineStr"/>
      <c r="K1201" t="n">
        <v>0</v>
      </c>
      <c r="L1201" t="n">
        <v>1</v>
      </c>
      <c r="M1201" t="n">
        <v>0</v>
      </c>
      <c r="N1201" t="n">
        <v>0</v>
      </c>
      <c r="O1201" t="n">
        <v>1</v>
      </c>
      <c r="P1201">
        <f>HYPERLINK("https://g1.globo.com/rr/roraima/noticia/2019/12/13/adolescente-venezuelano-e-achado-degolado-na-fronteira-em-pacaraima-rr.ghtml", "URL")</f>
        <v/>
      </c>
      <c r="Q1201">
        <f>HYPERLINK("https://raw.githubusercontent.com/marcosmapl/dataset_imigrantes/main/materias_filtered/g1/venezuelanos/2019/11_dez/html/g1_65638092-2326-11ed-b24f-6dbe51e79fca_3974.html", "HTML")</f>
        <v/>
      </c>
      <c r="R1201">
        <f>HYPERLINK("https://raw.githubusercontent.com/marcosmapl/dataset_imigrantes/main/materias_filtered/g1/venezuelanos/2019/11_dez/txt/g1_65638092-2326-11ed-b24f-6dbe51e79fca_3974.txt", "TXT")</f>
        <v/>
      </c>
    </row>
    <row r="1202">
      <c r="A1202" s="1" t="n">
        <v>1200</v>
      </c>
      <c r="B1202" t="n">
        <v>2019</v>
      </c>
      <c r="C1202" s="2" t="n">
        <v>43810.83633923611</v>
      </c>
      <c r="D1202" t="inlineStr">
        <is>
          <t>G1</t>
        </is>
      </c>
      <c r="E1202" t="inlineStr">
        <is>
          <t>VENEZUELANOS</t>
        </is>
      </c>
      <c r="F1202" t="inlineStr">
        <is>
          <t>SANTA CATARINA</t>
        </is>
      </c>
      <c r="G1202" t="inlineStr">
        <is>
          <t>G1 SC</t>
        </is>
      </c>
      <c r="H1202" t="inlineStr">
        <is>
          <t>POLICIAL COMPRA TODOS OS BOLOS QUE VENEZUELANO VENDIA EM RUA DE SC PARA AJUDÁ-LO</t>
        </is>
      </c>
      <c r="I1202" t="inlineStr">
        <is>
          <t>FOTO DO MOMENTO DA 'ABORDAGEM POLICIAL' SE ESPALHOU NAS REDES SOCIAIS. MESMO COM INTOLERÂNCIA À LACTOSE, POLICIAL COMPROU 11 POTES DE BOLO PARA QUE VENEZUELANO PUDESSE IR MAIS CEDO PARA CASA COM OS FILHOS.</t>
        </is>
      </c>
      <c r="J1202" t="inlineStr"/>
      <c r="K1202" t="n">
        <v>0</v>
      </c>
      <c r="L1202" t="n">
        <v>1</v>
      </c>
      <c r="M1202" t="n">
        <v>1</v>
      </c>
      <c r="N1202" t="n">
        <v>0</v>
      </c>
      <c r="O1202" t="n">
        <v>2</v>
      </c>
      <c r="P1202">
        <f>HYPERLINK("https://g1.globo.com/sc/santa-catarina/noticia/2019/12/11/policial-compra-todos-os-bolos-que-venezuelano-vendia-em-rua-de-sc-para-ajuda-lo.ghtml", "URL")</f>
        <v/>
      </c>
      <c r="Q1202">
        <f>HYPERLINK("https://raw.githubusercontent.com/marcosmapl/dataset_imigrantes/main/materias_filtered/g1/venezuelanos/2019/11_dez/html/g1_12a8ee82-231c-11ed-b24f-6dbe51e79fca_3427.html", "HTML")</f>
        <v/>
      </c>
      <c r="R1202">
        <f>HYPERLINK("https://raw.githubusercontent.com/marcosmapl/dataset_imigrantes/main/materias_filtered/g1/venezuelanos/2019/11_dez/txt/g1_12a8ee82-231c-11ed-b24f-6dbe51e79fca_3427.txt", "TXT")</f>
        <v/>
      </c>
    </row>
    <row r="1203">
      <c r="A1203" s="1" t="n">
        <v>1201</v>
      </c>
      <c r="B1203" t="n">
        <v>2019</v>
      </c>
      <c r="C1203" s="2" t="n">
        <v>43809.81380041667</v>
      </c>
      <c r="D1203" t="inlineStr">
        <is>
          <t>G1</t>
        </is>
      </c>
      <c r="E1203" t="inlineStr">
        <is>
          <t>VENEZUELANOS</t>
        </is>
      </c>
      <c r="F1203" t="inlineStr">
        <is>
          <t>RONDÔNIA</t>
        </is>
      </c>
      <c r="G1203" t="inlineStr">
        <is>
          <t>G1 RO</t>
        </is>
      </c>
      <c r="H1203" t="inlineStr">
        <is>
          <t>CHAMADA ESCOLAR PARA VENEZUELANOS ENCERRA NA QUINTA-FEIRA, 12, EM PORTO VELHO</t>
        </is>
      </c>
      <c r="I1203" t="inlineStr">
        <is>
          <t>CADASTRO VAI FAZER LEVANTAMENTO DE CRIANÇAS INTERESSADAS EM INGRESSAR NA REDE DE ENSINO INFANTIL E FUNDAMENTAL. ATENDIMENTOS SÃO REALIZADOS NA ESCOLA ANTÔNIO FERREIRA DA SILVA.</t>
        </is>
      </c>
      <c r="J1203" t="inlineStr"/>
      <c r="K1203" t="n">
        <v>0</v>
      </c>
      <c r="L1203" t="n">
        <v>1</v>
      </c>
      <c r="M1203" t="n">
        <v>0</v>
      </c>
      <c r="N1203" t="n">
        <v>0</v>
      </c>
      <c r="O1203" t="n">
        <v>0</v>
      </c>
      <c r="P1203">
        <f>HYPERLINK("https://g1.globo.com/ro/rondonia/noticia/2019/12/10/chamada-escolar-para-venezuelanos-encerra-na-quinta-feira-12-em-porto-velho.ghtml", "URL")</f>
        <v/>
      </c>
      <c r="Q1203">
        <f>HYPERLINK("https://raw.githubusercontent.com/marcosmapl/dataset_imigrantes/main/materias_filtered/g1/venezuelanos/2019/11_dez/html/g1_4fc6650c-2307-11ed-b24f-6dbe51e79fca_2310.html", "HTML")</f>
        <v/>
      </c>
      <c r="R1203">
        <f>HYPERLINK("https://raw.githubusercontent.com/marcosmapl/dataset_imigrantes/main/materias_filtered/g1/venezuelanos/2019/11_dez/txt/g1_4fc6650c-2307-11ed-b24f-6dbe51e79fca_2310.txt", "TXT")</f>
        <v/>
      </c>
    </row>
    <row r="1204">
      <c r="A1204" s="1" t="n">
        <v>1202</v>
      </c>
      <c r="B1204" t="n">
        <v>2019</v>
      </c>
      <c r="C1204" s="2" t="n">
        <v>43809.55453875</v>
      </c>
      <c r="D1204" t="inlineStr">
        <is>
          <t>G1</t>
        </is>
      </c>
      <c r="E1204" t="inlineStr">
        <is>
          <t>VENEZUELANOS</t>
        </is>
      </c>
      <c r="F1204" t="inlineStr">
        <is>
          <t>RORAIMA</t>
        </is>
      </c>
      <c r="G1204" t="inlineStr">
        <is>
          <t>G1 RR</t>
        </is>
      </c>
      <c r="H1204" t="inlineStr">
        <is>
          <t>EVENTO MULTICULTURAL INTEGRA ADOLESCENTES BRASILEIROS E VENEZUELANOS EM BOA VISTA</t>
        </is>
      </c>
      <c r="I1204" t="inlineStr">
        <is>
          <t>SEGUNDO SHOW DE DIREITOS OCORRE NESTA TERÇA-FEIRA (10), NO AUDITÓRIO DO IFRR,  DA 15H ÀS 17H30.</t>
        </is>
      </c>
      <c r="J1204" t="inlineStr"/>
      <c r="K1204" t="n">
        <v>0</v>
      </c>
      <c r="L1204" t="n">
        <v>2</v>
      </c>
      <c r="M1204" t="n">
        <v>0</v>
      </c>
      <c r="N1204" t="n">
        <v>0</v>
      </c>
      <c r="O1204" t="n">
        <v>0</v>
      </c>
      <c r="P1204">
        <f>HYPERLINK("https://g1.globo.com/rr/roraima/noticia/2019/12/10/evento-multicultural-integra-adolescentes-brasileiros-e-venezuelanos-em-boa-vista.ghtml", "URL")</f>
        <v/>
      </c>
      <c r="Q1204">
        <f>HYPERLINK("https://raw.githubusercontent.com/marcosmapl/dataset_imigrantes/main/materias_filtered/g1/venezuelanos/2019/11_dez/html/g1_41446e96-2318-11ed-b24f-6dbe51e79fca_3250.html", "HTML")</f>
        <v/>
      </c>
      <c r="R1204">
        <f>HYPERLINK("https://raw.githubusercontent.com/marcosmapl/dataset_imigrantes/main/materias_filtered/g1/venezuelanos/2019/11_dez/txt/g1_41446e96-2318-11ed-b24f-6dbe51e79fca_3250.txt", "TXT")</f>
        <v/>
      </c>
    </row>
    <row r="1205">
      <c r="A1205" s="1" t="n">
        <v>1203</v>
      </c>
      <c r="B1205" t="n">
        <v>2019</v>
      </c>
      <c r="C1205" s="2" t="n">
        <v>43809.53263888889</v>
      </c>
      <c r="D1205" t="inlineStr">
        <is>
          <t>A CRITICA</t>
        </is>
      </c>
      <c r="E1205" t="inlineStr">
        <is>
          <t>VENEZUELANOS</t>
        </is>
      </c>
      <c r="F1205" t="inlineStr">
        <is>
          <t>MANAUS</t>
        </is>
      </c>
      <c r="G1205" t="inlineStr">
        <is>
          <t>PORTAL A CRÍTICA</t>
        </is>
      </c>
      <c r="H1205" t="inlineStr">
        <is>
          <t>ENCONTRO TRAZ DETALHES PARA A CONTRATAÇÃO DE REFUGIADOS E MIGRANTES EM MANAUS</t>
        </is>
      </c>
      <c r="I1205" t="inlineStr">
        <is>
          <t>UM DOS PONTOS ABORDADOS NA PROGRAMAÇÃO É A INTEGRAÇÃO SOCIOECONÔMICA DA COMUNIDADE REFUGIADA E MIGRANTE NA CIDADE</t>
        </is>
      </c>
      <c r="J1205" t="inlineStr"/>
      <c r="K1205" t="n">
        <v>0</v>
      </c>
      <c r="L1205" t="n">
        <v>1</v>
      </c>
      <c r="M1205" t="n">
        <v>0</v>
      </c>
      <c r="N1205" t="n">
        <v>0</v>
      </c>
      <c r="O1205" t="n">
        <v>0</v>
      </c>
      <c r="P1205">
        <f>HYPERLINK("https://www.acritica.com/manaus/encontro-traz-detalhes-para-a-contratac-o-de-refugiados-e-migrantes-em-manaus-1.53344", "URL")</f>
        <v/>
      </c>
      <c r="Q1205">
        <f>HYPERLINK("https://raw.githubusercontent.com/marcosmapl/dataset_imigrantes/main/materias_filtered/a_critica/venezuelanos/2019/11_dez/html/1.53344_562.html", "HTML")</f>
        <v/>
      </c>
      <c r="R1205">
        <f>HYPERLINK("https://raw.githubusercontent.com/marcosmapl/dataset_imigrantes/main/materias_filtered/a_critica/venezuelanos/2019/11_dez/txt/1.53344_562.txt", "TXT")</f>
        <v/>
      </c>
    </row>
    <row r="1206">
      <c r="A1206" s="1" t="n">
        <v>1204</v>
      </c>
      <c r="B1206" t="n">
        <v>2019</v>
      </c>
      <c r="C1206" s="2" t="n">
        <v>43809.52083333334</v>
      </c>
      <c r="D1206" t="inlineStr">
        <is>
          <t>PORTAL AMAZONIA</t>
        </is>
      </c>
      <c r="E1206" t="inlineStr">
        <is>
          <t>VENEZUELANOS</t>
        </is>
      </c>
      <c r="F1206" t="inlineStr">
        <is>
          <t>EDUCAÇÃO</t>
        </is>
      </c>
      <c r="G1206" t="inlineStr">
        <is>
          <t>REDAÇÃO</t>
        </is>
      </c>
      <c r="H1206" t="inlineStr">
        <is>
          <t>INSTITUTO DE EDUCAÇÃO DO AMAZONAS É FINALISTA EM DISPUTA NACIONAL; VOTAÇÃO POPULAR ABERTA</t>
        </is>
      </c>
      <c r="I1206" t="inlineStr">
        <is>
          <t>O INSTITUTO DE EDUCAÇÃO DO AMAZONAS (IEA) ESTÁ CONCORRENDO NO PROGRAMA “EDUCAR PARA TRANSFORMAR”, CRIADO PELO INSTITUTO MRV E QUE SELECIONA E APOIA PROJETOS QUE PROMOVAM A TRANSFORMAÇÃO SOCIAL POR MEIO DA EDUCAÇÃO. A ESCOLHA FINAL É FEITA MEDIANTE VO</t>
        </is>
      </c>
      <c r="J1206" t="inlineStr">
        <is>
          <t>AMAZONAS, EDUCAR PARA TRANSFORMAR, FINALISTA, IEA MANAUS, INSTITUTO DE EDUCAÇÃO DO AMAZONAS IEA, INSTITUTO MRV, MANAUS</t>
        </is>
      </c>
      <c r="K1206" t="n">
        <v>7</v>
      </c>
      <c r="L1206" t="n">
        <v>3</v>
      </c>
      <c r="M1206" t="n">
        <v>0</v>
      </c>
      <c r="N1206" t="n">
        <v>0</v>
      </c>
      <c r="O1206" t="n">
        <v>12</v>
      </c>
      <c r="P1206">
        <f>HYPERLINK("https://portalamazonia.com/noticias/educacao/instituto-de-educacao-do-amazonas-e-finalista-em-disputa-nacional-votacao-popular-aberta", "URL")</f>
        <v/>
      </c>
      <c r="Q1206">
        <f>HYPERLINK("https://raw.githubusercontent.com/marcosmapl/dataset_imigrantes/main/materias_filtered/portal_amazonia/venezuelanos/2019/11_dez/html/21478.21478_1413.html", "HTML")</f>
        <v/>
      </c>
      <c r="R1206">
        <f>HYPERLINK("https://raw.githubusercontent.com/marcosmapl/dataset_imigrantes/main/materias_filtered/portal_amazonia/venezuelanos/2019/11_dez/txt/21478.21478_1413.txt", "TXT")</f>
        <v/>
      </c>
    </row>
    <row r="1207">
      <c r="A1207" s="1" t="n">
        <v>1205</v>
      </c>
      <c r="B1207" t="n">
        <v>2019</v>
      </c>
      <c r="C1207" s="2" t="n">
        <v>43808.8582265162</v>
      </c>
      <c r="D1207" t="inlineStr">
        <is>
          <t>G1</t>
        </is>
      </c>
      <c r="E1207" t="inlineStr">
        <is>
          <t>VENEZUELANOS</t>
        </is>
      </c>
      <c r="F1207" t="inlineStr">
        <is>
          <t>ACRE</t>
        </is>
      </c>
      <c r="G1207" t="inlineStr">
        <is>
          <t>GISELLE LOUREIRO, JORNAL DO ACRE 1ª EDIÇÃO — RIO BRANCO</t>
        </is>
      </c>
      <c r="H1207" t="inlineStr">
        <is>
          <t>EM 10 MESES, MAIS DE 80 VENEZUELANOS FIZERAM SOLICITAÇÃO DE REFÚGIO NO ACRE</t>
        </is>
      </c>
      <c r="I1207" t="inlineStr">
        <is>
          <t>DE ACORDO COM O FUNDO DAS NAÇÕES UNIDAS PARA A INFÂNCIA (UNICEF), ENTRE 2015 E AGOSTO DESTE ANO, FORAM FEITAS 212 MIL SOLICITAÇÕES DE RESIDÊNCIA TEMPORÁRIA E REFÚGIO DE VENEZUELANOS NO BRASIL.</t>
        </is>
      </c>
      <c r="J1207" t="inlineStr"/>
      <c r="K1207" t="n">
        <v>0</v>
      </c>
      <c r="L1207" t="n">
        <v>2</v>
      </c>
      <c r="M1207" t="n">
        <v>1</v>
      </c>
      <c r="N1207" t="n">
        <v>0</v>
      </c>
      <c r="O1207" t="n">
        <v>1</v>
      </c>
      <c r="P1207">
        <f>HYPERLINK("https://g1.globo.com/ac/acre/noticia/2019/12/09/em-10-meses-mais-de-80-venezuelanos-fizeram-solicitacao-de-refugio-no-acre.ghtml", "URL")</f>
        <v/>
      </c>
      <c r="Q1207">
        <f>HYPERLINK("https://raw.githubusercontent.com/marcosmapl/dataset_imigrantes/main/materias_filtered/g1/venezuelanos/2019/11_dez/html/g1_e093919a-2316-11ed-b24f-6dbe51e79fca_3175.html", "HTML")</f>
        <v/>
      </c>
      <c r="R1207">
        <f>HYPERLINK("https://raw.githubusercontent.com/marcosmapl/dataset_imigrantes/main/materias_filtered/g1/venezuelanos/2019/11_dez/txt/g1_e093919a-2316-11ed-b24f-6dbe51e79fca_3175.txt", "TXT")</f>
        <v/>
      </c>
    </row>
    <row r="1208">
      <c r="A1208" s="1" t="n">
        <v>1206</v>
      </c>
      <c r="B1208" t="n">
        <v>2019</v>
      </c>
      <c r="C1208" s="2" t="n">
        <v>43808.81582721064</v>
      </c>
      <c r="D1208" t="inlineStr">
        <is>
          <t>G1</t>
        </is>
      </c>
      <c r="E1208" t="inlineStr">
        <is>
          <t>HAITIANOS</t>
        </is>
      </c>
      <c r="F1208" t="inlineStr">
        <is>
          <t>SANTA CATARINA</t>
        </is>
      </c>
      <c r="G1208" t="inlineStr"/>
      <c r="H1208" t="inlineStr">
        <is>
          <t>QUATRO PESSOAS MORREM APÓS CARRO CAIR EM RIBANCEIRA NA BR-282, NO OESTE DE SC</t>
        </is>
      </c>
      <c r="I1208" t="inlineStr">
        <is>
          <t>ACIDENTE OCORREU EM PINHALZINHO NESTA SEGUNDA. SEGUNDO A POLÍCIA RODOVIÁRIA FEDERAL (PRF), HAITIANOS ESTARIAM ENTRE AS VÍTIMAS.</t>
        </is>
      </c>
      <c r="J1208" t="inlineStr"/>
      <c r="K1208" t="n">
        <v>0</v>
      </c>
      <c r="L1208" t="n">
        <v>3</v>
      </c>
      <c r="M1208" t="n">
        <v>1</v>
      </c>
      <c r="N1208" t="n">
        <v>0</v>
      </c>
      <c r="O1208" t="n">
        <v>2</v>
      </c>
      <c r="P1208">
        <f>HYPERLINK("https://g1.globo.com/sc/santa-catarina/noticia/2019/12/09/quatro-pessoas-morrem-apos-carro-cair-em-ribanceira-na-br-282-no-oeste-de-sc.ghtml", "URL")</f>
        <v/>
      </c>
      <c r="Q1208">
        <f>HYPERLINK("https://raw.githubusercontent.com/marcosmapl/dataset_imigrantes/main/materias_filtered/g1/haitianos/2019/11_dez/html/g1_524bf56a-231d-11ed-b24f-6dbe51e79fca_3497.html", "HTML")</f>
        <v/>
      </c>
      <c r="R1208">
        <f>HYPERLINK("https://raw.githubusercontent.com/marcosmapl/dataset_imigrantes/main/materias_filtered/g1/haitianos/2019/11_dez/txt/g1_524bf56a-231d-11ed-b24f-6dbe51e79fca_3497.txt", "TXT")</f>
        <v/>
      </c>
    </row>
    <row r="1209">
      <c r="A1209" s="1" t="n">
        <v>1207</v>
      </c>
      <c r="B1209" t="n">
        <v>2019</v>
      </c>
      <c r="C1209" s="2" t="n">
        <v>43806.6622337963</v>
      </c>
      <c r="D1209" t="inlineStr">
        <is>
          <t>A CRITICA</t>
        </is>
      </c>
      <c r="E1209" t="inlineStr">
        <is>
          <t>VENEZUELANOS</t>
        </is>
      </c>
      <c r="F1209" t="inlineStr">
        <is>
          <t>POLICIA</t>
        </is>
      </c>
      <c r="G1209" t="inlineStr">
        <is>
          <t>JOHNY VASCONCELOS</t>
        </is>
      </c>
      <c r="H1209" t="inlineStr">
        <is>
          <t>APÓS DOIS MESES DE ESPERA, FAMÍLIA PODERÁ ENTERRAR RESTOS MORTAIS DE ADOLESCENTE</t>
        </is>
      </c>
      <c r="I1209" t="inlineStr">
        <is>
          <t>LIBERAÇÃO DOS RESTOS MORTAIS DE RAYNER VINICIUS GONÇALVES, 15, OCORREU NESSA SEXTA-FEIRA (6)</t>
        </is>
      </c>
      <c r="J1209" t="inlineStr"/>
      <c r="K1209" t="n">
        <v>0</v>
      </c>
      <c r="L1209" t="n">
        <v>1</v>
      </c>
      <c r="M1209" t="n">
        <v>0</v>
      </c>
      <c r="N1209" t="n">
        <v>0</v>
      </c>
      <c r="O1209" t="n">
        <v>2</v>
      </c>
      <c r="P1209">
        <f>HYPERLINK("https://www.acritica.com/policia/apos-dois-meses-de-espera-familia-podera-enterrar-restos-mortais-de-adolescente-1.53520", "URL")</f>
        <v/>
      </c>
      <c r="Q1209">
        <f>HYPERLINK("https://raw.githubusercontent.com/marcosmapl/dataset_imigrantes/main/materias_filtered/a_critica/venezuelanos/2019/11_dez/html/1.53520_151.html", "HTML")</f>
        <v/>
      </c>
      <c r="R1209">
        <f>HYPERLINK("https://raw.githubusercontent.com/marcosmapl/dataset_imigrantes/main/materias_filtered/a_critica/venezuelanos/2019/11_dez/txt/1.53520_151.txt", "TXT")</f>
        <v/>
      </c>
    </row>
    <row r="1210">
      <c r="A1210" s="1" t="n">
        <v>1208</v>
      </c>
      <c r="B1210" t="n">
        <v>2019</v>
      </c>
      <c r="C1210" s="2" t="n">
        <v>43805.61746527778</v>
      </c>
      <c r="D1210" t="inlineStr">
        <is>
          <t>A CRITICA</t>
        </is>
      </c>
      <c r="E1210" t="inlineStr">
        <is>
          <t>VENEZUELANOS</t>
        </is>
      </c>
      <c r="F1210" t="inlineStr"/>
      <c r="G1210" t="inlineStr">
        <is>
          <t>REUTERS</t>
        </is>
      </c>
      <c r="H1210" t="inlineStr">
        <is>
          <t>COMÉRCIO ILEGAL DE OURO É ALVO DE OPERAÇÃO DA PF NO AMAZONAS</t>
        </is>
      </c>
      <c r="I1210" t="inlineStr">
        <is>
          <t>POLÍCIA FEDERAL PRETENDE DESARTICULAR UMA ORGANIZAÇÃO CRIMINOSA COMPOSTA POR BRASILEIROS E VENEZUELANOS QUE SERIA RESPONSÁVEL PELO COMÉRCIO ILEGAL DE AO MENOS 1,2 TONELADA DE OURO</t>
        </is>
      </c>
      <c r="J1210" t="inlineStr"/>
      <c r="K1210" t="n">
        <v>0</v>
      </c>
      <c r="L1210" t="n">
        <v>1</v>
      </c>
      <c r="M1210" t="n">
        <v>0</v>
      </c>
      <c r="N1210" t="n">
        <v>0</v>
      </c>
      <c r="O1210" t="n">
        <v>0</v>
      </c>
      <c r="P1210">
        <f>HYPERLINK("https://www.acritica.com/comercio-ilegal-de-ouro-e-alvo-de-operac-o-da-pf-no-amazonas-1.53531", "URL")</f>
        <v/>
      </c>
      <c r="Q1210">
        <f>HYPERLINK("https://raw.githubusercontent.com/marcosmapl/dataset_imigrantes/main/materias_filtered/a_critica/venezuelanos/2019/11_dez/html/1.53531_547.html", "HTML")</f>
        <v/>
      </c>
      <c r="R1210">
        <f>HYPERLINK("https://raw.githubusercontent.com/marcosmapl/dataset_imigrantes/main/materias_filtered/a_critica/venezuelanos/2019/11_dez/txt/1.53531_547.txt", "TXT")</f>
        <v/>
      </c>
    </row>
    <row r="1211">
      <c r="A1211" s="1" t="n">
        <v>1209</v>
      </c>
      <c r="B1211" t="n">
        <v>2019</v>
      </c>
      <c r="C1211" s="2" t="n">
        <v>43805.50277777778</v>
      </c>
      <c r="D1211" t="inlineStr">
        <is>
          <t>PORTAL AMAZONIA</t>
        </is>
      </c>
      <c r="E1211" t="inlineStr">
        <is>
          <t>VENEZUELANOS</t>
        </is>
      </c>
      <c r="F1211" t="inlineStr">
        <is>
          <t>EDUCAÇÃO</t>
        </is>
      </c>
      <c r="G1211" t="inlineStr">
        <is>
          <t>REDAÇÃO</t>
        </is>
      </c>
      <c r="H1211" t="inlineStr">
        <is>
          <t>ESTUDANTE DE MANAUS GANHA MEDALHA DE OURO EM OLIMPÍADAS BRASILEIRAS DE MATEMÁTICA</t>
        </is>
      </c>
      <c r="I1211" t="inlineStr">
        <is>
          <t>O RESULTADO DO TRABALHO REALIZADO PELA SECRETARIA DE EDUCAÇÃO DE MANAUS NA VALORIZAÇÃO DA EDUCAÇÃO APARECE MAIS UMA VEZ, AGORA COM O ALUNO DANIEL BASTOS AMARAL, ESTUDANTE DO 7º ANO DA ESCOLA MUNICIPAL JOAQUIM GONZAGA PINHEIRO, LOCALIZADA NA ZONA OEST</t>
        </is>
      </c>
      <c r="J1211" t="inlineStr">
        <is>
          <t>AMAZONAS, MANAUS, OBMEP 2019, OLIMPIADA DE MATEMÁTICA 2019, PREMIO OBMEP MANAUS</t>
        </is>
      </c>
      <c r="K1211" t="n">
        <v>5</v>
      </c>
      <c r="L1211" t="n">
        <v>4</v>
      </c>
      <c r="M1211" t="n">
        <v>0</v>
      </c>
      <c r="N1211" t="n">
        <v>0</v>
      </c>
      <c r="O1211" t="n">
        <v>10</v>
      </c>
      <c r="P1211">
        <f>HYPERLINK("https://portalamazonia.com/noticias/educacao/estudante-de-manaus-ganha-medalha-de-ouro-em-olimpiadas-brasileiras-de-matematica", "URL")</f>
        <v/>
      </c>
      <c r="Q1211">
        <f>HYPERLINK("https://raw.githubusercontent.com/marcosmapl/dataset_imigrantes/main/materias_filtered/portal_amazonia/venezuelanos/2019/11_dez/html/21449.21449_1606.html", "HTML")</f>
        <v/>
      </c>
      <c r="R1211">
        <f>HYPERLINK("https://raw.githubusercontent.com/marcosmapl/dataset_imigrantes/main/materias_filtered/portal_amazonia/venezuelanos/2019/11_dez/txt/21449.21449_1606.txt", "TXT")</f>
        <v/>
      </c>
    </row>
    <row r="1212">
      <c r="A1212" s="1" t="n">
        <v>1210</v>
      </c>
      <c r="B1212" t="n">
        <v>2019</v>
      </c>
      <c r="C1212" s="2" t="n">
        <v>43804.82759354167</v>
      </c>
      <c r="D1212" t="inlineStr">
        <is>
          <t>G1</t>
        </is>
      </c>
      <c r="E1212" t="inlineStr">
        <is>
          <t>VENEZUELANOS</t>
        </is>
      </c>
      <c r="F1212" t="inlineStr">
        <is>
          <t>MUNDO</t>
        </is>
      </c>
      <c r="G1212" t="inlineStr">
        <is>
          <t>LUCAS VIDIGAL, G1</t>
        </is>
      </c>
      <c r="H1212" t="inlineStr">
        <is>
          <t>DE UMA VEZ, BRASIL APROVA MAIS DE 21 MIL SOLICITAÇÕES DE REFÚGIO DE VENEZUELANOS</t>
        </is>
      </c>
      <c r="I1212" t="inlineStr">
        <is>
          <t>NÚMERO CORRESPONDE A QUASE O DOBRO DO NÚMERO DE REFUGIADOS QUE JÁ HAVIA NO BRASIL. GOVERNO CONSIDERA VENEZUELA EM SITUAÇÃO DE 'GRAVE E GENERALIZADA VIOLAÇÃO AOS DIREITOS HUMANOS', STATUS QUE DÁ MAIS CELERIDADE NA ANÁLISE DOS PEDIDOS.</t>
        </is>
      </c>
      <c r="J1212" t="inlineStr"/>
      <c r="K1212" t="n">
        <v>0</v>
      </c>
      <c r="L1212" t="n">
        <v>4</v>
      </c>
      <c r="M1212" t="n">
        <v>2</v>
      </c>
      <c r="N1212" t="n">
        <v>0</v>
      </c>
      <c r="O1212" t="n">
        <v>9</v>
      </c>
      <c r="P1212">
        <f>HYPERLINK("https://g1.globo.com/mundo/noticia/2019/12/05/brasil-aprova-mais-de-21-mil-pedidos-de-refugio-de-venezuelanos.ghtml", "URL")</f>
        <v/>
      </c>
      <c r="Q1212">
        <f>HYPERLINK("https://raw.githubusercontent.com/marcosmapl/dataset_imigrantes/main/materias_filtered/g1/venezuelanos/2019/11_dez/html/g1_3d08ae52-2320-11ed-b24f-6dbe51e79fca_3672.html", "HTML")</f>
        <v/>
      </c>
      <c r="R1212">
        <f>HYPERLINK("https://raw.githubusercontent.com/marcosmapl/dataset_imigrantes/main/materias_filtered/g1/venezuelanos/2019/11_dez/txt/g1_3d08ae52-2320-11ed-b24f-6dbe51e79fca_3672.txt", "TXT")</f>
        <v/>
      </c>
    </row>
    <row r="1213">
      <c r="A1213" s="1" t="n">
        <v>1211</v>
      </c>
      <c r="B1213" t="n">
        <v>2019</v>
      </c>
      <c r="C1213" s="2" t="n">
        <v>43804.55833333333</v>
      </c>
      <c r="D1213" t="inlineStr">
        <is>
          <t>PORTAL AMAZONIA</t>
        </is>
      </c>
      <c r="E1213" t="inlineStr">
        <is>
          <t>VENEZUELANOS</t>
        </is>
      </c>
      <c r="F1213" t="inlineStr">
        <is>
          <t>CIDADES</t>
        </is>
      </c>
      <c r="G1213" t="inlineStr">
        <is>
          <t>REDAÇÃO</t>
        </is>
      </c>
      <c r="H1213" t="inlineStr">
        <is>
          <t>REFUGIADAS VENEZUELANAS WARAO RECEBEM TREINAMENTO EM ARTESANATO PARA GERAR RENDA EM MANAUS</t>
        </is>
      </c>
      <c r="I1213" t="inlineStr">
        <is>
          <t>A CRIATIVIDADE E O SABER ANCESTRAL DA ETNIA WARAO PODEM SE TORNAR UMA FONTE DE RENDA E ESPERANÇA PARA REFUGIADAS E MIGRANTES DESTA POPULAÇÃO INDÍGENA ACOLHIDA EM MANAUS. UMA PARCERIA DA AGÊNCIA DA ONU PARA REFUGIADOS (ACNUR) E DO FUNDO DE POPULAÇÃO D</t>
        </is>
      </c>
      <c r="J1213" t="inlineStr">
        <is>
          <t>ACNUR ONU, ARTESANATO, ARTESANATO INDIGENA, ARTESANATO INDIGENA VENDA, CAPACITAÇÃO, FEIRA ARTESANATO, ONU</t>
        </is>
      </c>
      <c r="K1213" t="n">
        <v>7</v>
      </c>
      <c r="L1213" t="n">
        <v>4</v>
      </c>
      <c r="M1213" t="n">
        <v>0</v>
      </c>
      <c r="N1213" t="n">
        <v>0</v>
      </c>
      <c r="O1213" t="n">
        <v>12</v>
      </c>
      <c r="P1213">
        <f>HYPERLINK("https://portalamazonia.com/noticias/cidades/refugiadas-venezuelanas-warao-recebem-treinamento-em-artesanato-para-gerar-renda-em-manaus", "URL")</f>
        <v/>
      </c>
      <c r="Q1213">
        <f>HYPERLINK("https://raw.githubusercontent.com/marcosmapl/dataset_imigrantes/main/materias_filtered/portal_amazonia/venezuelanos/2019/11_dez/html/21439.21439_1480.html", "HTML")</f>
        <v/>
      </c>
      <c r="R1213">
        <f>HYPERLINK("https://raw.githubusercontent.com/marcosmapl/dataset_imigrantes/main/materias_filtered/portal_amazonia/venezuelanos/2019/11_dez/txt/21439.21439_1480.txt", "TXT")</f>
        <v/>
      </c>
    </row>
    <row r="1214">
      <c r="A1214" s="1" t="n">
        <v>1212</v>
      </c>
      <c r="B1214" t="n">
        <v>2019</v>
      </c>
      <c r="C1214" s="2" t="n">
        <v>43803.85496199074</v>
      </c>
      <c r="D1214" t="inlineStr">
        <is>
          <t>G1</t>
        </is>
      </c>
      <c r="E1214" t="inlineStr">
        <is>
          <t>VENEZUELANOS</t>
        </is>
      </c>
      <c r="F1214" t="inlineStr">
        <is>
          <t>RORAIMA</t>
        </is>
      </c>
      <c r="G1214" t="inlineStr">
        <is>
          <t>EMILY COSTA, G1 RR — BOA VISTA</t>
        </is>
      </c>
      <c r="H1214" t="inlineStr">
        <is>
          <t>PUXADA PELA IMIGRAÇÃO VENEZUELANA, RR TEM MAIOR ALTA DE NASCIMENTOS DO PAÍS EM 2018</t>
        </is>
      </c>
      <c r="I1214" t="inlineStr">
        <is>
          <t>ESTADO TEVE ALTA DE 13% NOS NASCIMENTOS E REGISTROS DE CRIANÇAS, APONTA IBGE; MÉDIA NO PAÍS CRESCEU SÓ 1%. NA ÚNICA MATERNIDADE PÚBLICA DO ESTADO, PARTOS DE MÃES VENEZUELANAS CRESCERAM 909% ENTRE 2016 E 2019, SEGUNDO A SECRETARIA DE SAÚDE.</t>
        </is>
      </c>
      <c r="J1214" t="inlineStr"/>
      <c r="K1214" t="n">
        <v>0</v>
      </c>
      <c r="L1214" t="n">
        <v>1</v>
      </c>
      <c r="M1214" t="n">
        <v>1</v>
      </c>
      <c r="N1214" t="n">
        <v>0</v>
      </c>
      <c r="O1214" t="n">
        <v>2</v>
      </c>
      <c r="P1214">
        <f>HYPERLINK("https://g1.globo.com/rr/roraima/noticia/2019/12/04/puxada-pela-imigracao-venezuelana-rr-tem-maior-alta-de-nascimentos-do-pais-em-2018.ghtml", "URL")</f>
        <v/>
      </c>
      <c r="Q1214">
        <f>HYPERLINK("https://raw.githubusercontent.com/marcosmapl/dataset_imigrantes/main/materias_filtered/g1/venezuelanos/2019/11_dez/html/g1_7f16c8b6-2310-11ed-b24f-6dbe51e79fca_2860.html", "HTML")</f>
        <v/>
      </c>
      <c r="R1214">
        <f>HYPERLINK("https://raw.githubusercontent.com/marcosmapl/dataset_imigrantes/main/materias_filtered/g1/venezuelanos/2019/11_dez/txt/g1_7f16c8b6-2310-11ed-b24f-6dbe51e79fca_2860.txt", "TXT")</f>
        <v/>
      </c>
    </row>
    <row r="1215">
      <c r="A1215" s="1" t="n">
        <v>1213</v>
      </c>
      <c r="B1215" t="n">
        <v>2019</v>
      </c>
      <c r="C1215" s="2" t="n">
        <v>43803.81725434028</v>
      </c>
      <c r="D1215" t="inlineStr">
        <is>
          <t>G1</t>
        </is>
      </c>
      <c r="E1215" t="inlineStr">
        <is>
          <t>VENEZUELANOS</t>
        </is>
      </c>
      <c r="F1215" t="inlineStr">
        <is>
          <t>AMAZONAS</t>
        </is>
      </c>
      <c r="G1215" t="inlineStr">
        <is>
          <t>G1 AM</t>
        </is>
      </c>
      <c r="H1215" t="inlineStr">
        <is>
          <t>CURSO DE MANICURE E PEDICURE OFERECE ALTERNATIVA DE RENDA PARA REFUGIADAS E MIGRANTES VENEZUELANAS EM MANAUS</t>
        </is>
      </c>
      <c r="I1215" t="inlineStr">
        <is>
          <t>PROMOVIDA PELA AGÊNCIA DA ONU PARA REFUGIADOS (ACNUR) E PELO CENTRO DE EDUCAÇÃO TECNOLÓGICA DO AMAZONAS (CETAM), INICIATIVA OFERECE OPORTUNIDADES PARA 25 REFUGIADAS NA CIDADE.</t>
        </is>
      </c>
      <c r="J1215" t="inlineStr"/>
      <c r="K1215" t="n">
        <v>0</v>
      </c>
      <c r="L1215" t="n">
        <v>1</v>
      </c>
      <c r="M1215" t="n">
        <v>0</v>
      </c>
      <c r="N1215" t="n">
        <v>0</v>
      </c>
      <c r="O1215" t="n">
        <v>0</v>
      </c>
      <c r="P1215">
        <f>HYPERLINK("https://g1.globo.com/am/amazonas/noticia/2019/12/04/curso-de-manicure-e-pedicure-oferece-alternativa-de-renda-para-refugiadas-e-migrantes-venezuelanas-em-manaus.ghtml", "URL")</f>
        <v/>
      </c>
      <c r="Q1215">
        <f>HYPERLINK("https://raw.githubusercontent.com/marcosmapl/dataset_imigrantes/main/materias_filtered/g1/venezuelanos/2019/11_dez/html/g1_d56883ce-2321-11ed-b24f-6dbe51e79fca_3720.html", "HTML")</f>
        <v/>
      </c>
      <c r="R1215">
        <f>HYPERLINK("https://raw.githubusercontent.com/marcosmapl/dataset_imigrantes/main/materias_filtered/g1/venezuelanos/2019/11_dez/txt/g1_d56883ce-2321-11ed-b24f-6dbe51e79fca_3720.txt", "TXT")</f>
        <v/>
      </c>
    </row>
    <row r="1216">
      <c r="A1216" s="1" t="n">
        <v>1214</v>
      </c>
      <c r="B1216" t="n">
        <v>2019</v>
      </c>
      <c r="C1216" s="2" t="n">
        <v>43803.77558776621</v>
      </c>
      <c r="D1216" t="inlineStr">
        <is>
          <t>G1</t>
        </is>
      </c>
      <c r="E1216" t="inlineStr">
        <is>
          <t>VENEZUELANOS</t>
        </is>
      </c>
      <c r="F1216" t="inlineStr">
        <is>
          <t>AMAZONAS</t>
        </is>
      </c>
      <c r="G1216" t="inlineStr">
        <is>
          <t>G1 AM</t>
        </is>
      </c>
      <c r="H1216" t="inlineStr">
        <is>
          <t>REFUGIADAS VENEZUELANAS WARAO RECEBEM TREINAMENTO EM ARTESANATO PARA GERAR RENDA EM MANAUS</t>
        </is>
      </c>
      <c r="I1216" t="inlineStr">
        <is>
          <t>INICIATIVA BUSCA VALORIZAR CRIAÇÕES INDÍGENAS PARA PROMOVER INTEGRAÇÃO E ALTERNATIVAS À COMUNIDADE REFUGIADA NA CIDADE.</t>
        </is>
      </c>
      <c r="J1216" t="inlineStr"/>
      <c r="K1216" t="n">
        <v>0</v>
      </c>
      <c r="L1216" t="n">
        <v>1</v>
      </c>
      <c r="M1216" t="n">
        <v>0</v>
      </c>
      <c r="N1216" t="n">
        <v>0</v>
      </c>
      <c r="O1216" t="n">
        <v>0</v>
      </c>
      <c r="P1216">
        <f>HYPERLINK("https://g1.globo.com/am/amazonas/noticia/2019/12/04/refugiadas-venezuelanas-warao-recebem-treinamento-em-artesanato-para-gerar-renda-em-manaus.ghtml", "URL")</f>
        <v/>
      </c>
      <c r="Q1216">
        <f>HYPERLINK("https://raw.githubusercontent.com/marcosmapl/dataset_imigrantes/main/materias_filtered/g1/venezuelanos/2019/11_dez/html/g1_77399150-2324-11ed-b24f-6dbe51e79fca_3873.html", "HTML")</f>
        <v/>
      </c>
      <c r="R1216">
        <f>HYPERLINK("https://raw.githubusercontent.com/marcosmapl/dataset_imigrantes/main/materias_filtered/g1/venezuelanos/2019/11_dez/txt/g1_77399150-2324-11ed-b24f-6dbe51e79fca_3873.txt", "TXT")</f>
        <v/>
      </c>
    </row>
    <row r="1217">
      <c r="A1217" s="1" t="n">
        <v>1215</v>
      </c>
      <c r="B1217" t="n">
        <v>2019</v>
      </c>
      <c r="C1217" s="2" t="n">
        <v>43803.75769125</v>
      </c>
      <c r="D1217" t="inlineStr">
        <is>
          <t>G1</t>
        </is>
      </c>
      <c r="E1217" t="inlineStr">
        <is>
          <t>VENEZUELANOS</t>
        </is>
      </c>
      <c r="F1217" t="inlineStr">
        <is>
          <t>RORAIMA</t>
        </is>
      </c>
      <c r="G1217" t="inlineStr">
        <is>
          <t>G1 RR — BOA VISTA</t>
        </is>
      </c>
      <c r="H1217" t="inlineStr">
        <is>
          <t>FEIRA DE EMPREENDEDORISMO REÚNE EXPOSITORES BRASILEIROS E VENEZUELANOS EM BOA VISTA</t>
        </is>
      </c>
      <c r="I1217" t="inlineStr">
        <is>
          <t>AÇÃO OCORRE NESTE SÁBADO (7), NA ESCOLA ESTADUAL ANTONIO FERREIRA DE SOUZA. ENTRADA É GRATUITA.</t>
        </is>
      </c>
      <c r="J1217" t="inlineStr"/>
      <c r="K1217" t="n">
        <v>0</v>
      </c>
      <c r="L1217" t="n">
        <v>1</v>
      </c>
      <c r="M1217" t="n">
        <v>0</v>
      </c>
      <c r="N1217" t="n">
        <v>0</v>
      </c>
      <c r="O1217" t="n">
        <v>0</v>
      </c>
      <c r="P1217">
        <f>HYPERLINK("https://g1.globo.com/rr/roraima/noticia/2019/12/04/feira-de-empreendedorismo-reune-expositores-brasileiros-e-venezuelanos-em-boa-vista.ghtml", "URL")</f>
        <v/>
      </c>
      <c r="Q1217">
        <f>HYPERLINK("https://raw.githubusercontent.com/marcosmapl/dataset_imigrantes/main/materias_filtered/g1/venezuelanos/2019/11_dez/html/g1_4b61486a-2325-11ed-b24f-6dbe51e79fca_3905.html", "HTML")</f>
        <v/>
      </c>
      <c r="R1217">
        <f>HYPERLINK("https://raw.githubusercontent.com/marcosmapl/dataset_imigrantes/main/materias_filtered/g1/venezuelanos/2019/11_dez/txt/g1_4b61486a-2325-11ed-b24f-6dbe51e79fca_3905.txt", "TXT")</f>
        <v/>
      </c>
    </row>
    <row r="1218">
      <c r="A1218" s="1" t="n">
        <v>1216</v>
      </c>
      <c r="B1218" t="n">
        <v>2019</v>
      </c>
      <c r="C1218" s="2" t="n">
        <v>43802.80555555555</v>
      </c>
      <c r="D1218" t="inlineStr">
        <is>
          <t>PORTAL AMAZONIA</t>
        </is>
      </c>
      <c r="E1218" t="inlineStr">
        <is>
          <t>VENEZUELANOS</t>
        </is>
      </c>
      <c r="F1218" t="inlineStr">
        <is>
          <t>EDUCAÇÃO</t>
        </is>
      </c>
      <c r="G1218" t="inlineStr">
        <is>
          <t>REDAÇÃO</t>
        </is>
      </c>
      <c r="H1218" t="inlineStr">
        <is>
          <t>PROJETO QUE INTEGRA ALUNOS BRASILEIROS E VENEZUELANOS EM RR VENCE PRÊMIO INNOVARE</t>
        </is>
      </c>
      <c r="I1218" t="inlineStr">
        <is>
          <t>O PROJETO DUAS CULTURAS E UMA NAÇÃO, DESENVOLVIDO NA ESCOLA ESTADUAL OLAVO BRASIL FILHO, EM BOA VISTA, VENCEU O PRÊMIO INNOVARE NA CATEGORIA JUSTIÇA E CIDADANIA. O RESULTADO COM OS SETE VENCEDORES DE TODO O PAÍS FOI ANUNCIADO NESTA TERÇA-FEIRA (3)</t>
        </is>
      </c>
      <c r="J1218" t="inlineStr">
        <is>
          <t>BOA VISTA, PRÊMIO, RORAIMA, VENEZUELA</t>
        </is>
      </c>
      <c r="K1218" t="n">
        <v>4</v>
      </c>
      <c r="L1218" t="n">
        <v>2</v>
      </c>
      <c r="M1218" t="n">
        <v>0</v>
      </c>
      <c r="N1218" t="n">
        <v>0</v>
      </c>
      <c r="O1218" t="n">
        <v>9</v>
      </c>
      <c r="P1218">
        <f>HYPERLINK("https://portalamazonia.com/noticias/educacao/projeto-que-integra-alunos-brasileiros-e-venezuelanos-em-rr-vence-premio-innovare", "URL")</f>
        <v/>
      </c>
      <c r="Q1218">
        <f>HYPERLINK("https://raw.githubusercontent.com/marcosmapl/dataset_imigrantes/main/materias_filtered/portal_amazonia/venezuelanos/2019/11_dez/html/21423.21423_1613.html", "HTML")</f>
        <v/>
      </c>
      <c r="R1218">
        <f>HYPERLINK("https://raw.githubusercontent.com/marcosmapl/dataset_imigrantes/main/materias_filtered/portal_amazonia/venezuelanos/2019/11_dez/txt/21423.21423_1613.txt", "TXT")</f>
        <v/>
      </c>
    </row>
    <row r="1219">
      <c r="A1219" s="1" t="n">
        <v>1217</v>
      </c>
      <c r="B1219" t="n">
        <v>2019</v>
      </c>
      <c r="C1219" s="2" t="n">
        <v>43802.80121256944</v>
      </c>
      <c r="D1219" t="inlineStr">
        <is>
          <t>G1</t>
        </is>
      </c>
      <c r="E1219" t="inlineStr">
        <is>
          <t>VENEZUELANOS</t>
        </is>
      </c>
      <c r="F1219" t="inlineStr">
        <is>
          <t>RORAIMA</t>
        </is>
      </c>
      <c r="G1219" t="inlineStr">
        <is>
          <t>G1 RR — BOA VISTA</t>
        </is>
      </c>
      <c r="H1219" t="inlineStr">
        <is>
          <t>PROJETO QUE INTEGRA ALUNOS BRASILEIROS E VENEZUELANOS EM RR VENCE PRÊMIO INNOVARE</t>
        </is>
      </c>
      <c r="I1219" t="inlineStr">
        <is>
          <t>INICIATIVA "DUAS CULTURAS E UMA NAÇÃO", DESENVOLVIDA NA ESCOLA PÚBLICA OLAVO BRASIL, FOI PREMIADA NESTA TERÇA-FEIRA (3) NO SUPREMO TRIBUNAL FEDERAL, EM BRASÍLIA.</t>
        </is>
      </c>
      <c r="J1219" t="inlineStr"/>
      <c r="K1219" t="n">
        <v>0</v>
      </c>
      <c r="L1219" t="n">
        <v>2</v>
      </c>
      <c r="M1219" t="n">
        <v>1</v>
      </c>
      <c r="N1219" t="n">
        <v>0</v>
      </c>
      <c r="O1219" t="n">
        <v>3</v>
      </c>
      <c r="P1219">
        <f>HYPERLINK("https://g1.globo.com/rr/roraima/noticia/2019/12/03/projeto-que-integra-alunos-brasileiros-e-venezuelanos-em-rr-vence-premio-innovare.ghtml", "URL")</f>
        <v/>
      </c>
      <c r="Q1219">
        <f>HYPERLINK("https://raw.githubusercontent.com/marcosmapl/dataset_imigrantes/main/materias_filtered/g1/venezuelanos/2019/11_dez/html/g1_d54501e8-2325-11ed-b24f-6dbe51e79fca_3936.html", "HTML")</f>
        <v/>
      </c>
      <c r="R1219">
        <f>HYPERLINK("https://raw.githubusercontent.com/marcosmapl/dataset_imigrantes/main/materias_filtered/g1/venezuelanos/2019/11_dez/txt/g1_d54501e8-2325-11ed-b24f-6dbe51e79fca_3936.txt", "TXT")</f>
        <v/>
      </c>
    </row>
    <row r="1220">
      <c r="A1220" s="1" t="n">
        <v>1218</v>
      </c>
      <c r="B1220" t="n">
        <v>2019</v>
      </c>
      <c r="C1220" s="2" t="n">
        <v>43801.46292421296</v>
      </c>
      <c r="D1220" t="inlineStr">
        <is>
          <t>G1</t>
        </is>
      </c>
      <c r="E1220" t="inlineStr">
        <is>
          <t>HAITIANOS</t>
        </is>
      </c>
      <c r="F1220" t="inlineStr">
        <is>
          <t>SANTA CATARINA</t>
        </is>
      </c>
      <c r="G1220" t="inlineStr">
        <is>
          <t>NSC TV</t>
        </is>
      </c>
      <c r="H1220" t="inlineStr">
        <is>
          <t>CASAL DE HAITIANOS É ENCONTRADO MORTO EM CONDOMÍNIO DE SÃO JOSÉ, NA GRANDE FLORIANÓPOLIS</t>
        </is>
      </c>
      <c r="I1220" t="inlineStr">
        <is>
          <t>A SUSPEITA INICIAL DA POLÍCIA É QUE O HOMEM MATOU A MULHER E DEPOIS TIROU A PRÓPRIA VIDA.</t>
        </is>
      </c>
      <c r="J1220" t="inlineStr"/>
      <c r="K1220" t="n">
        <v>0</v>
      </c>
      <c r="L1220" t="n">
        <v>1</v>
      </c>
      <c r="M1220" t="n">
        <v>1</v>
      </c>
      <c r="N1220" t="n">
        <v>0</v>
      </c>
      <c r="O1220" t="n">
        <v>2</v>
      </c>
      <c r="P1220">
        <f>HYPERLINK("https://g1.globo.com/sc/santa-catarina/noticia/2019/12/02/casal-de-haitianos-e-encontrado-morto-em-condominio-de-sao-jose-na-grande-florianopolis.ghtml", "URL")</f>
        <v/>
      </c>
      <c r="Q1220">
        <f>HYPERLINK("https://raw.githubusercontent.com/marcosmapl/dataset_imigrantes/main/materias_filtered/g1/haitianos/2019/11_dez/html/g1_b1ee32a2-22f6-11ed-b24f-6dbe51e79fca_2030.html", "HTML")</f>
        <v/>
      </c>
      <c r="R1220">
        <f>HYPERLINK("https://raw.githubusercontent.com/marcosmapl/dataset_imigrantes/main/materias_filtered/g1/haitianos/2019/11_dez/txt/g1_b1ee32a2-22f6-11ed-b24f-6dbe51e79fca_2030.txt", "TXT")</f>
        <v/>
      </c>
    </row>
    <row r="1221">
      <c r="A1221" s="1" t="n">
        <v>1219</v>
      </c>
      <c r="B1221" t="n">
        <v>2019</v>
      </c>
      <c r="C1221" s="2" t="n">
        <v>43801.45083333334</v>
      </c>
      <c r="D1221" t="inlineStr">
        <is>
          <t>A CRITICA</t>
        </is>
      </c>
      <c r="E1221" t="inlineStr">
        <is>
          <t>VENEZUELANOS</t>
        </is>
      </c>
      <c r="F1221" t="inlineStr">
        <is>
          <t>OPINIAO</t>
        </is>
      </c>
      <c r="G1221" t="inlineStr"/>
      <c r="H1221" t="inlineStr">
        <is>
          <t>OS IMIGRANTES NA CIDADE</t>
        </is>
      </c>
      <c r="I1221" t="inlineStr"/>
      <c r="J1221" t="inlineStr"/>
      <c r="K1221" t="n">
        <v>0</v>
      </c>
      <c r="L1221" t="n">
        <v>1</v>
      </c>
      <c r="M1221" t="n">
        <v>0</v>
      </c>
      <c r="N1221" t="n">
        <v>0</v>
      </c>
      <c r="O1221" t="n">
        <v>0</v>
      </c>
      <c r="P1221">
        <f>HYPERLINK("https://www.acritica.com/opiniao/os-imigrantes-na-cidade-1.228217", "URL")</f>
        <v/>
      </c>
      <c r="Q1221">
        <f>HYPERLINK("https://raw.githubusercontent.com/marcosmapl/dataset_imigrantes/main/materias_filtered/a_critica/venezuelanos/2019/11_dez/html/1.228217_639.html", "HTML")</f>
        <v/>
      </c>
      <c r="R1221">
        <f>HYPERLINK("https://raw.githubusercontent.com/marcosmapl/dataset_imigrantes/main/materias_filtered/a_critica/venezuelanos/2019/11_dez/txt/1.228217_639.txt", "TXT")</f>
        <v/>
      </c>
    </row>
    <row r="1222">
      <c r="A1222" s="1" t="n">
        <v>1220</v>
      </c>
      <c r="B1222" t="n">
        <v>2019</v>
      </c>
      <c r="C1222" s="2" t="n">
        <v>43800.83728009259</v>
      </c>
      <c r="D1222" t="inlineStr">
        <is>
          <t>A CRITICA</t>
        </is>
      </c>
      <c r="E1222" t="inlineStr">
        <is>
          <t>VENEZUELANOS</t>
        </is>
      </c>
      <c r="F1222" t="inlineStr"/>
      <c r="G1222" t="inlineStr">
        <is>
          <t>AFP</t>
        </is>
      </c>
      <c r="H1222" t="inlineStr">
        <is>
          <t>DENÚNCIAS DE CORRUPÇÃO AMEAÇAM LIDERANÇA DE GUAIDÓ NA VENEZUELA</t>
        </is>
      </c>
      <c r="I1222" t="inlineStr">
        <is>
          <t>UMA INVESTIGAÇÃO JORNALÍSTICA  LIGA NOVE DEPUTADOS DA BASE DE GUAIDÓ A MANOBRAS EM FAVOR DO EMPRESÁRIO COLOMBIANO CARLOS LIZCANO, VINCULADO A UM PROGRAMA DE MADURO PARA DISTRIBUIR ALIMENTOS SUBSIDIADOS.</t>
        </is>
      </c>
      <c r="J1222" t="inlineStr"/>
      <c r="K1222" t="n">
        <v>0</v>
      </c>
      <c r="L1222" t="n">
        <v>1</v>
      </c>
      <c r="M1222" t="n">
        <v>0</v>
      </c>
      <c r="N1222" t="n">
        <v>0</v>
      </c>
      <c r="O1222" t="n">
        <v>0</v>
      </c>
      <c r="P1222">
        <f>HYPERLINK("https://www.acritica.com/denuncias-de-corrupc-o-ameacam-lideranca-de-guaido-na-venezuela-1.55500", "URL")</f>
        <v/>
      </c>
      <c r="Q1222">
        <f>HYPERLINK("https://raw.githubusercontent.com/marcosmapl/dataset_imigrantes/main/materias_filtered/a_critica/venezuelanos/2019/11_dez/html/1.55500_544.html", "HTML")</f>
        <v/>
      </c>
      <c r="R1222">
        <f>HYPERLINK("https://raw.githubusercontent.com/marcosmapl/dataset_imigrantes/main/materias_filtered/a_critica/venezuelanos/2019/11_dez/txt/1.55500_544.txt", "TXT")</f>
        <v/>
      </c>
    </row>
    <row r="1223">
      <c r="A1223" s="1" t="n">
        <v>1221</v>
      </c>
      <c r="B1223" t="n">
        <v>2019</v>
      </c>
      <c r="C1223" s="2" t="n">
        <v>43800.56504170139</v>
      </c>
      <c r="D1223" t="inlineStr">
        <is>
          <t>G1</t>
        </is>
      </c>
      <c r="E1223" t="inlineStr">
        <is>
          <t>VENEZUELANOS</t>
        </is>
      </c>
      <c r="F1223" t="inlineStr">
        <is>
          <t>RORAIMA</t>
        </is>
      </c>
      <c r="G1223" t="inlineStr">
        <is>
          <t>EMILY COSTA, G1 RR — BOA VISTA</t>
        </is>
      </c>
      <c r="H1223" t="inlineStr">
        <is>
          <t>STF HOMOLOGA ACORDO QUE MANTÉM ACOLHIDA A VENEZUELANOS, MAS DESCARTA REPASSES A RR</t>
        </is>
      </c>
      <c r="I1223" t="inlineStr">
        <is>
          <t>UNIÃO E ESTADO CONCORDARAM EM MANTER A REDISTRIBUIÇÃO DE VENEZUELANOS PARA OUTROS ESTADOS E SEGUIR COM A OPERAÇÃO ACOLHIDA. ACORDO FOI FEITO EM AÇÃO DE EX-GOVERNADORA QUE COBRAVA PROVIDÊNCIAS PARA LIDAR COM O FLUXO MIGRATÓRIO.</t>
        </is>
      </c>
      <c r="J1223" t="inlineStr"/>
      <c r="K1223" t="n">
        <v>0</v>
      </c>
      <c r="L1223" t="n">
        <v>1</v>
      </c>
      <c r="M1223" t="n">
        <v>0</v>
      </c>
      <c r="N1223" t="n">
        <v>0</v>
      </c>
      <c r="O1223" t="n">
        <v>1</v>
      </c>
      <c r="P1223">
        <f>HYPERLINK("https://g1.globo.com/rr/roraima/noticia/2019/12/01/stf-homologa-acordo-que-mantem-acolhida-a-venezuelanos-mas-descarta-repasses-a-rr.ghtml", "URL")</f>
        <v/>
      </c>
      <c r="Q1223">
        <f>HYPERLINK("https://raw.githubusercontent.com/marcosmapl/dataset_imigrantes/main/materias_filtered/g1/venezuelanos/2019/11_dez/html/g1_502793d4-2322-11ed-b24f-6dbe51e79fca_3746.html", "HTML")</f>
        <v/>
      </c>
      <c r="R1223">
        <f>HYPERLINK("https://raw.githubusercontent.com/marcosmapl/dataset_imigrantes/main/materias_filtered/g1/venezuelanos/2019/11_dez/txt/g1_502793d4-2322-11ed-b24f-6dbe51e79fca_3746.txt", "TXT")</f>
        <v/>
      </c>
    </row>
    <row r="1224">
      <c r="A1224" s="1" t="n">
        <v>1222</v>
      </c>
      <c r="B1224" t="n">
        <v>2019</v>
      </c>
      <c r="C1224" s="2" t="n">
        <v>43798.52361111111</v>
      </c>
      <c r="D1224" t="inlineStr">
        <is>
          <t>PORTAL AMAZONIA</t>
        </is>
      </c>
      <c r="E1224" t="inlineStr">
        <is>
          <t>VENEZUELANOS</t>
        </is>
      </c>
      <c r="F1224" t="inlineStr">
        <is>
          <t>CIDADES</t>
        </is>
      </c>
      <c r="G1224" t="inlineStr">
        <is>
          <t>REDAÇÃO</t>
        </is>
      </c>
      <c r="H1224" t="inlineStr">
        <is>
          <t>CONCLUÍDA AS OBRAS DE PAVIMENTAÇÃO DA RODOVIA CUIABÁ-SANTARÉM, NO PARÁ</t>
        </is>
      </c>
      <c r="I1224" t="inlineStr">
        <is>
          <t>CONSIDERADA O SEGUNDO MAIOR CORREDOR LOGÍSTICO DO BRASIL, A BR-163 ATINGIU 100% DE EXTENSÃO PAVIMENTADA. O SERVIÇO FOI REALIZADO POR MILITARES DO 8º BATALHÃO DE ENGENHARIA E CONSTRUÇÃO (8º BEC), E DEVE BENEFICIAR TODOS OS TRANSPORTES QUE FAZEM O FLUX</t>
        </is>
      </c>
      <c r="J1224" t="inlineStr">
        <is>
          <t>ASFALTAMENTO RODOVIA CUIABA SANTAREM, BR-163, CUIABÃ¡, PARÃ¡, SANTARÉM</t>
        </is>
      </c>
      <c r="K1224" t="n">
        <v>5</v>
      </c>
      <c r="L1224" t="n">
        <v>2</v>
      </c>
      <c r="M1224" t="n">
        <v>0</v>
      </c>
      <c r="N1224" t="n">
        <v>0</v>
      </c>
      <c r="O1224" t="n">
        <v>10</v>
      </c>
      <c r="P1224">
        <f>HYPERLINK("https://portalamazonia.com/noticias/cidades/concluida-as-obras-de-pavimentacao-da-rodovia-cuiaba-santarem-no-para", "URL")</f>
        <v/>
      </c>
      <c r="Q1224">
        <f>HYPERLINK("https://raw.githubusercontent.com/marcosmapl/dataset_imigrantes/main/materias_filtered/portal_amazonia/venezuelanos/2019/10_nov/html/21796.21796_1495.html", "HTML")</f>
        <v/>
      </c>
      <c r="R1224">
        <f>HYPERLINK("https://raw.githubusercontent.com/marcosmapl/dataset_imigrantes/main/materias_filtered/portal_amazonia/venezuelanos/2019/10_nov/txt/21796.21796_1495.txt", "TXT")</f>
        <v/>
      </c>
    </row>
    <row r="1225">
      <c r="A1225" s="1" t="n">
        <v>1223</v>
      </c>
      <c r="B1225" t="n">
        <v>2019</v>
      </c>
      <c r="C1225" s="2" t="n">
        <v>43797.50763888889</v>
      </c>
      <c r="D1225" t="inlineStr">
        <is>
          <t>PORTAL AMAZONIA</t>
        </is>
      </c>
      <c r="E1225" t="inlineStr">
        <is>
          <t>VENEZUELANOS</t>
        </is>
      </c>
      <c r="F1225" t="inlineStr">
        <is>
          <t>CIDADES</t>
        </is>
      </c>
      <c r="G1225" t="inlineStr">
        <is>
          <t>REDAÇÃO</t>
        </is>
      </c>
      <c r="H1225" t="inlineStr">
        <is>
          <t>DPE-AM VAI REFORÇAR ATENDIMENTO A REFUGIADOS E MIGRANTES VENEZUELANOS NA OPERAÇÃO ACOLHIDA</t>
        </is>
      </c>
      <c r="I1225" t="inlineStr">
        <is>
          <t>A DEFENSORIA PÚBLICA DO ESTADO DO AMAZONAS (DPE-AM) VAI REFORÇAR O ATENDIMENTO AOS REFUGIADOS E MIGRANTES VENEZUELANOS NO POSTO DE INTERIORIZAÇÃO E TRIAGEM (PITRIG) DA OPERAÇÃO ACOLHIDA. A PARTIR DO DIA 1º DE DEZEMBRO, A DPE-AM MANTERÁ NO LOCAL DEFEN</t>
        </is>
      </c>
      <c r="J1225" t="inlineStr">
        <is>
          <t>AMAZONAS, MANAUS, OPERACAO ACOLHIDA, PITRIG MANAUS, POSTO DE INTERIORIZAÇÃO E TRIAGEM</t>
        </is>
      </c>
      <c r="K1225" t="n">
        <v>5</v>
      </c>
      <c r="L1225" t="n">
        <v>3</v>
      </c>
      <c r="M1225" t="n">
        <v>0</v>
      </c>
      <c r="N1225" t="n">
        <v>0</v>
      </c>
      <c r="O1225" t="n">
        <v>10</v>
      </c>
      <c r="P1225">
        <f>HYPERLINK("https://portalamazonia.com/noticias/cidades/dpe-am-vai-reforcar-atendimento-a-refugiados-e-migrantes-venezuelanos-na-operacao-acolhida", "URL")</f>
        <v/>
      </c>
      <c r="Q1225">
        <f>HYPERLINK("https://raw.githubusercontent.com/marcosmapl/dataset_imigrantes/main/materias_filtered/portal_amazonia/venezuelanos/2019/10_nov/html/21784.21784_1452.html", "HTML")</f>
        <v/>
      </c>
      <c r="R1225">
        <f>HYPERLINK("https://raw.githubusercontent.com/marcosmapl/dataset_imigrantes/main/materias_filtered/portal_amazonia/venezuelanos/2019/10_nov/txt/21784.21784_1452.txt", "TXT")</f>
        <v/>
      </c>
    </row>
    <row r="1226">
      <c r="A1226" s="1" t="n">
        <v>1224</v>
      </c>
      <c r="B1226" t="n">
        <v>2019</v>
      </c>
      <c r="C1226" s="2" t="n">
        <v>43796.47569444445</v>
      </c>
      <c r="D1226" t="inlineStr">
        <is>
          <t>A CRITICA</t>
        </is>
      </c>
      <c r="E1226" t="inlineStr">
        <is>
          <t>VENEZUELANOS</t>
        </is>
      </c>
      <c r="F1226" t="inlineStr"/>
      <c r="G1226" t="inlineStr">
        <is>
          <t>AGÊNCIA BRASIL</t>
        </is>
      </c>
      <c r="H1226" t="inlineStr">
        <is>
          <t>MORTALIDADE INFANTIL TEM REDUÇÃO HISTÓRICA NO BRASIL, APONTA UNICEF</t>
        </is>
      </c>
      <c r="I1226" t="inlineStr">
        <is>
          <t>NO ENTANTO, OS CASOS DE HOMICÍDIOS DE ADOLESCENTES MAIS DO QUE DOBROU ENTRE 1990 E 2007. RELATÓRIO FOI DIVULGADO NESTA QUARTA-FEIRA (27)</t>
        </is>
      </c>
      <c r="J1226" t="inlineStr"/>
      <c r="K1226" t="n">
        <v>0</v>
      </c>
      <c r="L1226" t="n">
        <v>1</v>
      </c>
      <c r="M1226" t="n">
        <v>0</v>
      </c>
      <c r="N1226" t="n">
        <v>0</v>
      </c>
      <c r="O1226" t="n">
        <v>0</v>
      </c>
      <c r="P1226">
        <f>HYPERLINK("https://www.acritica.com/mortalidade-infantil-tem-reduc-o-historica-no-brasil-aponta-unicef-1.55078", "URL")</f>
        <v/>
      </c>
      <c r="Q1226">
        <f>HYPERLINK("https://raw.githubusercontent.com/marcosmapl/dataset_imigrantes/main/materias_filtered/a_critica/venezuelanos/2019/10_nov/html/1.55078_1320.html", "HTML")</f>
        <v/>
      </c>
      <c r="R1226">
        <f>HYPERLINK("https://raw.githubusercontent.com/marcosmapl/dataset_imigrantes/main/materias_filtered/a_critica/venezuelanos/2019/10_nov/txt/1.55078_1320.txt", "TXT")</f>
        <v/>
      </c>
    </row>
    <row r="1227">
      <c r="A1227" s="1" t="n">
        <v>1225</v>
      </c>
      <c r="B1227" t="n">
        <v>2019</v>
      </c>
      <c r="C1227" s="2" t="n">
        <v>43795.73552729167</v>
      </c>
      <c r="D1227" t="inlineStr">
        <is>
          <t>G1</t>
        </is>
      </c>
      <c r="E1227" t="inlineStr">
        <is>
          <t>VENEZUELANOS</t>
        </is>
      </c>
      <c r="F1227" t="inlineStr">
        <is>
          <t>PARÁ</t>
        </is>
      </c>
      <c r="G1227" t="inlineStr">
        <is>
          <t>G1 PA — BELÉM</t>
        </is>
      </c>
      <c r="H1227" t="inlineStr">
        <is>
          <t>PREFEITURA DENUNCIA PROJETO QUE AJUDA REFUGIADOS INDÍGENAS VENEZUELANOS EM BELÉM</t>
        </is>
      </c>
      <c r="I1227" t="inlineStr">
        <is>
          <t>DE ACORDO COM A DENÚNCIA, NENHUMA DOAÇÃO RECEBIDA PELO PROJETO HAVIA SIDO REPASSADA AOS ABRIGOS. O GRUPO É CONHECIDO POR DENÚNCIAS CONTRA A PREFEITURA SOBRE A PÉSSIMA CONDIÇÃO DOS ABRIGOS EXISTENTES.</t>
        </is>
      </c>
      <c r="J1227" t="inlineStr"/>
      <c r="K1227" t="n">
        <v>0</v>
      </c>
      <c r="L1227" t="n">
        <v>1</v>
      </c>
      <c r="M1227" t="n">
        <v>0</v>
      </c>
      <c r="N1227" t="n">
        <v>0</v>
      </c>
      <c r="O1227" t="n">
        <v>1</v>
      </c>
      <c r="P1227">
        <f>HYPERLINK("https://g1.globo.com/pa/para/noticia/2019/11/26/prefeitura-denuncia-projeto-que-ajuda-refugiados-indigenas-venezuelanos-em-belem.ghtml", "URL")</f>
        <v/>
      </c>
      <c r="Q1227">
        <f>HYPERLINK("https://raw.githubusercontent.com/marcosmapl/dataset_imigrantes/main/materias_filtered/g1/venezuelanos/2019/10_nov/html/g1_8ae13b7a-2317-11ed-b24f-6dbe51e79fca_3215.html", "HTML")</f>
        <v/>
      </c>
      <c r="R1227">
        <f>HYPERLINK("https://raw.githubusercontent.com/marcosmapl/dataset_imigrantes/main/materias_filtered/g1/venezuelanos/2019/10_nov/txt/g1_8ae13b7a-2317-11ed-b24f-6dbe51e79fca_3215.txt", "TXT")</f>
        <v/>
      </c>
    </row>
    <row r="1228">
      <c r="A1228" s="1" t="n">
        <v>1226</v>
      </c>
      <c r="B1228" t="n">
        <v>2019</v>
      </c>
      <c r="C1228" s="2" t="n">
        <v>43794.82810185185</v>
      </c>
      <c r="D1228" t="inlineStr">
        <is>
          <t>A CRITICA</t>
        </is>
      </c>
      <c r="E1228" t="inlineStr">
        <is>
          <t>VENEZUELANOS</t>
        </is>
      </c>
      <c r="F1228" t="inlineStr">
        <is>
          <t>MANAUS</t>
        </is>
      </c>
      <c r="G1228" t="inlineStr">
        <is>
          <t>JAN NOGUEIRA</t>
        </is>
      </c>
      <c r="H1228" t="inlineStr">
        <is>
          <t>CORPO DE HOMEM É ENCONTRADO EM ÁREA DE MATA NA ZONA CENTRO-SUL DE MANAUS</t>
        </is>
      </c>
      <c r="I1228" t="inlineStr">
        <is>
          <t>A VÍTIMA, ATÉ O MOMENTO NÃO IDENTIFICADA, ESTAVA COM TRÊS PERFURAÇÕES NA CABEÇA E AS MÃOS AMARRADAS. CADÁVER ESTAVA EM UMA VIA DE ACESSO À AVENIDA DAS TORRES, NO BAIRRO ALEIXO</t>
        </is>
      </c>
      <c r="J1228" t="inlineStr"/>
      <c r="K1228" t="n">
        <v>0</v>
      </c>
      <c r="L1228" t="n">
        <v>1</v>
      </c>
      <c r="M1228" t="n">
        <v>0</v>
      </c>
      <c r="N1228" t="n">
        <v>0</v>
      </c>
      <c r="O1228" t="n">
        <v>0</v>
      </c>
      <c r="P1228">
        <f>HYPERLINK("https://www.acritica.com/manaus/corpo-de-homem-e-encontrado-em-area-de-mata-na-zona-centro-sul-de-manaus-1.54991", "URL")</f>
        <v/>
      </c>
      <c r="Q1228">
        <f>HYPERLINK("https://raw.githubusercontent.com/marcosmapl/dataset_imigrantes/main/materias_filtered/a_critica/venezuelanos/2019/10_nov/html/1.54991_147.html", "HTML")</f>
        <v/>
      </c>
      <c r="R1228">
        <f>HYPERLINK("https://raw.githubusercontent.com/marcosmapl/dataset_imigrantes/main/materias_filtered/a_critica/venezuelanos/2019/10_nov/txt/1.54991_147.txt", "TXT")</f>
        <v/>
      </c>
    </row>
    <row r="1229">
      <c r="A1229" s="1" t="n">
        <v>1227</v>
      </c>
      <c r="B1229" t="n">
        <v>2019</v>
      </c>
      <c r="C1229" s="2" t="n">
        <v>43794.64583333334</v>
      </c>
      <c r="D1229" t="inlineStr">
        <is>
          <t>PORTAL AMAZONIA</t>
        </is>
      </c>
      <c r="E1229" t="inlineStr">
        <is>
          <t>VENEZUELANOS</t>
        </is>
      </c>
      <c r="F1229" t="inlineStr">
        <is>
          <t>EDUCAÇÃO</t>
        </is>
      </c>
      <c r="G1229" t="inlineStr">
        <is>
          <t>REDAÇÃO</t>
        </is>
      </c>
      <c r="H1229" t="inlineStr">
        <is>
          <t>INFOTHON: BOA VISTA RECEBE MARATONA DE INFORMAÇÃO QUE PREMIARÁ ESTUDANTES DE COMUNICAÇÃO</t>
        </is>
      </c>
      <c r="I1229" t="inlineStr">
        <is>
          <t>PRODUZIR UMA REPORTAGEM ESPECIAL SOBRE A PRIMEIRA INFÂNCIA - FASE QUE VAI DA GESTAÇÃO ATÉ OS SEIS ANOS DA CRIANÇA. ESSA É A PROPOSTA DO I INFOTHON BOA VISTA, QUE REÚNE ESTUDANTES DE COMUNICAÇÃO DE RORAIMA, EM PROL DAS DISCUSSÕES SOBRE TRANSPARÊNCIA,</t>
        </is>
      </c>
      <c r="J1229" t="inlineStr">
        <is>
          <t>BOA VISTA, INFOTHON BOA VISTA, MARATONA INFORMACAO BOA VISTA, RORAIMA</t>
        </is>
      </c>
      <c r="K1229" t="n">
        <v>4</v>
      </c>
      <c r="L1229" t="n">
        <v>4</v>
      </c>
      <c r="M1229" t="n">
        <v>0</v>
      </c>
      <c r="N1229" t="n">
        <v>0</v>
      </c>
      <c r="O1229" t="n">
        <v>9</v>
      </c>
      <c r="P1229">
        <f>HYPERLINK("https://portalamazonia.com/noticias/educacao/infothon-boa-vista-recebe-maratona-de-informacao-que-premiara-estudantes-de-comunicacao", "URL")</f>
        <v/>
      </c>
      <c r="Q1229">
        <f>HYPERLINK("https://raw.githubusercontent.com/marcosmapl/dataset_imigrantes/main/materias_filtered/portal_amazonia/venezuelanos/2019/10_nov/html/21766.21766_1538.html", "HTML")</f>
        <v/>
      </c>
      <c r="R1229">
        <f>HYPERLINK("https://raw.githubusercontent.com/marcosmapl/dataset_imigrantes/main/materias_filtered/portal_amazonia/venezuelanos/2019/10_nov/txt/21766.21766_1538.txt", "TXT")</f>
        <v/>
      </c>
    </row>
    <row r="1230">
      <c r="A1230" s="1" t="n">
        <v>1228</v>
      </c>
      <c r="B1230" t="n">
        <v>2019</v>
      </c>
      <c r="C1230" s="2" t="n">
        <v>43793.76756944445</v>
      </c>
      <c r="D1230" t="inlineStr">
        <is>
          <t>A CRITICA</t>
        </is>
      </c>
      <c r="E1230" t="inlineStr">
        <is>
          <t>AMBOS</t>
        </is>
      </c>
      <c r="F1230" t="inlineStr">
        <is>
          <t>OPINIAO</t>
        </is>
      </c>
      <c r="G1230" t="inlineStr"/>
      <c r="H1230" t="inlineStr">
        <is>
          <t>IMIGRANTES, SOFRIMENTO EM DOBRO</t>
        </is>
      </c>
      <c r="I1230" t="inlineStr"/>
      <c r="J1230" t="inlineStr"/>
      <c r="K1230" t="n">
        <v>0</v>
      </c>
      <c r="L1230" t="n">
        <v>1</v>
      </c>
      <c r="M1230" t="n">
        <v>0</v>
      </c>
      <c r="N1230" t="n">
        <v>0</v>
      </c>
      <c r="O1230" t="n">
        <v>0</v>
      </c>
      <c r="P1230">
        <f>HYPERLINK("https://www.acritica.com/opiniao/imigrantes-sofrimento-em-dobro-1.227933", "URL")</f>
        <v/>
      </c>
      <c r="Q1230">
        <f>HYPERLINK("https://raw.githubusercontent.com/marcosmapl/dataset_imigrantes/main/materias_filtered/a_critica/ambos/2019/10_nov/html/1.227933_198.html", "HTML")</f>
        <v/>
      </c>
      <c r="R1230">
        <f>HYPERLINK("https://raw.githubusercontent.com/marcosmapl/dataset_imigrantes/main/materias_filtered/a_critica/ambos/2019/10_nov/txt/1.227933_198.txt", "TXT")</f>
        <v/>
      </c>
    </row>
    <row r="1231">
      <c r="A1231" s="1" t="n">
        <v>1229</v>
      </c>
      <c r="B1231" t="n">
        <v>2019</v>
      </c>
      <c r="C1231" s="2" t="n">
        <v>43792.02755202547</v>
      </c>
      <c r="D1231" t="inlineStr">
        <is>
          <t>G1</t>
        </is>
      </c>
      <c r="E1231" t="inlineStr">
        <is>
          <t>VENEZUELANOS</t>
        </is>
      </c>
      <c r="F1231" t="inlineStr">
        <is>
          <t>TOCANTINS</t>
        </is>
      </c>
      <c r="G1231" t="inlineStr">
        <is>
          <t>TV ANHANGUERA</t>
        </is>
      </c>
      <c r="H1231" t="inlineStr">
        <is>
          <t>FAMÍLIAS DE VENEZUELANOS REFUGIADOS EM PALMAS DEVEM IR PARA ABRIGO EM LUZIMANGUES</t>
        </is>
      </c>
      <c r="I1231" t="inlineStr">
        <is>
          <t>ESPAÇO CONTA COM UM SALÃO, TRÊS SALAS DE AULA, COZINHA E BANHEIRO. OBRAS EMERGENCIAIS PARA ADAPTAR O AMBIENTE SERÃO REALIZADAS.</t>
        </is>
      </c>
      <c r="J1231" t="inlineStr"/>
      <c r="K1231" t="n">
        <v>0</v>
      </c>
      <c r="L1231" t="n">
        <v>2</v>
      </c>
      <c r="M1231" t="n">
        <v>1</v>
      </c>
      <c r="N1231" t="n">
        <v>0</v>
      </c>
      <c r="O1231" t="n">
        <v>2</v>
      </c>
      <c r="P1231">
        <f>HYPERLINK("https://g1.globo.com/to/tocantins/noticia/2019/11/22/familias-de-venezuelanos-refugiados-em-palmas-devem-ir-para-abrigo-em-luzimangues.ghtml", "URL")</f>
        <v/>
      </c>
      <c r="Q1231">
        <f>HYPERLINK("https://raw.githubusercontent.com/marcosmapl/dataset_imigrantes/main/materias_filtered/g1/venezuelanos/2019/10_nov/html/g1_389bb024-2313-11ed-b24f-6dbe51e79fca_3000.html", "HTML")</f>
        <v/>
      </c>
      <c r="R1231">
        <f>HYPERLINK("https://raw.githubusercontent.com/marcosmapl/dataset_imigrantes/main/materias_filtered/g1/venezuelanos/2019/10_nov/txt/g1_389bb024-2313-11ed-b24f-6dbe51e79fca_3000.txt", "TXT")</f>
        <v/>
      </c>
    </row>
    <row r="1232">
      <c r="A1232" s="1" t="n">
        <v>1230</v>
      </c>
      <c r="B1232" t="n">
        <v>2019</v>
      </c>
      <c r="C1232" s="2" t="n">
        <v>43791.55580445602</v>
      </c>
      <c r="D1232" t="inlineStr">
        <is>
          <t>G1</t>
        </is>
      </c>
      <c r="E1232" t="inlineStr">
        <is>
          <t>VENEZUELANOS</t>
        </is>
      </c>
      <c r="F1232" t="inlineStr">
        <is>
          <t>TOCANTINS</t>
        </is>
      </c>
      <c r="G1232" t="inlineStr">
        <is>
          <t>TV ANHANGUERA</t>
        </is>
      </c>
      <c r="H1232" t="inlineStr">
        <is>
          <t>VENEZUELANOS QUE ESTÃO EM PALMAS TENTAM SE FIXAR EM ALGUM LUGAR DO BRASIL HÁ DOIS ANOS</t>
        </is>
      </c>
      <c r="I1232" t="inlineStr">
        <is>
          <t>FAMÍLIAS DE VENEZUELANOS INDÍGENAS ESTÃO HÁ DUAS SEMANAS NA RODOVIÁRIA DA CAPITAL. LÍDER DO GRUPO DISSE QUE REFUGIADOS ESTÃO À PROCURA DE ESCOLA PARA AS CRIANÇAS, TRABALHO E MORADIA.</t>
        </is>
      </c>
      <c r="J1232" t="inlineStr"/>
      <c r="K1232" t="n">
        <v>0</v>
      </c>
      <c r="L1232" t="n">
        <v>2</v>
      </c>
      <c r="M1232" t="n">
        <v>1</v>
      </c>
      <c r="N1232" t="n">
        <v>0</v>
      </c>
      <c r="O1232" t="n">
        <v>1</v>
      </c>
      <c r="P1232">
        <f>HYPERLINK("https://g1.globo.com/to/tocantins/noticia/2019/11/22/venezuelanos-que-estao-em-palmas-tentam-se-fixar-em-algum-lugar-do-brasil-ha-dois-anos.ghtml", "URL")</f>
        <v/>
      </c>
      <c r="Q1232">
        <f>HYPERLINK("https://raw.githubusercontent.com/marcosmapl/dataset_imigrantes/main/materias_filtered/g1/venezuelanos/2019/10_nov/html/g1_1abf445a-2311-11ed-b24f-6dbe51e79fca_2898.html", "HTML")</f>
        <v/>
      </c>
      <c r="R1232">
        <f>HYPERLINK("https://raw.githubusercontent.com/marcosmapl/dataset_imigrantes/main/materias_filtered/g1/venezuelanos/2019/10_nov/txt/g1_1abf445a-2311-11ed-b24f-6dbe51e79fca_2898.txt", "TXT")</f>
        <v/>
      </c>
    </row>
    <row r="1233">
      <c r="A1233" s="1" t="n">
        <v>1231</v>
      </c>
      <c r="B1233" t="n">
        <v>2019</v>
      </c>
      <c r="C1233" s="2" t="n">
        <v>43791.44461805555</v>
      </c>
      <c r="D1233" t="inlineStr">
        <is>
          <t>A CRITICA</t>
        </is>
      </c>
      <c r="E1233" t="inlineStr">
        <is>
          <t>VENEZUELANOS</t>
        </is>
      </c>
      <c r="F1233" t="inlineStr">
        <is>
          <t>MANAUS</t>
        </is>
      </c>
      <c r="G1233" t="inlineStr">
        <is>
          <t>LUANA GOMES</t>
        </is>
      </c>
      <c r="H1233" t="inlineStr">
        <is>
          <t>EMPREENDIMENTOS DE MANAUS SE UNEM EM PROL DE AÇÃO NATALINA SUSTENTÁVEL</t>
        </is>
      </c>
      <c r="I1233" t="inlineStr">
        <is>
          <t>AUTOINTITULADO ‘4 ESQUINAS’, O GRUPO DE EMPREENDEDORES REALIZAM ATIVIDADES DE DECORAÇÃO DOS ESPAÇOS COM INICIATIVA ECOLÓGICA, ALÉM DE AÇÕES SOLIDÁRIAS COM ARRECADAÇÃO DE FUNDOS PARA INSTITUIÇÕES SOLIDÁRIAS</t>
        </is>
      </c>
      <c r="J1233" t="inlineStr"/>
      <c r="K1233" t="n">
        <v>0</v>
      </c>
      <c r="L1233" t="n">
        <v>1</v>
      </c>
      <c r="M1233" t="n">
        <v>0</v>
      </c>
      <c r="N1233" t="n">
        <v>0</v>
      </c>
      <c r="O1233" t="n">
        <v>0</v>
      </c>
      <c r="P1233">
        <f>HYPERLINK("https://www.acritica.com/manaus/empreendimentos-de-manaus-se-unem-em-prol-de-ac-o-natalina-sustentavel-1.54712", "URL")</f>
        <v/>
      </c>
      <c r="Q1233">
        <f>HYPERLINK("https://raw.githubusercontent.com/marcosmapl/dataset_imigrantes/main/materias_filtered/a_critica/venezuelanos/2019/10_nov/html/1.54712_712.html", "HTML")</f>
        <v/>
      </c>
      <c r="R1233">
        <f>HYPERLINK("https://raw.githubusercontent.com/marcosmapl/dataset_imigrantes/main/materias_filtered/a_critica/venezuelanos/2019/10_nov/txt/1.54712_712.txt", "TXT")</f>
        <v/>
      </c>
    </row>
    <row r="1234">
      <c r="A1234" s="1" t="n">
        <v>1232</v>
      </c>
      <c r="B1234" t="n">
        <v>2019</v>
      </c>
      <c r="C1234" s="2" t="n">
        <v>43790.86633883102</v>
      </c>
      <c r="D1234" t="inlineStr">
        <is>
          <t>G1</t>
        </is>
      </c>
      <c r="E1234" t="inlineStr">
        <is>
          <t>VENEZUELANOS</t>
        </is>
      </c>
      <c r="F1234" t="inlineStr">
        <is>
          <t>RORAIMA</t>
        </is>
      </c>
      <c r="G1234" t="inlineStr">
        <is>
          <t>G1 RR — BOA VISTA</t>
        </is>
      </c>
      <c r="H1234" t="inlineStr">
        <is>
          <t>EVENTO DE INOVAÇÃO SOCIAL PARA ADOLESCENTES E JOVENS ESTÁ COM INSCRIÇÕES ABERTAS EM RORAIMA</t>
        </is>
      </c>
      <c r="I1234" t="inlineStr">
        <is>
          <t>FOCO SERÁ A MIGRAÇÃO VENEZUELANA NO ESTADO.</t>
        </is>
      </c>
      <c r="J1234" t="inlineStr"/>
      <c r="K1234" t="n">
        <v>0</v>
      </c>
      <c r="L1234" t="n">
        <v>1</v>
      </c>
      <c r="M1234" t="n">
        <v>0</v>
      </c>
      <c r="N1234" t="n">
        <v>0</v>
      </c>
      <c r="O1234" t="n">
        <v>1</v>
      </c>
      <c r="P1234">
        <f>HYPERLINK("https://g1.globo.com/rr/roraima/noticia/2019/11/21/evento-de-inovacao-social-para-adolescentes-e-jovens-esta-com-inscricoes-abertas-em-roraima.ghtml", "URL")</f>
        <v/>
      </c>
      <c r="Q1234">
        <f>HYPERLINK("https://raw.githubusercontent.com/marcosmapl/dataset_imigrantes/main/materias_filtered/g1/venezuelanos/2019/10_nov/html/g1_9f0f9c86-230d-11ed-b24f-6dbe51e79fca_2698.html", "HTML")</f>
        <v/>
      </c>
      <c r="R1234">
        <f>HYPERLINK("https://raw.githubusercontent.com/marcosmapl/dataset_imigrantes/main/materias_filtered/g1/venezuelanos/2019/10_nov/txt/g1_9f0f9c86-230d-11ed-b24f-6dbe51e79fca_2698.txt", "TXT")</f>
        <v/>
      </c>
    </row>
    <row r="1235">
      <c r="A1235" s="1" t="n">
        <v>1233</v>
      </c>
      <c r="B1235" t="n">
        <v>2019</v>
      </c>
      <c r="C1235" s="2" t="n">
        <v>43790.61023424769</v>
      </c>
      <c r="D1235" t="inlineStr">
        <is>
          <t>G1</t>
        </is>
      </c>
      <c r="E1235" t="inlineStr">
        <is>
          <t>VENEZUELANOS</t>
        </is>
      </c>
      <c r="F1235" t="inlineStr">
        <is>
          <t>RONDÔNIA</t>
        </is>
      </c>
      <c r="G1235" t="inlineStr">
        <is>
          <t>G1 RO — PORTO VELHO</t>
        </is>
      </c>
      <c r="H1235" t="inlineStr">
        <is>
          <t>CADASTRO ESCOLAR PARA CRIANÇAS VENEZUELANAS INICIA DIA 9 DE DEZEMBRO EM PORTO VELHO</t>
        </is>
      </c>
      <c r="I1235" t="inlineStr">
        <is>
          <t>CADASTRO ESCOLAR 2020 PARA REDE MUNICIPAL É DESTINADO À CRIANÇAS QUE QUEREM INGRESSAR NA EDUCAÇÃO INFANTIL E ENSINO FUNDAMENTAL.</t>
        </is>
      </c>
      <c r="J1235" t="inlineStr"/>
      <c r="K1235" t="n">
        <v>0</v>
      </c>
      <c r="L1235" t="n">
        <v>1</v>
      </c>
      <c r="M1235" t="n">
        <v>0</v>
      </c>
      <c r="N1235" t="n">
        <v>0</v>
      </c>
      <c r="O1235" t="n">
        <v>1</v>
      </c>
      <c r="P1235">
        <f>HYPERLINK("https://g1.globo.com/ro/rondonia/noticia/2019/11/21/cadastro-escolar-para-criancas-venezuelanas-inicia-dia-9-de-dezembro-em-porto-velho.ghtml", "URL")</f>
        <v/>
      </c>
      <c r="Q1235">
        <f>HYPERLINK("https://raw.githubusercontent.com/marcosmapl/dataset_imigrantes/main/materias_filtered/g1/venezuelanos/2019/10_nov/html/g1_e6dac21e-230f-11ed-b24f-6dbe51e79fca_2826.html", "HTML")</f>
        <v/>
      </c>
      <c r="R1235">
        <f>HYPERLINK("https://raw.githubusercontent.com/marcosmapl/dataset_imigrantes/main/materias_filtered/g1/venezuelanos/2019/10_nov/txt/g1_e6dac21e-230f-11ed-b24f-6dbe51e79fca_2826.txt", "TXT")</f>
        <v/>
      </c>
    </row>
    <row r="1236">
      <c r="A1236" s="1" t="n">
        <v>1234</v>
      </c>
      <c r="B1236" t="n">
        <v>2019</v>
      </c>
      <c r="C1236" s="2" t="n">
        <v>43789.89785287037</v>
      </c>
      <c r="D1236" t="inlineStr">
        <is>
          <t>G1</t>
        </is>
      </c>
      <c r="E1236" t="inlineStr">
        <is>
          <t>VENEZUELANOS</t>
        </is>
      </c>
      <c r="F1236" t="inlineStr">
        <is>
          <t>MUNDO</t>
        </is>
      </c>
      <c r="G1236" t="inlineStr">
        <is>
          <t>BBC</t>
        </is>
      </c>
      <c r="H1236" t="inlineStr">
        <is>
          <t>CRISE NA VENEZUELA: A VIDA NO COUNTRY CLUB DE CARACAS, OÁSIS DE RIQUEZA NO PAÍS</t>
        </is>
      </c>
      <c r="I1236" t="inlineStr">
        <is>
          <t>RICA ÁREA DA CAPITAL VENEZUELANA TAMBÉM NÃO ESTÁ IMUNE À CRISE QUE ASSOLA O PAÍS E ENFRENTA MIGRAÇÃO EM MASSA E EFEITOS DA HIPERINFLAÇÃO.</t>
        </is>
      </c>
      <c r="J1236" t="inlineStr"/>
      <c r="K1236" t="n">
        <v>0</v>
      </c>
      <c r="L1236" t="n">
        <v>2</v>
      </c>
      <c r="M1236" t="n">
        <v>0</v>
      </c>
      <c r="N1236" t="n">
        <v>0</v>
      </c>
      <c r="O1236" t="n">
        <v>1</v>
      </c>
      <c r="P1236">
        <f>HYPERLINK("https://g1.globo.com/mundo/noticia/2019/11/20/crise-na-venezuela-a-vida-no-country-club-de-caracas-oasis-de-riqueza-no-pais.ghtml", "URL")</f>
        <v/>
      </c>
      <c r="Q1236">
        <f>HYPERLINK("https://raw.githubusercontent.com/marcosmapl/dataset_imigrantes/main/materias_filtered/g1/venezuelanos/2019/10_nov/html/g1_4c8e5ab0-231c-11ed-b24f-6dbe51e79fca_3438.html", "HTML")</f>
        <v/>
      </c>
      <c r="R1236">
        <f>HYPERLINK("https://raw.githubusercontent.com/marcosmapl/dataset_imigrantes/main/materias_filtered/g1/venezuelanos/2019/10_nov/txt/g1_4c8e5ab0-231c-11ed-b24f-6dbe51e79fca_3438.txt", "TXT")</f>
        <v/>
      </c>
    </row>
    <row r="1237">
      <c r="A1237" s="1" t="n">
        <v>1235</v>
      </c>
      <c r="B1237" t="n">
        <v>2019</v>
      </c>
      <c r="C1237" s="2" t="n">
        <v>43788.93055555555</v>
      </c>
      <c r="D1237" t="inlineStr">
        <is>
          <t>A CRITICA</t>
        </is>
      </c>
      <c r="E1237" t="inlineStr">
        <is>
          <t>VENEZUELANOS</t>
        </is>
      </c>
      <c r="F1237" t="inlineStr">
        <is>
          <t>MANAUS</t>
        </is>
      </c>
      <c r="G1237" t="inlineStr">
        <is>
          <t>ROBSON ADRIANO</t>
        </is>
      </c>
      <c r="H1237" t="inlineStr">
        <is>
          <t>REFUGIADOS ENFRENTAM HORAS EM FILAS PARA CONSEGUIR ATENDIMENTO EM POSTO DE INTERIORIZAÇÃO</t>
        </is>
      </c>
      <c r="I1237" t="inlineStr">
        <is>
          <t>EM UM TERRENO LOCALIZADO AO LADO DO POSTO DE INTERIORIZAÇÃO E TRIAGEM DA OPERAÇÃO ACOLHIDA, REFUGIADOS E MIGRANTES VENEZUELANOS AGUARDAM EM CONDIÇÕES INSALUBRES A AJUDA HUMANITÁRIA</t>
        </is>
      </c>
      <c r="J1237" t="inlineStr"/>
      <c r="K1237" t="n">
        <v>0</v>
      </c>
      <c r="L1237" t="n">
        <v>1</v>
      </c>
      <c r="M1237" t="n">
        <v>0</v>
      </c>
      <c r="N1237" t="n">
        <v>0</v>
      </c>
      <c r="O1237" t="n">
        <v>0</v>
      </c>
      <c r="P1237">
        <f>HYPERLINK("https://www.acritica.com/manaus/refugiados-enfrentam-horas-em-filas-para-conseguir-atendimento-em-posto-de-interiorizac-o-1.54605", "URL")</f>
        <v/>
      </c>
      <c r="Q1237">
        <f>HYPERLINK("https://raw.githubusercontent.com/marcosmapl/dataset_imigrantes/main/materias_filtered/a_critica/venezuelanos/2019/10_nov/html/1.54605_339.html", "HTML")</f>
        <v/>
      </c>
      <c r="R1237">
        <f>HYPERLINK("https://raw.githubusercontent.com/marcosmapl/dataset_imigrantes/main/materias_filtered/a_critica/venezuelanos/2019/10_nov/txt/1.54605_339.txt", "TXT")</f>
        <v/>
      </c>
    </row>
    <row r="1238">
      <c r="A1238" s="1" t="n">
        <v>1236</v>
      </c>
      <c r="B1238" t="n">
        <v>2019</v>
      </c>
      <c r="C1238" s="2" t="n">
        <v>43788.73739583333</v>
      </c>
      <c r="D1238" t="inlineStr">
        <is>
          <t>A CRITICA</t>
        </is>
      </c>
      <c r="E1238" t="inlineStr">
        <is>
          <t>VENEZUELANOS</t>
        </is>
      </c>
      <c r="F1238" t="inlineStr"/>
      <c r="G1238" t="inlineStr">
        <is>
          <t>PORTAL A CRÍTICA</t>
        </is>
      </c>
      <c r="H1238" t="inlineStr">
        <is>
          <t>CASA DE ABRIGO VAI BENEFICIAR VENEZUELANOS EM SÃO GABRIEL DA CACHOEIRA</t>
        </is>
      </c>
      <c r="I1238" t="inlineStr">
        <is>
          <t>PROJETO COMPANHIA DE DESENVOLVIMENTO DO AMAZONAS (CIAMA) VAI ATENDER MAIS DE 600 REFUGIADOS E SERÁ SUBMETIDO À APRECIAÇÃO DO CONSULADO JAPONÊS PARA FINANCIAMENTO</t>
        </is>
      </c>
      <c r="J1238" t="inlineStr"/>
      <c r="K1238" t="n">
        <v>0</v>
      </c>
      <c r="L1238" t="n">
        <v>1</v>
      </c>
      <c r="M1238" t="n">
        <v>0</v>
      </c>
      <c r="N1238" t="n">
        <v>0</v>
      </c>
      <c r="O1238" t="n">
        <v>0</v>
      </c>
      <c r="P1238">
        <f>HYPERLINK("https://www.acritica.com/casa-de-abrigo-vai-beneficiar-venezuelanos-em-s-o-gabriel-da-cachoeira-1.54595", "URL")</f>
        <v/>
      </c>
      <c r="Q1238">
        <f>HYPERLINK("https://raw.githubusercontent.com/marcosmapl/dataset_imigrantes/main/materias_filtered/a_critica/venezuelanos/2019/10_nov/html/1.54595_282.html", "HTML")</f>
        <v/>
      </c>
      <c r="R1238">
        <f>HYPERLINK("https://raw.githubusercontent.com/marcosmapl/dataset_imigrantes/main/materias_filtered/a_critica/venezuelanos/2019/10_nov/txt/1.54595_282.txt", "TXT")</f>
        <v/>
      </c>
    </row>
    <row r="1239">
      <c r="A1239" s="1" t="n">
        <v>1237</v>
      </c>
      <c r="B1239" t="n">
        <v>2019</v>
      </c>
      <c r="C1239" s="2" t="n">
        <v>43788.05486611111</v>
      </c>
      <c r="D1239" t="inlineStr">
        <is>
          <t>G1</t>
        </is>
      </c>
      <c r="E1239" t="inlineStr">
        <is>
          <t>VENEZUELANOS</t>
        </is>
      </c>
      <c r="F1239" t="inlineStr">
        <is>
          <t>PARÁ</t>
        </is>
      </c>
      <c r="G1239" t="inlineStr">
        <is>
          <t>G1 PA — BELÉM</t>
        </is>
      </c>
      <c r="H1239" t="inlineStr">
        <is>
          <t>ONU E PREFEITURA DE BELÉM ASSINAM PARCERIA PARA ATENDIMENTO HUMANITÁRIO A REFUGIADOS VENEZUELANOS</t>
        </is>
      </c>
      <c r="I1239" t="inlineStr">
        <is>
          <t>A CAPITAL FOI A CIDADE QUE MAIS RECEBEU REFUGIADOS VENEZUELANOS EM 2018 NO PARÁ. BELÉM CHEGOU A DECLARAR SITUAÇÃO DE EMERGÊNCIA DIANTE DO INTENSO FLUXO MIGRATÓRIO. PARCERIA QUER GARANTIR AÇÕES DE SAÚDE E ASSISTÊNCIA SOCIAL AOS GRUPOS.</t>
        </is>
      </c>
      <c r="J1239" t="inlineStr"/>
      <c r="K1239" t="n">
        <v>0</v>
      </c>
      <c r="L1239" t="n">
        <v>1</v>
      </c>
      <c r="M1239" t="n">
        <v>1</v>
      </c>
      <c r="N1239" t="n">
        <v>0</v>
      </c>
      <c r="O1239" t="n">
        <v>2</v>
      </c>
      <c r="P1239">
        <f>HYPERLINK("https://g1.globo.com/pa/para/noticia/2019/11/18/onu-e-prefeitura-de-belem-assinam-parceria-para-atendimento-humanitario-a-refugiados-venezuelanos.ghtml", "URL")</f>
        <v/>
      </c>
      <c r="Q1239">
        <f>HYPERLINK("https://raw.githubusercontent.com/marcosmapl/dataset_imigrantes/main/materias_filtered/g1/venezuelanos/2019/10_nov/html/g1_7b878728-231d-11ed-b24f-6dbe51e79fca_3503.html", "HTML")</f>
        <v/>
      </c>
      <c r="R1239">
        <f>HYPERLINK("https://raw.githubusercontent.com/marcosmapl/dataset_imigrantes/main/materias_filtered/g1/venezuelanos/2019/10_nov/txt/g1_7b878728-231d-11ed-b24f-6dbe51e79fca_3503.txt", "TXT")</f>
        <v/>
      </c>
    </row>
    <row r="1240">
      <c r="A1240" s="1" t="n">
        <v>1238</v>
      </c>
      <c r="B1240" t="n">
        <v>2019</v>
      </c>
      <c r="C1240" s="2" t="n">
        <v>43787.65007114584</v>
      </c>
      <c r="D1240" t="inlineStr">
        <is>
          <t>G1</t>
        </is>
      </c>
      <c r="E1240" t="inlineStr">
        <is>
          <t>VENEZUELANOS</t>
        </is>
      </c>
      <c r="F1240" t="inlineStr">
        <is>
          <t>CEARÁ</t>
        </is>
      </c>
      <c r="G1240" t="inlineStr">
        <is>
          <t>RODRIGO RODRIGUES E MARISTELA GLÁUCIA, G1 CE</t>
        </is>
      </c>
      <c r="H1240" t="inlineStr">
        <is>
          <t>GRUPO DE 30 VENEZUELANOS SE REFUGIA NO INTERIOR DO CEARÁ E VIVE EM LOCAL ABANDONADO</t>
        </is>
      </c>
      <c r="I1240" t="inlineStr">
        <is>
          <t>UMA GRÁVIDA E 15 CRIANÇAS ESTÃO ENTRE OS VENEZUELANOS REFUGIADOS NO MUNICÍPIO DE SOBRAL. PARÓQUIA DA CIDADE DEVE CEDER LOCAL ADEQUADO AO GRUPO.</t>
        </is>
      </c>
      <c r="J1240" t="inlineStr"/>
      <c r="K1240" t="n">
        <v>0</v>
      </c>
      <c r="L1240" t="n">
        <v>2</v>
      </c>
      <c r="M1240" t="n">
        <v>0</v>
      </c>
      <c r="N1240" t="n">
        <v>0</v>
      </c>
      <c r="O1240" t="n">
        <v>1</v>
      </c>
      <c r="P1240">
        <f>HYPERLINK("https://g1.globo.com/ce/ceara/noticia/2019/11/18/grupo-de-30-venezuelanos-se-refugia-em-sobral-e-vive-em-local-abandonado.ghtml", "URL")</f>
        <v/>
      </c>
      <c r="Q1240">
        <f>HYPERLINK("https://raw.githubusercontent.com/marcosmapl/dataset_imigrantes/main/materias_filtered/g1/venezuelanos/2019/10_nov/html/g1_a879f15a-2325-11ed-b24f-6dbe51e79fca_3926.html", "HTML")</f>
        <v/>
      </c>
      <c r="R1240">
        <f>HYPERLINK("https://raw.githubusercontent.com/marcosmapl/dataset_imigrantes/main/materias_filtered/g1/venezuelanos/2019/10_nov/txt/g1_a879f15a-2325-11ed-b24f-6dbe51e79fca_3926.txt", "TXT")</f>
        <v/>
      </c>
    </row>
    <row r="1241">
      <c r="A1241" s="1" t="n">
        <v>1239</v>
      </c>
      <c r="B1241" t="n">
        <v>2019</v>
      </c>
      <c r="C1241" s="2" t="n">
        <v>43787.54078686343</v>
      </c>
      <c r="D1241" t="inlineStr">
        <is>
          <t>G1</t>
        </is>
      </c>
      <c r="E1241" t="inlineStr">
        <is>
          <t>VENEZUELANOS</t>
        </is>
      </c>
      <c r="F1241" t="inlineStr">
        <is>
          <t>ECONOMIA</t>
        </is>
      </c>
      <c r="G1241" t="inlineStr">
        <is>
          <t>REUTERS</t>
        </is>
      </c>
      <c r="H1241" t="inlineStr">
        <is>
          <t>MADURO DIZ QUE DOLARIZAÇÃO DA ECONOMIA DA VENEZUELA É 'VÁLVULA DE ESCAPE'</t>
        </is>
      </c>
      <c r="I1241" t="inlineStr">
        <is>
          <t>O BOLÍVAR, A MOEDA OFICIAL VENEZUELANA, SE DEPRECIOU MAIS DE 90% NESTE ANO.</t>
        </is>
      </c>
      <c r="J1241" t="inlineStr"/>
      <c r="K1241" t="n">
        <v>0</v>
      </c>
      <c r="L1241" t="n">
        <v>1</v>
      </c>
      <c r="M1241" t="n">
        <v>0</v>
      </c>
      <c r="N1241" t="n">
        <v>0</v>
      </c>
      <c r="O1241" t="n">
        <v>4</v>
      </c>
      <c r="P1241">
        <f>HYPERLINK("https://g1.globo.com/economia/noticia/2019/11/18/maduro-diz-que-dolarizacao-da-economia-da-venezuela-e-valvula-de-escape.ghtml", "URL")</f>
        <v/>
      </c>
      <c r="Q1241">
        <f>HYPERLINK("https://raw.githubusercontent.com/marcosmapl/dataset_imigrantes/main/materias_filtered/g1/venezuelanos/2019/10_nov/html/g1_ee7a745a-231f-11ed-b24f-6dbe51e79fca_3652.html", "HTML")</f>
        <v/>
      </c>
      <c r="R1241">
        <f>HYPERLINK("https://raw.githubusercontent.com/marcosmapl/dataset_imigrantes/main/materias_filtered/g1/venezuelanos/2019/10_nov/txt/g1_ee7a745a-231f-11ed-b24f-6dbe51e79fca_3652.txt", "TXT")</f>
        <v/>
      </c>
    </row>
    <row r="1242">
      <c r="A1242" s="1" t="n">
        <v>1240</v>
      </c>
      <c r="B1242" t="n">
        <v>2019</v>
      </c>
      <c r="C1242" s="2" t="n">
        <v>43787.51597222222</v>
      </c>
      <c r="D1242" t="inlineStr">
        <is>
          <t>A CRITICA</t>
        </is>
      </c>
      <c r="E1242" t="inlineStr">
        <is>
          <t>VENEZUELANOS</t>
        </is>
      </c>
      <c r="F1242" t="inlineStr">
        <is>
          <t>MANAUS</t>
        </is>
      </c>
      <c r="G1242" t="inlineStr">
        <is>
          <t>AGÊNCIA BRASIL</t>
        </is>
      </c>
      <c r="H1242" t="inlineStr">
        <is>
          <t>AM TEM AÇÃO EXEMPLAR NA ACOLHIDA DE CRIANÇAS MIGRANTES, DIZ UNICEF</t>
        </is>
      </c>
      <c r="I1242" t="inlineStr">
        <is>
          <t>DESDE 2017, MAIS DE 200 MIL PESSOAS JÁ ENTRARAM NO BRASIL FUGINDO DA CRISE ECONÔMICA, POLÍTICA E SOCIAL NA VENEZUELA</t>
        </is>
      </c>
      <c r="J1242" t="inlineStr"/>
      <c r="K1242" t="n">
        <v>0</v>
      </c>
      <c r="L1242" t="n">
        <v>1</v>
      </c>
      <c r="M1242" t="n">
        <v>0</v>
      </c>
      <c r="N1242" t="n">
        <v>0</v>
      </c>
      <c r="O1242" t="n">
        <v>0</v>
      </c>
      <c r="P1242">
        <f>HYPERLINK("https://www.acritica.com/manaus/am-tem-ac-o-exemplar-na-acolhida-de-criancas-migrantes-diz-unicef-1.54418", "URL")</f>
        <v/>
      </c>
      <c r="Q1242">
        <f>HYPERLINK("https://raw.githubusercontent.com/marcosmapl/dataset_imigrantes/main/materias_filtered/a_critica/venezuelanos/2019/10_nov/html/1.54418_61.html", "HTML")</f>
        <v/>
      </c>
      <c r="R1242">
        <f>HYPERLINK("https://raw.githubusercontent.com/marcosmapl/dataset_imigrantes/main/materias_filtered/a_critica/venezuelanos/2019/10_nov/txt/1.54418_61.txt", "TXT")</f>
        <v/>
      </c>
    </row>
    <row r="1243">
      <c r="A1243" s="1" t="n">
        <v>1241</v>
      </c>
      <c r="B1243" t="n">
        <v>2019</v>
      </c>
      <c r="C1243" s="2" t="n">
        <v>43786.86691475695</v>
      </c>
      <c r="D1243" t="inlineStr">
        <is>
          <t>G1</t>
        </is>
      </c>
      <c r="E1243" t="inlineStr">
        <is>
          <t>VENEZUELANOS</t>
        </is>
      </c>
      <c r="F1243" t="inlineStr">
        <is>
          <t>MUNDO</t>
        </is>
      </c>
      <c r="G1243" t="inlineStr">
        <is>
          <t>BBC</t>
        </is>
      </c>
      <c r="H1243" t="inlineStr">
        <is>
          <t>POR QUE OS VENEZUELANOS NÃO ESTÃO PROTESTANDO TANTO QUANTO CIDADÃOS DE OUTROS PAÍSES DA AMÉRICA LATINA</t>
        </is>
      </c>
      <c r="I1243" t="inlineStr">
        <is>
          <t>AS MARCHAS CONVOCADAS PELO GOVERNO E PELA OPOSIÇÃO DIMINUEM AO MESMO TEMPO EM QUE CONFLITOS AUMENTAM EM OUTROS PAÍSES DA REGIÃO.</t>
        </is>
      </c>
      <c r="J1243" t="inlineStr"/>
      <c r="K1243" t="n">
        <v>0</v>
      </c>
      <c r="L1243" t="n">
        <v>3</v>
      </c>
      <c r="M1243" t="n">
        <v>0</v>
      </c>
      <c r="N1243" t="n">
        <v>0</v>
      </c>
      <c r="O1243" t="n">
        <v>8</v>
      </c>
      <c r="P1243">
        <f>HYPERLINK("https://g1.globo.com/mundo/noticia/2019/11/17/por-que-os-venezuelanos-nao-estao-protestando-tanto-quanto-cidadaos-de-outros-paises-da-america-latina.ghtml", "URL")</f>
        <v/>
      </c>
      <c r="Q1243">
        <f>HYPERLINK("https://raw.githubusercontent.com/marcosmapl/dataset_imigrantes/main/materias_filtered/g1/venezuelanos/2019/10_nov/html/g1_c5553650-231f-11ed-b24f-6dbe51e79fca_3643.html", "HTML")</f>
        <v/>
      </c>
      <c r="R1243">
        <f>HYPERLINK("https://raw.githubusercontent.com/marcosmapl/dataset_imigrantes/main/materias_filtered/g1/venezuelanos/2019/10_nov/txt/g1_c5553650-231f-11ed-b24f-6dbe51e79fca_3643.txt", "TXT")</f>
        <v/>
      </c>
    </row>
    <row r="1244">
      <c r="A1244" s="1" t="n">
        <v>1242</v>
      </c>
      <c r="B1244" t="n">
        <v>2019</v>
      </c>
      <c r="C1244" s="2" t="n">
        <v>43786.69302979167</v>
      </c>
      <c r="D1244" t="inlineStr">
        <is>
          <t>G1</t>
        </is>
      </c>
      <c r="E1244" t="inlineStr">
        <is>
          <t>VENEZUELANOS</t>
        </is>
      </c>
      <c r="F1244" t="inlineStr">
        <is>
          <t>MUNDO</t>
        </is>
      </c>
      <c r="G1244" t="inlineStr">
        <is>
          <t>FRANCE PRESSE</t>
        </is>
      </c>
      <c r="H1244" t="inlineStr">
        <is>
          <t>MADURO DIZ QUE PRENDEU MILITARES POR APOIAR SUPOSTO COMPLÔ DOS EUA</t>
        </is>
      </c>
      <c r="I1244" t="inlineStr">
        <is>
          <t>SEGUNDO O PRESIDENTE, A FORÇA ARMADA VENEZUELANA "NÃO VAI SE AJOELHAR NUNCA MAIS AOS GRINGOS, NEM SE COLOCAR NUNCA MAIS A SERVIÇO DA OLIGARQUIA DESTE PAÍS".</t>
        </is>
      </c>
      <c r="J1244" t="inlineStr"/>
      <c r="K1244" t="n">
        <v>0</v>
      </c>
      <c r="L1244" t="n">
        <v>1</v>
      </c>
      <c r="M1244" t="n">
        <v>0</v>
      </c>
      <c r="N1244" t="n">
        <v>0</v>
      </c>
      <c r="O1244" t="n">
        <v>4</v>
      </c>
      <c r="P1244">
        <f>HYPERLINK("https://g1.globo.com/mundo/noticia/2019/11/17/maduro-diz-que-prendeu-militares-por-apoiar-suposto-complo-dos-eua.ghtml", "URL")</f>
        <v/>
      </c>
      <c r="Q1244">
        <f>HYPERLINK("https://raw.githubusercontent.com/marcosmapl/dataset_imigrantes/main/materias_filtered/g1/venezuelanos/2019/10_nov/html/g1_8e887c70-2321-11ed-b24f-6dbe51e79fca_3708.html", "HTML")</f>
        <v/>
      </c>
      <c r="R1244">
        <f>HYPERLINK("https://raw.githubusercontent.com/marcosmapl/dataset_imigrantes/main/materias_filtered/g1/venezuelanos/2019/10_nov/txt/g1_8e887c70-2321-11ed-b24f-6dbe51e79fca_3708.txt", "TXT")</f>
        <v/>
      </c>
    </row>
    <row r="1245">
      <c r="A1245" s="1" t="n">
        <v>1243</v>
      </c>
      <c r="B1245" t="n">
        <v>2019</v>
      </c>
      <c r="C1245" s="2" t="n">
        <v>43786.375</v>
      </c>
      <c r="D1245" t="inlineStr">
        <is>
          <t>A CRITICA</t>
        </is>
      </c>
      <c r="E1245" t="inlineStr">
        <is>
          <t>AMBOS</t>
        </is>
      </c>
      <c r="F1245" t="inlineStr">
        <is>
          <t>MANAUS</t>
        </is>
      </c>
      <c r="G1245" t="inlineStr">
        <is>
          <t>JOANA QUEIROZ</t>
        </is>
      </c>
      <c r="H1245" t="inlineStr">
        <is>
          <t>MORADORES DO MONTE HOREBE VIVEM SOB TOTALITARISMO DO TRÁFICO DE DROGAS</t>
        </is>
      </c>
      <c r="I1245" t="inlineStr">
        <is>
          <t>SOB COMANDO E REGRAS IMPOSTAS POR FACÇÃO CRIMINOSA, NÚMERO DE PESSOAS QUE ESTÃO VIVENDO SOB DOMÍNIO DO CRIME ORGANIZADO NO LOCAL JÁ CHEGA A 12 MIL, SEGUNDO SSP</t>
        </is>
      </c>
      <c r="J1245" t="inlineStr"/>
      <c r="K1245" t="n">
        <v>0</v>
      </c>
      <c r="L1245" t="n">
        <v>1</v>
      </c>
      <c r="M1245" t="n">
        <v>0</v>
      </c>
      <c r="N1245" t="n">
        <v>0</v>
      </c>
      <c r="O1245" t="n">
        <v>0</v>
      </c>
      <c r="P1245">
        <f>HYPERLINK("https://www.acritica.com/manaus/moradores-do-monte-horebe-vivem-sob-totalitarismo-do-trafico-de-drogas-1.54485", "URL")</f>
        <v/>
      </c>
      <c r="Q1245">
        <f>HYPERLINK("https://raw.githubusercontent.com/marcosmapl/dataset_imigrantes/main/materias_filtered/a_critica/ambos/2019/10_nov/html/1.54485_1337.html", "HTML")</f>
        <v/>
      </c>
      <c r="R1245">
        <f>HYPERLINK("https://raw.githubusercontent.com/marcosmapl/dataset_imigrantes/main/materias_filtered/a_critica/ambos/2019/10_nov/txt/1.54485_1337.txt", "TXT")</f>
        <v/>
      </c>
    </row>
    <row r="1246">
      <c r="A1246" s="1" t="n">
        <v>1244</v>
      </c>
      <c r="B1246" t="n">
        <v>2019</v>
      </c>
      <c r="C1246" s="2" t="n">
        <v>43785.70268582176</v>
      </c>
      <c r="D1246" t="inlineStr">
        <is>
          <t>G1</t>
        </is>
      </c>
      <c r="E1246" t="inlineStr">
        <is>
          <t>VENEZUELANOS</t>
        </is>
      </c>
      <c r="F1246" t="inlineStr">
        <is>
          <t>MUNDO</t>
        </is>
      </c>
      <c r="G1246" t="inlineStr">
        <is>
          <t>FRANCE PRESSE</t>
        </is>
      </c>
      <c r="H1246" t="inlineStr">
        <is>
          <t>OPOSITORES VENEZUELANOS CONVOCADOS POR JUAN GUAIDÓ FAZEM PROTESTO CONTRA MADURO</t>
        </is>
      </c>
      <c r="I1246" t="inlineStr">
        <is>
          <t>PROTESTOS FORAM CONVOCADOS PELO LÍDER PARLAMENTAR PARA PEDIR MAIS UMA VEZ A SAÍDA DO PODER DO PRESIDENTE VENEZUELANO, NICOLÁS MADURO.</t>
        </is>
      </c>
      <c r="J1246" t="inlineStr"/>
      <c r="K1246" t="n">
        <v>0</v>
      </c>
      <c r="L1246" t="n">
        <v>2</v>
      </c>
      <c r="M1246" t="n">
        <v>1</v>
      </c>
      <c r="N1246" t="n">
        <v>0</v>
      </c>
      <c r="O1246" t="n">
        <v>4</v>
      </c>
      <c r="P1246">
        <f>HYPERLINK("https://g1.globo.com/mundo/noticia/2019/11/16/opositores-venezuelanos-fazem-protesto-contra-maduro.ghtml", "URL")</f>
        <v/>
      </c>
      <c r="Q1246">
        <f>HYPERLINK("https://raw.githubusercontent.com/marcosmapl/dataset_imigrantes/main/materias_filtered/g1/venezuelanos/2019/10_nov/html/g1_c8263b28-230a-11ed-b24f-6dbe51e79fca_2527.html", "HTML")</f>
        <v/>
      </c>
      <c r="R1246">
        <f>HYPERLINK("https://raw.githubusercontent.com/marcosmapl/dataset_imigrantes/main/materias_filtered/g1/venezuelanos/2019/10_nov/txt/g1_c8263b28-230a-11ed-b24f-6dbe51e79fca_2527.txt", "TXT")</f>
        <v/>
      </c>
    </row>
    <row r="1247">
      <c r="A1247" s="1" t="n">
        <v>1245</v>
      </c>
      <c r="B1247" t="n">
        <v>2019</v>
      </c>
      <c r="C1247" s="2" t="n">
        <v>43783.47056712963</v>
      </c>
      <c r="D1247" t="inlineStr">
        <is>
          <t>A CRITICA</t>
        </is>
      </c>
      <c r="E1247" t="inlineStr">
        <is>
          <t>VENEZUELANOS</t>
        </is>
      </c>
      <c r="F1247" t="inlineStr">
        <is>
          <t>MANAUS</t>
        </is>
      </c>
      <c r="G1247" t="inlineStr">
        <is>
          <t>PORTAL A CRÍTICA</t>
        </is>
      </c>
      <c r="H1247" t="inlineStr">
        <is>
          <t>ATENDIMENTO A VENEZUELANOS GANHA NOVO POSTO DE TRIAGEM EM MANAUS</t>
        </is>
      </c>
      <c r="I1247" t="inlineStr">
        <is>
          <t>ALÉM DE FACILITAR O ACESSO A DIVERSOS SERVIÇOS PÚBLICOS, O POSTO TEM A FINALIDADE DE PRESTAR ATENDIMENTO AOS DIFERENTES GRUPOS DE PESSOAS QUE CHEGAM, COM VARIADOS GRAUS DE VULNERABILIDADE E NECESSIDADES</t>
        </is>
      </c>
      <c r="J1247" t="inlineStr"/>
      <c r="K1247" t="n">
        <v>0</v>
      </c>
      <c r="L1247" t="n">
        <v>1</v>
      </c>
      <c r="M1247" t="n">
        <v>0</v>
      </c>
      <c r="N1247" t="n">
        <v>0</v>
      </c>
      <c r="O1247" t="n">
        <v>0</v>
      </c>
      <c r="P1247">
        <f>HYPERLINK("https://www.acritica.com/manaus/atendimento-a-venezuelanos-ganha-novo-posto-de-triagem-em-manaus-1.54359", "URL")</f>
        <v/>
      </c>
      <c r="Q1247">
        <f>HYPERLINK("https://raw.githubusercontent.com/marcosmapl/dataset_imigrantes/main/materias_filtered/a_critica/venezuelanos/2019/10_nov/html/1.54359_42.html", "HTML")</f>
        <v/>
      </c>
      <c r="R1247">
        <f>HYPERLINK("https://raw.githubusercontent.com/marcosmapl/dataset_imigrantes/main/materias_filtered/a_critica/venezuelanos/2019/10_nov/txt/1.54359_42.txt", "TXT")</f>
        <v/>
      </c>
    </row>
    <row r="1248">
      <c r="A1248" s="1" t="n">
        <v>1246</v>
      </c>
      <c r="B1248" t="n">
        <v>2019</v>
      </c>
      <c r="C1248" s="2" t="n">
        <v>43783.46659722222</v>
      </c>
      <c r="D1248" t="inlineStr">
        <is>
          <t>A CRITICA</t>
        </is>
      </c>
      <c r="E1248" t="inlineStr">
        <is>
          <t>VENEZUELANOS</t>
        </is>
      </c>
      <c r="F1248" t="inlineStr"/>
      <c r="G1248" t="inlineStr">
        <is>
          <t>PORTAL A CRÍTICA</t>
        </is>
      </c>
      <c r="H1248" t="inlineStr">
        <is>
          <t>GOVERNO DO AM DEFENDE CRIAÇÃO DE BANCO DE DADOS CONTRA O NARCOTRÁFICO</t>
        </is>
      </c>
      <c r="I1248" t="inlineStr">
        <is>
          <t>SECRETARIO DE SEGURANÇA PÚBLICA DO AM, LOUISMAR BONATES, QUER INTEGRAR REDE DE INFORMAÇÕES SOBRE TRÁFICO DE DROGAS COM PAÍSES DA AMÉRICA DO SUL</t>
        </is>
      </c>
      <c r="J1248" t="inlineStr"/>
      <c r="K1248" t="n">
        <v>0</v>
      </c>
      <c r="L1248" t="n">
        <v>1</v>
      </c>
      <c r="M1248" t="n">
        <v>0</v>
      </c>
      <c r="N1248" t="n">
        <v>0</v>
      </c>
      <c r="O1248" t="n">
        <v>0</v>
      </c>
      <c r="P1248">
        <f>HYPERLINK("https://www.acritica.com/governo-do-am-defende-criac-o-de-banco-de-dados-contra-o-narcotrafico-1.54105", "URL")</f>
        <v/>
      </c>
      <c r="Q1248">
        <f>HYPERLINK("https://raw.githubusercontent.com/marcosmapl/dataset_imigrantes/main/materias_filtered/a_critica/venezuelanos/2019/10_nov/html/1.54105_680.html", "HTML")</f>
        <v/>
      </c>
      <c r="R1248">
        <f>HYPERLINK("https://raw.githubusercontent.com/marcosmapl/dataset_imigrantes/main/materias_filtered/a_critica/venezuelanos/2019/10_nov/txt/1.54105_680.txt", "TXT")</f>
        <v/>
      </c>
    </row>
    <row r="1249">
      <c r="A1249" s="1" t="n">
        <v>1247</v>
      </c>
      <c r="B1249" t="n">
        <v>2019</v>
      </c>
      <c r="C1249" s="2" t="n">
        <v>43782.57727401621</v>
      </c>
      <c r="D1249" t="inlineStr">
        <is>
          <t>G1</t>
        </is>
      </c>
      <c r="E1249" t="inlineStr">
        <is>
          <t>VENEZUELANOS</t>
        </is>
      </c>
      <c r="F1249" t="inlineStr">
        <is>
          <t>AMAZONAS</t>
        </is>
      </c>
      <c r="G1249" t="inlineStr">
        <is>
          <t>G1 AM*</t>
        </is>
      </c>
      <c r="H1249" t="inlineStr">
        <is>
          <t>MUTIRÃO DE SERVIÇOS LEVA CENTENAS DE IMIGRANTES VENEZUELANOS A POSTO DE TRIAGEM EM MANAUS</t>
        </is>
      </c>
      <c r="I1249" t="inlineStr">
        <is>
          <t>ENTRE SERVIÇOS MAIS PROCURADOS ESTAVA O DE SOLICITAÇÃO DE RESIDÊNCIA NA CAPITAL.</t>
        </is>
      </c>
      <c r="J1249" t="inlineStr"/>
      <c r="K1249" t="n">
        <v>0</v>
      </c>
      <c r="L1249" t="n">
        <v>1</v>
      </c>
      <c r="M1249" t="n">
        <v>0</v>
      </c>
      <c r="N1249" t="n">
        <v>0</v>
      </c>
      <c r="O1249" t="n">
        <v>1</v>
      </c>
      <c r="P1249">
        <f>HYPERLINK("https://g1.globo.com/am/amazonas/noticia/2019/11/13/mutirao-de-servicos-leva-centenas-de-imigrantes-venezuelanos-a-posto-de-triagem-em-manaus.ghtml", "URL")</f>
        <v/>
      </c>
      <c r="Q1249">
        <f>HYPERLINK("https://raw.githubusercontent.com/marcosmapl/dataset_imigrantes/main/materias_filtered/g1/venezuelanos/2019/10_nov/html/g1_9cf4f90e-232c-11ed-b24f-6dbe51e79fca_4317.html", "HTML")</f>
        <v/>
      </c>
      <c r="R1249">
        <f>HYPERLINK("https://raw.githubusercontent.com/marcosmapl/dataset_imigrantes/main/materias_filtered/g1/venezuelanos/2019/10_nov/txt/g1_9cf4f90e-232c-11ed-b24f-6dbe51e79fca_4317.txt", "TXT")</f>
        <v/>
      </c>
    </row>
    <row r="1250">
      <c r="A1250" s="1" t="n">
        <v>1248</v>
      </c>
      <c r="B1250" t="n">
        <v>2019</v>
      </c>
      <c r="C1250" s="2" t="n">
        <v>43782.53194444445</v>
      </c>
      <c r="D1250" t="inlineStr">
        <is>
          <t>A CRITICA</t>
        </is>
      </c>
      <c r="E1250" t="inlineStr">
        <is>
          <t>VENEZUELANOS</t>
        </is>
      </c>
      <c r="F1250" t="inlineStr"/>
      <c r="G1250" t="inlineStr">
        <is>
          <t>AFP</t>
        </is>
      </c>
      <c r="H1250" t="inlineStr">
        <is>
          <t>EMBAIXADA DA VENEZUELA EM BRASÍLIA É INVADIDA POR APOIADORES DE GUAIDÓ</t>
        </is>
      </c>
      <c r="I1250" t="inlineStr">
        <is>
          <t>INCIDENTE OCORRE NO MOMENTO EM QUE A CAPITAL É SEDE DA CÚPULA DO BRICS (BRASIL, RÚSSIA, ÍNDIA, CHINA E ÁFRICA DO SUL), PROFUNDAMENTE DIVIDIDO EM TORNO DA QUESTÃO VENEZUELANA: RÚSSIA E CHINA SÃO OS PRINCIPAIS ALIADOS DE MADURO, ENQUANTO O BRASIL APOIA GUAIDÓ</t>
        </is>
      </c>
      <c r="J1250" t="inlineStr"/>
      <c r="K1250" t="n">
        <v>0</v>
      </c>
      <c r="L1250" t="n">
        <v>1</v>
      </c>
      <c r="M1250" t="n">
        <v>0</v>
      </c>
      <c r="N1250" t="n">
        <v>0</v>
      </c>
      <c r="O1250" t="n">
        <v>0</v>
      </c>
      <c r="P1250">
        <f>HYPERLINK("https://www.acritica.com/embaixada-da-venezuela-em-brasilia-e-invadida-por-apoiadores-de-guaido-1.54176", "URL")</f>
        <v/>
      </c>
      <c r="Q1250">
        <f>HYPERLINK("https://raw.githubusercontent.com/marcosmapl/dataset_imigrantes/main/materias_filtered/a_critica/venezuelanos/2019/10_nov/html/1.54176_684.html", "HTML")</f>
        <v/>
      </c>
      <c r="R1250">
        <f>HYPERLINK("https://raw.githubusercontent.com/marcosmapl/dataset_imigrantes/main/materias_filtered/a_critica/venezuelanos/2019/10_nov/txt/1.54176_684.txt", "TXT")</f>
        <v/>
      </c>
    </row>
    <row r="1251">
      <c r="A1251" s="1" t="n">
        <v>1249</v>
      </c>
      <c r="B1251" t="n">
        <v>2019</v>
      </c>
      <c r="C1251" s="2" t="n">
        <v>43782.51182016204</v>
      </c>
      <c r="D1251" t="inlineStr">
        <is>
          <t>G1</t>
        </is>
      </c>
      <c r="E1251" t="inlineStr">
        <is>
          <t>VENEZUELANOS</t>
        </is>
      </c>
      <c r="F1251" t="inlineStr">
        <is>
          <t>DISTRITO FEDERAL</t>
        </is>
      </c>
      <c r="G1251" t="inlineStr">
        <is>
          <t>LUIZA GARONCE E MARÍLIA MARQUES, G1 DF</t>
        </is>
      </c>
      <c r="H1251" t="inlineStr">
        <is>
          <t>SEGUIDORES DE GUAIDÓ ENTRAM NA EMBAIXADA DA VENEZUELA NO DF; APOIADORES DE MADURO PROTESTAM</t>
        </is>
      </c>
      <c r="I1251" t="inlineStr">
        <is>
          <t>POLÍCIA MILITAR FOI CHAMADA PARA PRESTAR REFORÇO NA SEGURANÇA. EMBAIXADORA DESIGNADA POR GUAIDÓ DISSE QUE FUNCIONÁRIOS ABRIRAM AS PORTAS DA EMBAIXADA VOLUNTARIAMENTE. MAS MANIFESTANTES PRÓ-MADURO FALAM EM INVASÃO.</t>
        </is>
      </c>
      <c r="J1251" t="inlineStr"/>
      <c r="K1251" t="n">
        <v>0</v>
      </c>
      <c r="L1251" t="n">
        <v>3</v>
      </c>
      <c r="M1251" t="n">
        <v>1</v>
      </c>
      <c r="N1251" t="n">
        <v>0</v>
      </c>
      <c r="O1251" t="n">
        <v>13</v>
      </c>
      <c r="P1251">
        <f>HYPERLINK("https://g1.globo.com/df/distrito-federal/noticia/2019/11/13/manifestantes-pro-maduro-fazem-ato-na-embaixada-da-venezuela-em-brasilia-contra-juan-guaido.ghtml", "URL")</f>
        <v/>
      </c>
      <c r="Q1251">
        <f>HYPERLINK("https://raw.githubusercontent.com/marcosmapl/dataset_imigrantes/main/materias_filtered/g1/venezuelanos/2019/10_nov/html/g1_b8a9b29a-2316-11ed-b24f-6dbe51e79fca_3165.html", "HTML")</f>
        <v/>
      </c>
      <c r="R1251">
        <f>HYPERLINK("https://raw.githubusercontent.com/marcosmapl/dataset_imigrantes/main/materias_filtered/g1/venezuelanos/2019/10_nov/txt/g1_b8a9b29a-2316-11ed-b24f-6dbe51e79fca_3165.txt", "TXT")</f>
        <v/>
      </c>
    </row>
    <row r="1252">
      <c r="A1252" s="1" t="n">
        <v>1250</v>
      </c>
      <c r="B1252" t="n">
        <v>2019</v>
      </c>
      <c r="C1252" s="2" t="n">
        <v>43781.67258671296</v>
      </c>
      <c r="D1252" t="inlineStr">
        <is>
          <t>G1</t>
        </is>
      </c>
      <c r="E1252" t="inlineStr">
        <is>
          <t>AMBOS</t>
        </is>
      </c>
      <c r="F1252" t="inlineStr">
        <is>
          <t>RORAIMA</t>
        </is>
      </c>
      <c r="G1252" t="inlineStr">
        <is>
          <t>FABRÍCIO ARAÚJO, G1 RR — BOA VISTA</t>
        </is>
      </c>
      <c r="H1252" t="inlineStr">
        <is>
          <t>RR TEM MAIOR TAXA DE CONTRATAÇÃO FORMAL DE IMIGRANTES NO PAÍS, APONTA MINISTÉRIO DA JUSTIÇA</t>
        </is>
      </c>
      <c r="I1252" t="inlineStr">
        <is>
          <t>DOCUMENTO DIVULGADO PELO MINISTÉRIO DA JUSTIÇA E SEGURANÇA PÚBLICA FAZ BALANÇO SOBRE MOVIMENTOS MIGRATÓRIOS ENTRE MAIO E AGOSTO DE 2019.</t>
        </is>
      </c>
      <c r="J1252" t="inlineStr"/>
      <c r="K1252" t="n">
        <v>0</v>
      </c>
      <c r="L1252" t="n">
        <v>1</v>
      </c>
      <c r="M1252" t="n">
        <v>0</v>
      </c>
      <c r="N1252" t="n">
        <v>0</v>
      </c>
      <c r="O1252" t="n">
        <v>0</v>
      </c>
      <c r="P1252">
        <f>HYPERLINK("https://g1.globo.com/rr/roraima/noticia/2019/11/12/rr-tem-maior-taxa-de-contratacao-formal-de-imigrantes-no-pais-aponta-ministerio-da-justica.ghtml", "URL")</f>
        <v/>
      </c>
      <c r="Q1252">
        <f>HYPERLINK("https://raw.githubusercontent.com/marcosmapl/dataset_imigrantes/main/materias_filtered/g1/ambos/2019/10_nov/html/g1_ec2745ae-230e-11ed-b24f-6dbe51e79fca_2766.html", "HTML")</f>
        <v/>
      </c>
      <c r="R1252">
        <f>HYPERLINK("https://raw.githubusercontent.com/marcosmapl/dataset_imigrantes/main/materias_filtered/g1/ambos/2019/10_nov/txt/g1_ec2745ae-230e-11ed-b24f-6dbe51e79fca_2766.txt", "TXT")</f>
        <v/>
      </c>
    </row>
    <row r="1253">
      <c r="A1253" s="1" t="n">
        <v>1251</v>
      </c>
      <c r="B1253" t="n">
        <v>2019</v>
      </c>
      <c r="C1253" s="2" t="n">
        <v>43780.6866690625</v>
      </c>
      <c r="D1253" t="inlineStr">
        <is>
          <t>G1</t>
        </is>
      </c>
      <c r="E1253" t="inlineStr">
        <is>
          <t>AMBOS</t>
        </is>
      </c>
      <c r="F1253" t="inlineStr">
        <is>
          <t>SÃO PAULO</t>
        </is>
      </c>
      <c r="G1253" t="inlineStr">
        <is>
          <t>GIBA BERGAMIM, SP1</t>
        </is>
      </c>
      <c r="H1253" t="inlineStr">
        <is>
          <t>SÃO PAULO É SEGUNDO ESTADO BRASILEIRO COM MAIOR NÚMERO DE PEDIDOS DE REFÚGIO POR IMIGRANTES</t>
        </is>
      </c>
      <c r="I1253" t="inlineStr">
        <is>
          <t>DADOS DO MINISTÉRIO DA JUSTIÇA DIVULGADOS NESTA SEGUNDA-FEIRA (11) APONTAM QUE O NÚMERO DE PEDIDOS FEITOS POR VENEZUELANOS, HAITIANOS, ANGOLANOS E BOLIVIANOS É QUASE 10% DO TOTAL.</t>
        </is>
      </c>
      <c r="J1253" t="inlineStr"/>
      <c r="K1253" t="n">
        <v>0</v>
      </c>
      <c r="L1253" t="n">
        <v>1</v>
      </c>
      <c r="M1253" t="n">
        <v>1</v>
      </c>
      <c r="N1253" t="n">
        <v>0</v>
      </c>
      <c r="O1253" t="n">
        <v>1</v>
      </c>
      <c r="P1253">
        <f>HYPERLINK("https://g1.globo.com/sp/sao-paulo/noticia/2019/11/11/sao-paulo-e-segundo-estado-brasileiro-com-maior-numero-de-pedidos-de-refugio-por-imigrantes.ghtml", "URL")</f>
        <v/>
      </c>
      <c r="Q1253">
        <f>HYPERLINK("https://raw.githubusercontent.com/marcosmapl/dataset_imigrantes/main/materias_filtered/g1/ambos/2019/10_nov/html/g1_52b0445a-2310-11ed-b24f-6dbe51e79fca_2854.html", "HTML")</f>
        <v/>
      </c>
      <c r="R1253">
        <f>HYPERLINK("https://raw.githubusercontent.com/marcosmapl/dataset_imigrantes/main/materias_filtered/g1/ambos/2019/10_nov/txt/g1_52b0445a-2310-11ed-b24f-6dbe51e79fca_2854.txt", "TXT")</f>
        <v/>
      </c>
    </row>
    <row r="1254">
      <c r="A1254" s="1" t="n">
        <v>1252</v>
      </c>
      <c r="B1254" t="n">
        <v>2019</v>
      </c>
      <c r="C1254" s="2" t="n">
        <v>43780.52613628472</v>
      </c>
      <c r="D1254" t="inlineStr">
        <is>
          <t>G1</t>
        </is>
      </c>
      <c r="E1254" t="inlineStr">
        <is>
          <t>VENEZUELANOS</t>
        </is>
      </c>
      <c r="F1254" t="inlineStr">
        <is>
          <t>MUNDO</t>
        </is>
      </c>
      <c r="G1254" t="inlineStr">
        <is>
          <t>G1</t>
        </is>
      </c>
      <c r="H1254" t="inlineStr">
        <is>
          <t>EMBAIXADORA DA VENEZUELA NA BOLÍVIA DIZ QUE EMBAIXADA FOI ATACADA</t>
        </is>
      </c>
      <c r="I1254" t="inlineStr">
        <is>
          <t>CRISBEYLEE GONZÁLEZ AFIRMOU QUE O PRÉDIO FOI ATINGIDO POR DINAMITES NA NOITE DE DOMINGO (10). NINGUÉM FICOU FERIDO.</t>
        </is>
      </c>
      <c r="J1254" t="inlineStr"/>
      <c r="K1254" t="n">
        <v>0</v>
      </c>
      <c r="L1254" t="n">
        <v>2</v>
      </c>
      <c r="M1254" t="n">
        <v>1</v>
      </c>
      <c r="N1254" t="n">
        <v>0</v>
      </c>
      <c r="O1254" t="n">
        <v>14</v>
      </c>
      <c r="P1254">
        <f>HYPERLINK("https://g1.globo.com/mundo/noticia/2019/11/11/embaixadora-da-venezuela-na-bolivia-diz-que-embaixada-foi-atacada.ghtml", "URL")</f>
        <v/>
      </c>
      <c r="Q1254">
        <f>HYPERLINK("https://raw.githubusercontent.com/marcosmapl/dataset_imigrantes/main/materias_filtered/g1/venezuelanos/2019/10_nov/html/g1_d124751a-232c-11ed-b24f-6dbe51e79fca_4327.html", "HTML")</f>
        <v/>
      </c>
      <c r="R1254">
        <f>HYPERLINK("https://raw.githubusercontent.com/marcosmapl/dataset_imigrantes/main/materias_filtered/g1/venezuelanos/2019/10_nov/txt/g1_d124751a-232c-11ed-b24f-6dbe51e79fca_4327.txt", "TXT")</f>
        <v/>
      </c>
    </row>
    <row r="1255">
      <c r="A1255" s="1" t="n">
        <v>1253</v>
      </c>
      <c r="B1255" t="n">
        <v>2019</v>
      </c>
      <c r="C1255" s="2" t="n">
        <v>43779.65577560185</v>
      </c>
      <c r="D1255" t="inlineStr">
        <is>
          <t>G1</t>
        </is>
      </c>
      <c r="E1255" t="inlineStr">
        <is>
          <t>HAITIANOS</t>
        </is>
      </c>
      <c r="F1255" t="inlineStr">
        <is>
          <t>MATO GROSSO</t>
        </is>
      </c>
      <c r="G1255" t="inlineStr">
        <is>
          <t>G1 MT</t>
        </is>
      </c>
      <c r="H1255" t="inlineStr">
        <is>
          <t>HAITIANO QUE MORA EM MT HÁ 5 ANOS VAI DE MULETAS FAZER PROVA APÓS FRATURAR PÉ EM ACIDENTE</t>
        </is>
      </c>
      <c r="I1255" t="inlineStr">
        <is>
          <t>CARNES ILOZIER COMEÇOU A FAZER MATEMÁTICA NUMA UNIVERSIDADE PARTICULAR, MAS QUER CURSAR FÍSICA NA UFMT.</t>
        </is>
      </c>
      <c r="J1255" t="inlineStr"/>
      <c r="K1255" t="n">
        <v>0</v>
      </c>
      <c r="L1255" t="n">
        <v>1</v>
      </c>
      <c r="M1255" t="n">
        <v>0</v>
      </c>
      <c r="N1255" t="n">
        <v>0</v>
      </c>
      <c r="O1255" t="n">
        <v>0</v>
      </c>
      <c r="P1255">
        <f>HYPERLINK("https://g1.globo.com/mt/mato-grosso/noticia/2019/11/10/haitiano-que-mora-em-mt-ha-5-anos-vai-de-muletas-fazer-prova-apos-fraturar-pe-em-acidente.ghtml", "URL")</f>
        <v/>
      </c>
      <c r="Q1255">
        <f>HYPERLINK("https://raw.githubusercontent.com/marcosmapl/dataset_imigrantes/main/materias_filtered/g1/haitianos/2019/10_nov/html/g1_fa895a98-22f4-11ed-b24f-6dbe51e79fca_1924.html", "HTML")</f>
        <v/>
      </c>
      <c r="R1255">
        <f>HYPERLINK("https://raw.githubusercontent.com/marcosmapl/dataset_imigrantes/main/materias_filtered/g1/haitianos/2019/10_nov/txt/g1_fa895a98-22f4-11ed-b24f-6dbe51e79fca_1924.txt", "TXT")</f>
        <v/>
      </c>
    </row>
    <row r="1256">
      <c r="A1256" s="1" t="n">
        <v>1254</v>
      </c>
      <c r="B1256" t="n">
        <v>2019</v>
      </c>
      <c r="C1256" s="2" t="n">
        <v>43777.98026567129</v>
      </c>
      <c r="D1256" t="inlineStr">
        <is>
          <t>G1</t>
        </is>
      </c>
      <c r="E1256" t="inlineStr">
        <is>
          <t>VENEZUELANOS</t>
        </is>
      </c>
      <c r="F1256" t="inlineStr">
        <is>
          <t>RORAIMA</t>
        </is>
      </c>
      <c r="G1256" t="inlineStr">
        <is>
          <t>G1 RR — BOA VISTA</t>
        </is>
      </c>
      <c r="H1256" t="inlineStr">
        <is>
          <t>JÚRI CONDENA A 53 ANOS DE PRISÃO ACUSADO DE ATEAR FOGO EM VENEZUELANOS EM RR</t>
        </is>
      </c>
      <c r="I1256" t="inlineStr">
        <is>
          <t>O GUIANENSE GORDON FOWLER FOI CONDENADO POR TENTATIVA DE HOMICÍDIO CONTRA SEIS VENEZUELANOS EM 2018.</t>
        </is>
      </c>
      <c r="J1256" t="inlineStr"/>
      <c r="K1256" t="n">
        <v>0</v>
      </c>
      <c r="L1256" t="n">
        <v>2</v>
      </c>
      <c r="M1256" t="n">
        <v>0</v>
      </c>
      <c r="N1256" t="n">
        <v>0</v>
      </c>
      <c r="O1256" t="n">
        <v>5</v>
      </c>
      <c r="P1256">
        <f>HYPERLINK("https://g1.globo.com/rr/roraima/noticia/2019/11/08/juri-condena-a-53-anos-de-prisao-acusado-de-atear-fogo-em-venezuelanos-em-rr.ghtml", "URL")</f>
        <v/>
      </c>
      <c r="Q1256">
        <f>HYPERLINK("https://raw.githubusercontent.com/marcosmapl/dataset_imigrantes/main/materias_filtered/g1/venezuelanos/2019/10_nov/html/g1_7611d6f8-230f-11ed-b24f-6dbe51e79fca_2796.html", "HTML")</f>
        <v/>
      </c>
      <c r="R1256">
        <f>HYPERLINK("https://raw.githubusercontent.com/marcosmapl/dataset_imigrantes/main/materias_filtered/g1/venezuelanos/2019/10_nov/txt/g1_7611d6f8-230f-11ed-b24f-6dbe51e79fca_2796.txt", "TXT")</f>
        <v/>
      </c>
    </row>
    <row r="1257">
      <c r="A1257" s="1" t="n">
        <v>1255</v>
      </c>
      <c r="B1257" t="n">
        <v>2019</v>
      </c>
      <c r="C1257" s="2" t="n">
        <v>43777.5375</v>
      </c>
      <c r="D1257" t="inlineStr">
        <is>
          <t>PORTAL AMAZONIA</t>
        </is>
      </c>
      <c r="E1257" t="inlineStr">
        <is>
          <t>VENEZUELANOS</t>
        </is>
      </c>
      <c r="F1257" t="inlineStr">
        <is>
          <t>CIDADES</t>
        </is>
      </c>
      <c r="G1257" t="inlineStr">
        <is>
          <t>REDAÇÃO</t>
        </is>
      </c>
      <c r="H1257" t="inlineStr">
        <is>
          <t>OPERAÇÃO ACOLHIDA EM MANAUS INAUGURA ESPAÇO PARA ATENDER REFUGIADOS E MIGRANTES VENEZUELANOS</t>
        </is>
      </c>
      <c r="I1257" t="inlineStr">
        <is>
          <t>VENEZUELANOS QUE CHEGAM EM MANAUS CONTAM COM O NOVO POSTO DE INTERIORIZAÇÃO E TRIAGEM DA OPERAÇÃO ACOLHIDA. NO LOCAL, PODEM OBTER INFORMAÇÕES SOBRE COMO SOLICITAR REFÚGIO OU RESIDÊNCIA TEMPORÁRIA NO BRASIL, EMITIR DOCUMENTOS, SER VACINADOS E SE VOLUN</t>
        </is>
      </c>
      <c r="J1257" t="inlineStr">
        <is>
          <t>ACOLHIDA VENEZUELANOS MANAUS, MANAUS, OPERACAO ACOLHIDA, VENEZUELANOS</t>
        </is>
      </c>
      <c r="K1257" t="n">
        <v>4</v>
      </c>
      <c r="L1257" t="n">
        <v>4</v>
      </c>
      <c r="M1257" t="n">
        <v>0</v>
      </c>
      <c r="N1257" t="n">
        <v>0</v>
      </c>
      <c r="O1257" t="n">
        <v>9</v>
      </c>
      <c r="P1257">
        <f>HYPERLINK("https://portalamazonia.com/noticias/cidades/operacao-acolhida-em-manaus-inaugura-espaco-para-atender-refugiados-e-migrantes-venezuelanos", "URL")</f>
        <v/>
      </c>
      <c r="Q1257">
        <f>HYPERLINK("https://raw.githubusercontent.com/marcosmapl/dataset_imigrantes/main/materias_filtered/portal_amazonia/venezuelanos/2019/10_nov/html/21672.21672_1612.html", "HTML")</f>
        <v/>
      </c>
      <c r="R1257">
        <f>HYPERLINK("https://raw.githubusercontent.com/marcosmapl/dataset_imigrantes/main/materias_filtered/portal_amazonia/venezuelanos/2019/10_nov/txt/21672.21672_1612.txt", "TXT")</f>
        <v/>
      </c>
    </row>
    <row r="1258">
      <c r="A1258" s="1" t="n">
        <v>1256</v>
      </c>
      <c r="B1258" t="n">
        <v>2019</v>
      </c>
      <c r="C1258" s="2" t="n">
        <v>43777.01319444444</v>
      </c>
      <c r="D1258" t="inlineStr">
        <is>
          <t>A CRITICA</t>
        </is>
      </c>
      <c r="E1258" t="inlineStr">
        <is>
          <t>VENEZUELANOS</t>
        </is>
      </c>
      <c r="F1258" t="inlineStr"/>
      <c r="G1258" t="inlineStr">
        <is>
          <t>PORTAL A CRÍTICA</t>
        </is>
      </c>
      <c r="H1258" t="inlineStr">
        <is>
          <t>'A BORDO - O REALITY': PROVA DA RAINHA 'COROA' DÉBORA APÓS QUASE 16H DE RESISTÊNCIA</t>
        </is>
      </c>
      <c r="I1258" t="inlineStr">
        <is>
          <t>PROVA TEVE DURAÇÃO TOTAL DE 15H34 E FINALISTAS TIVERAM QUE DECIDIR ENTRE SI QUEM LEVAVA A COROA DA SEMANA. CANDIDATAS PRECISARAM FICAR ACORRENTADAS PELOS BRAÇOS E PERNAS EM UMA ESTRUTURA DE FERRO</t>
        </is>
      </c>
      <c r="J1258" t="inlineStr"/>
      <c r="K1258" t="n">
        <v>0</v>
      </c>
      <c r="L1258" t="n">
        <v>1</v>
      </c>
      <c r="M1258" t="n">
        <v>0</v>
      </c>
      <c r="N1258" t="n">
        <v>0</v>
      </c>
      <c r="O1258" t="n">
        <v>0</v>
      </c>
      <c r="P1258">
        <f>HYPERLINK("https://www.acritica.com/a-bordo-o-reality-prova-da-rainha-coroa-debora-apos-quase-16h-de-resistencia-1.55549", "URL")</f>
        <v/>
      </c>
      <c r="Q1258">
        <f>HYPERLINK("https://raw.githubusercontent.com/marcosmapl/dataset_imigrantes/main/materias_filtered/a_critica/venezuelanos/2019/10_nov/html/1.55549_1143.html", "HTML")</f>
        <v/>
      </c>
      <c r="R1258">
        <f>HYPERLINK("https://raw.githubusercontent.com/marcosmapl/dataset_imigrantes/main/materias_filtered/a_critica/venezuelanos/2019/10_nov/txt/1.55549_1143.txt", "TXT")</f>
        <v/>
      </c>
    </row>
    <row r="1259">
      <c r="A1259" s="1" t="n">
        <v>1257</v>
      </c>
      <c r="B1259" t="n">
        <v>2019</v>
      </c>
      <c r="C1259" s="2" t="n">
        <v>43775.83743055556</v>
      </c>
      <c r="D1259" t="inlineStr">
        <is>
          <t>A CRITICA</t>
        </is>
      </c>
      <c r="E1259" t="inlineStr">
        <is>
          <t>VENEZUELANOS</t>
        </is>
      </c>
      <c r="F1259" t="inlineStr"/>
      <c r="G1259" t="inlineStr">
        <is>
          <t>PORTAL A CRÍTICA</t>
        </is>
      </c>
      <c r="H1259" t="inlineStr">
        <is>
          <t>FRANÇA ANUNCIA APORTE DE R$ 1 MILHÃO A REFUGIADOS VENEZUELANOS EM MANAUS</t>
        </is>
      </c>
      <c r="I1259" t="inlineStr">
        <is>
          <t>DOAÇÃO PROPORCIONARÁ AUXÍLIO EMERGENCIAL A FAMÍLIAS EM SITUAÇÃO VULNERÁVEL, COM AUXÍLIO FINANCEIRO MENSAL PARA CUSTEIO DE ALUGUEL, ENERGIA, ÁGUA E ALIMENTAÇÃO POR UM PERÍODO DE TRÊS MESES</t>
        </is>
      </c>
      <c r="J1259" t="inlineStr"/>
      <c r="K1259" t="n">
        <v>0</v>
      </c>
      <c r="L1259" t="n">
        <v>1</v>
      </c>
      <c r="M1259" t="n">
        <v>0</v>
      </c>
      <c r="N1259" t="n">
        <v>0</v>
      </c>
      <c r="O1259" t="n">
        <v>0</v>
      </c>
      <c r="P1259">
        <f>HYPERLINK("https://www.acritica.com/franca-anuncia-aporte-de-r-1-milh-o-a-refugiados-venezuelanos-em-manaus-1.55609", "URL")</f>
        <v/>
      </c>
      <c r="Q1259">
        <f>HYPERLINK("https://raw.githubusercontent.com/marcosmapl/dataset_imigrantes/main/materias_filtered/a_critica/venezuelanos/2019/10_nov/html/1.55609_539.html", "HTML")</f>
        <v/>
      </c>
      <c r="R1259">
        <f>HYPERLINK("https://raw.githubusercontent.com/marcosmapl/dataset_imigrantes/main/materias_filtered/a_critica/venezuelanos/2019/10_nov/txt/1.55609_539.txt", "TXT")</f>
        <v/>
      </c>
    </row>
    <row r="1260">
      <c r="A1260" s="1" t="n">
        <v>1258</v>
      </c>
      <c r="B1260" t="n">
        <v>2019</v>
      </c>
      <c r="C1260" s="2" t="n">
        <v>43775.37573120371</v>
      </c>
      <c r="D1260" t="inlineStr">
        <is>
          <t>G1</t>
        </is>
      </c>
      <c r="E1260" t="inlineStr">
        <is>
          <t>HAITIANOS</t>
        </is>
      </c>
      <c r="F1260" t="inlineStr">
        <is>
          <t>PARANÁ</t>
        </is>
      </c>
      <c r="G1260" t="inlineStr">
        <is>
          <t>G1 PR — CURITIBA</t>
        </is>
      </c>
      <c r="H1260" t="inlineStr">
        <is>
          <t>RPC: VEJA AS INFORMAÇÕES ADICIONAIS DAS REPORTAGENS DO DIA 6/11/2019</t>
        </is>
      </c>
      <c r="I1260" t="inlineStr">
        <is>
          <t>O G1 LISTA OS PRINCIPAIS DESTAQUES DOS TELEJORNAIS DA RPC DESTA QUARTA-FEIRA (6). SAIBA OS ENDEREÇOS, TELEFONES E OS SITES DAS REPORTAGENS EXIBIDAS.</t>
        </is>
      </c>
      <c r="J1260" t="inlineStr"/>
      <c r="K1260" t="n">
        <v>0</v>
      </c>
      <c r="L1260" t="n">
        <v>0</v>
      </c>
      <c r="M1260" t="n">
        <v>0</v>
      </c>
      <c r="N1260" t="n">
        <v>0</v>
      </c>
      <c r="O1260" t="n">
        <v>5</v>
      </c>
      <c r="P1260">
        <f>HYPERLINK("https://g1.globo.com/pr/parana/informacoes-adicionais-dos-telejornais/noticia/2019/11/06/rpc-veja-as-informacoes-adicionais-das-reportagens-do-dia-6112019.ghtml", "URL")</f>
        <v/>
      </c>
      <c r="Q1260">
        <f>HYPERLINK("https://raw.githubusercontent.com/marcosmapl/dataset_imigrantes/main/materias_filtered/g1/haitianos/2019/10_nov/html/g1_5df4fc3e-2324-11ed-b24f-6dbe51e79fca_3867.html", "HTML")</f>
        <v/>
      </c>
      <c r="R1260">
        <f>HYPERLINK("https://raw.githubusercontent.com/marcosmapl/dataset_imigrantes/main/materias_filtered/g1/haitianos/2019/10_nov/txt/g1_5df4fc3e-2324-11ed-b24f-6dbe51e79fca_3867.txt", "TXT")</f>
        <v/>
      </c>
    </row>
    <row r="1261">
      <c r="A1261" s="1" t="n">
        <v>1259</v>
      </c>
      <c r="B1261" t="n">
        <v>2019</v>
      </c>
      <c r="C1261" s="2" t="n">
        <v>43774.77523900463</v>
      </c>
      <c r="D1261" t="inlineStr">
        <is>
          <t>G1</t>
        </is>
      </c>
      <c r="E1261" t="inlineStr">
        <is>
          <t>VENEZUELANOS</t>
        </is>
      </c>
      <c r="F1261" t="inlineStr">
        <is>
          <t>ACRE</t>
        </is>
      </c>
      <c r="G1261" t="inlineStr">
        <is>
          <t>IRYÁ RODRIGUES, G1 AC — RIO BRANCO</t>
        </is>
      </c>
      <c r="H1261" t="inlineStr">
        <is>
          <t>GRÁVIDA DE 8 MESES, VENEZUELANA DORME UMA SEMANA EM RODOVIÁRIA NO AC PARA JUNTAR DINHEIRO E IR PARA O PERU</t>
        </is>
      </c>
      <c r="I1261" t="inlineStr">
        <is>
          <t>SOZINHA, A JOVEM DE 20 ANOS CONTA QUE SE SEPAROU DO COMPANHEIRO COM QUEM SAIU DA VENEZUELA HÁ DOIS ANOS. ELA CONSEGUIU COMPRAR A PASSAGEM E SEGUE PARA LIMA.</t>
        </is>
      </c>
      <c r="J1261" t="inlineStr"/>
      <c r="K1261" t="n">
        <v>0</v>
      </c>
      <c r="L1261" t="n">
        <v>2</v>
      </c>
      <c r="M1261" t="n">
        <v>0</v>
      </c>
      <c r="N1261" t="n">
        <v>0</v>
      </c>
      <c r="O1261" t="n">
        <v>0</v>
      </c>
      <c r="P1261">
        <f>HYPERLINK("https://g1.globo.com/ac/acre/noticia/2019/11/05/gravida-de-8-meses-venezuelana-dorme-uma-semana-em-rodoviaria-no-ac-para-juntar-dinheiro-e-ir-para-o-peru.ghtml", "URL")</f>
        <v/>
      </c>
      <c r="Q1261">
        <f>HYPERLINK("https://raw.githubusercontent.com/marcosmapl/dataset_imigrantes/main/materias_filtered/g1/venezuelanos/2019/10_nov/html/g1_c17fe642-2324-11ed-b24f-6dbe51e79fca_3884.html", "HTML")</f>
        <v/>
      </c>
      <c r="R1261">
        <f>HYPERLINK("https://raw.githubusercontent.com/marcosmapl/dataset_imigrantes/main/materias_filtered/g1/venezuelanos/2019/10_nov/txt/g1_c17fe642-2324-11ed-b24f-6dbe51e79fca_3884.txt", "TXT")</f>
        <v/>
      </c>
    </row>
    <row r="1262">
      <c r="A1262" s="1" t="n">
        <v>1260</v>
      </c>
      <c r="B1262" t="n">
        <v>2019</v>
      </c>
      <c r="C1262" s="2" t="n">
        <v>43773.81444043981</v>
      </c>
      <c r="D1262" t="inlineStr">
        <is>
          <t>G1</t>
        </is>
      </c>
      <c r="E1262" t="inlineStr">
        <is>
          <t>VENEZUELANOS</t>
        </is>
      </c>
      <c r="F1262" t="inlineStr">
        <is>
          <t>PIAUÍ</t>
        </is>
      </c>
      <c r="G1262" t="inlineStr">
        <is>
          <t>LUCAS MARREIROS, G1 PI</t>
        </is>
      </c>
      <c r="H1262" t="inlineStr">
        <is>
          <t>BEBÊ VENEZUELANO DE 1 ANO MORRE DE PNEUMONIA EM TERESINA</t>
        </is>
      </c>
      <c r="I1262" t="inlineStr">
        <is>
          <t>DE ACORDO COM A SECRETARIA MUNICIPAL DE CIDADANIA, ASSISTÊNCIA SOCIAL E POLÍTICAS INTEGRADAS, A CRIANÇA E A FAMÍLIA DELA CHEGARAM À CAPITAL DO PIAUÍ HÁ MENOS DE 10 DIAS.</t>
        </is>
      </c>
      <c r="J1262" t="inlineStr"/>
      <c r="K1262" t="n">
        <v>0</v>
      </c>
      <c r="L1262" t="n">
        <v>2</v>
      </c>
      <c r="M1262" t="n">
        <v>0</v>
      </c>
      <c r="N1262" t="n">
        <v>0</v>
      </c>
      <c r="O1262" t="n">
        <v>2</v>
      </c>
      <c r="P1262">
        <f>HYPERLINK("https://g1.globo.com/pi/piaui/noticia/2019/11/04/bebe-venezuelano-de-1-ano-morre-de-pneumonia-em-teresina.ghtml", "URL")</f>
        <v/>
      </c>
      <c r="Q1262">
        <f>HYPERLINK("https://raw.githubusercontent.com/marcosmapl/dataset_imigrantes/main/materias_filtered/g1/venezuelanos/2019/10_nov/html/g1_477d7c6c-231d-11ed-b24f-6dbe51e79fca_3494.html", "HTML")</f>
        <v/>
      </c>
      <c r="R1262">
        <f>HYPERLINK("https://raw.githubusercontent.com/marcosmapl/dataset_imigrantes/main/materias_filtered/g1/venezuelanos/2019/10_nov/txt/g1_477d7c6c-231d-11ed-b24f-6dbe51e79fca_3494.txt", "TXT")</f>
        <v/>
      </c>
    </row>
    <row r="1263">
      <c r="A1263" s="1" t="n">
        <v>1261</v>
      </c>
      <c r="B1263" t="n">
        <v>2019</v>
      </c>
      <c r="C1263" s="2" t="n">
        <v>43773.65069444444</v>
      </c>
      <c r="D1263" t="inlineStr">
        <is>
          <t>PORTAL AMAZONIA</t>
        </is>
      </c>
      <c r="E1263" t="inlineStr">
        <is>
          <t>VENEZUELANOS</t>
        </is>
      </c>
      <c r="F1263" t="inlineStr">
        <is>
          <t>CIDADES</t>
        </is>
      </c>
      <c r="G1263" t="inlineStr">
        <is>
          <t>REDAÇÃO</t>
        </is>
      </c>
      <c r="H1263" t="inlineStr">
        <is>
          <t>FRANÇA ANUNCIA NOVO APOIO À ACOLHIDA DE VENEZUELANOS EM MANAUS</t>
        </is>
      </c>
      <c r="I1263" t="inlineStr">
        <is>
          <t>A EMBAIXADA DA FRANÇA NO BRASIL ASSINARÁ, NESTA SEGUNDA-FEIRA (04), UMA NOVA DOAÇÃO À CÁRITAS BRASIL, COM O OBJETIVO DE APOIAR A SITUAÇÃO DE ACOLHIDA DOS REFUGIADOS E MIGRANTES VENEZUELANOS EM MANAUS. O EVENTO SERÁ REALIZADO ÀS 18H NA SEDE DA CÁRITAS</t>
        </is>
      </c>
      <c r="J1263" t="inlineStr"/>
      <c r="K1263" t="n">
        <v>0</v>
      </c>
      <c r="L1263" t="n">
        <v>2</v>
      </c>
      <c r="M1263" t="n">
        <v>0</v>
      </c>
      <c r="N1263" t="n">
        <v>0</v>
      </c>
      <c r="O1263" t="n">
        <v>5</v>
      </c>
      <c r="P1263">
        <f>HYPERLINK("https://portalamazonia.com/noticias/cidades/franca-anuncia-novo-apoio-a-acolhida-de-venezuelanos-em-manaus", "URL")</f>
        <v/>
      </c>
      <c r="Q1263">
        <f>HYPERLINK("https://raw.githubusercontent.com/marcosmapl/dataset_imigrantes/main/materias_filtered/portal_amazonia/venezuelanos/2019/10_nov/html/21645.21645_1505.html", "HTML")</f>
        <v/>
      </c>
      <c r="R1263">
        <f>HYPERLINK("https://raw.githubusercontent.com/marcosmapl/dataset_imigrantes/main/materias_filtered/portal_amazonia/venezuelanos/2019/10_nov/txt/21645.21645_1505.txt", "TXT")</f>
        <v/>
      </c>
    </row>
    <row r="1264">
      <c r="A1264" s="1" t="n">
        <v>1262</v>
      </c>
      <c r="B1264" t="n">
        <v>2019</v>
      </c>
      <c r="C1264" s="2" t="n">
        <v>43773.50263888889</v>
      </c>
      <c r="D1264" t="inlineStr">
        <is>
          <t>A CRITICA</t>
        </is>
      </c>
      <c r="E1264" t="inlineStr">
        <is>
          <t>VENEZUELANOS</t>
        </is>
      </c>
      <c r="F1264" t="inlineStr"/>
      <c r="G1264" t="inlineStr">
        <is>
          <t>AGÊNCIA BRASIL</t>
        </is>
      </c>
      <c r="H1264" t="inlineStr">
        <is>
          <t>SISTEMA ACOLHEDOR É CRIADO COMO BASE PARA CADASTRO DE VENEZUELANOS</t>
        </is>
      </c>
      <c r="I1264" t="inlineStr">
        <is>
          <t>INTERIORIZAR A ACOLHIDA, E CRIAR MELHORES OPORTUNIDADES DE INSERÇÃO DOS MIGRANTES DA VENEZUELA NO BRASIL SÃO OS OBJETIVOS DO SISTEMA CRIADO PELO GOVERNO FEDERAL</t>
        </is>
      </c>
      <c r="J1264" t="inlineStr"/>
      <c r="K1264" t="n">
        <v>0</v>
      </c>
      <c r="L1264" t="n">
        <v>1</v>
      </c>
      <c r="M1264" t="n">
        <v>0</v>
      </c>
      <c r="N1264" t="n">
        <v>0</v>
      </c>
      <c r="O1264" t="n">
        <v>0</v>
      </c>
      <c r="P1264">
        <f>HYPERLINK("https://www.acritica.com/sistema-acolhedor-e-criado-como-base-para-cadastro-de-venezuelanos-1.55889", "URL")</f>
        <v/>
      </c>
      <c r="Q1264">
        <f>HYPERLINK("https://raw.githubusercontent.com/marcosmapl/dataset_imigrantes/main/materias_filtered/a_critica/venezuelanos/2019/10_nov/html/1.55889_407.html", "HTML")</f>
        <v/>
      </c>
      <c r="R1264">
        <f>HYPERLINK("https://raw.githubusercontent.com/marcosmapl/dataset_imigrantes/main/materias_filtered/a_critica/venezuelanos/2019/10_nov/txt/1.55889_407.txt", "TXT")</f>
        <v/>
      </c>
    </row>
    <row r="1265">
      <c r="A1265" s="1" t="n">
        <v>1263</v>
      </c>
      <c r="B1265" t="n">
        <v>2019</v>
      </c>
      <c r="C1265" s="2" t="n">
        <v>43773.49387476852</v>
      </c>
      <c r="D1265" t="inlineStr">
        <is>
          <t>G1</t>
        </is>
      </c>
      <c r="E1265" t="inlineStr">
        <is>
          <t>VENEZUELANOS</t>
        </is>
      </c>
      <c r="F1265" t="inlineStr">
        <is>
          <t>MATO GROSSO</t>
        </is>
      </c>
      <c r="G1265" t="inlineStr">
        <is>
          <t>LEANDRO TRINDADE, TV CENTRO AMÉRICA</t>
        </is>
      </c>
      <c r="H1265" t="inlineStr">
        <is>
          <t>GAROTA DE PROGRAMA VENEZUELANA É AGREDIDA E ESTUPRADA POR CLIENTE EM MOTEL EM MT</t>
        </is>
      </c>
      <c r="I1265" t="inlineStr">
        <is>
          <t>VÍTIMA CONSEGUIU ESCAPAR E CORREU NUA PARA A RUA, PEDINDO SOCORRO PARA MORADORES. ALGUMAS PESSOAS QUE ESTAVAM PERTO SOCORRERAM E A VÍTIMA, AGREDIRAM O SUSPEITO E CHAMARAM A POLÍCIA.</t>
        </is>
      </c>
      <c r="J1265" t="inlineStr"/>
      <c r="K1265" t="n">
        <v>0</v>
      </c>
      <c r="L1265" t="n">
        <v>1</v>
      </c>
      <c r="M1265" t="n">
        <v>0</v>
      </c>
      <c r="N1265" t="n">
        <v>0</v>
      </c>
      <c r="O1265" t="n">
        <v>0</v>
      </c>
      <c r="P1265">
        <f>HYPERLINK("https://g1.globo.com/mt/mato-grosso/noticia/2019/11/04/garota-de-programa-venezuelana-e-agredida-e-estuprada-por-cliente-em-motel-em-mt.ghtml", "URL")</f>
        <v/>
      </c>
      <c r="Q1265">
        <f>HYPERLINK("https://raw.githubusercontent.com/marcosmapl/dataset_imigrantes/main/materias_filtered/g1/venezuelanos/2019/10_nov/html/g1_93333a04-231b-11ed-b24f-6dbe51e79fca_3393.html", "HTML")</f>
        <v/>
      </c>
      <c r="R1265">
        <f>HYPERLINK("https://raw.githubusercontent.com/marcosmapl/dataset_imigrantes/main/materias_filtered/g1/venezuelanos/2019/10_nov/txt/g1_93333a04-231b-11ed-b24f-6dbe51e79fca_3393.txt", "TXT")</f>
        <v/>
      </c>
    </row>
    <row r="1266">
      <c r="A1266" s="1" t="n">
        <v>1264</v>
      </c>
      <c r="B1266" t="n">
        <v>2019</v>
      </c>
      <c r="C1266" s="2" t="n">
        <v>43771.86806353009</v>
      </c>
      <c r="D1266" t="inlineStr">
        <is>
          <t>G1</t>
        </is>
      </c>
      <c r="E1266" t="inlineStr">
        <is>
          <t>AMBOS</t>
        </is>
      </c>
      <c r="F1266" t="inlineStr">
        <is>
          <t>MATO GROSSO</t>
        </is>
      </c>
      <c r="G1266" t="inlineStr">
        <is>
          <t>G1 MT</t>
        </is>
      </c>
      <c r="H1266" t="inlineStr">
        <is>
          <t>CRIANÇAS HAITIANAS E VENEZUELANAS ASSISTEM ESPETÁCULO DE BALÉ PELA 1ª VEZ EM CUIABÁ</t>
        </is>
      </c>
      <c r="I1266" t="inlineStr">
        <is>
          <t>VISITANTES TIVERAM INGRESSOS E TRANSPORTE GRATUITOS.</t>
        </is>
      </c>
      <c r="J1266" t="inlineStr"/>
      <c r="K1266" t="n">
        <v>0</v>
      </c>
      <c r="L1266" t="n">
        <v>3</v>
      </c>
      <c r="M1266" t="n">
        <v>0</v>
      </c>
      <c r="N1266" t="n">
        <v>0</v>
      </c>
      <c r="O1266" t="n">
        <v>0</v>
      </c>
      <c r="P1266">
        <f>HYPERLINK("https://g1.globo.com/mt/mato-grosso/noticia/2019/11/02/criancas-haitianas-e-venezuelanas-assistem-espetaculo-de-bale-pela-1a-vez-em-cuiaba.ghtml", "URL")</f>
        <v/>
      </c>
      <c r="Q1266">
        <f>HYPERLINK("https://raw.githubusercontent.com/marcosmapl/dataset_imigrantes/main/materias_filtered/g1/ambos/2019/10_nov/html/g1_a5f801bc-2323-11ed-b24f-6dbe51e79fca_3819.html", "HTML")</f>
        <v/>
      </c>
      <c r="R1266">
        <f>HYPERLINK("https://raw.githubusercontent.com/marcosmapl/dataset_imigrantes/main/materias_filtered/g1/ambos/2019/10_nov/txt/g1_a5f801bc-2323-11ed-b24f-6dbe51e79fca_3819.txt", "TXT")</f>
        <v/>
      </c>
    </row>
    <row r="1267">
      <c r="A1267" s="1" t="n">
        <v>1265</v>
      </c>
      <c r="B1267" t="n">
        <v>2019</v>
      </c>
      <c r="C1267" s="2" t="n">
        <v>43771.70555555556</v>
      </c>
      <c r="D1267" t="inlineStr">
        <is>
          <t>A CRITICA</t>
        </is>
      </c>
      <c r="E1267" t="inlineStr">
        <is>
          <t>VENEZUELANOS</t>
        </is>
      </c>
      <c r="F1267" t="inlineStr"/>
      <c r="G1267" t="inlineStr">
        <is>
          <t>REUTERS</t>
        </is>
      </c>
      <c r="H1267" t="inlineStr">
        <is>
          <t>EMPRESA GREGA DIZ NÃO EXISTIREM PROVAS DE QUE É RESPONSÁVEL POR ÓLEO NO BRASIL</t>
        </is>
      </c>
      <c r="I1267" t="inlineStr">
        <is>
          <t>GERENTE DA DELTA TANKERS AFIRMA QUE NÃO HÁ EVIDÊNCIAS DE QUE NAVIO PETROLEIRO DA COMPANHIA CAUSOU O VAZAMENTO NO PAÍS DURANTE VIAGEM ENTRE A VENEZUELA E A MALÁSIA, CONFORME APONTADO PELA POLÍCIA FEDERAL</t>
        </is>
      </c>
      <c r="J1267" t="inlineStr"/>
      <c r="K1267" t="n">
        <v>0</v>
      </c>
      <c r="L1267" t="n">
        <v>1</v>
      </c>
      <c r="M1267" t="n">
        <v>0</v>
      </c>
      <c r="N1267" t="n">
        <v>0</v>
      </c>
      <c r="O1267" t="n">
        <v>0</v>
      </c>
      <c r="P1267">
        <f>HYPERLINK("https://www.acritica.com/empresa-grega-diz-n-o-existirem-provas-de-que-e-responsavel-por-oleo-no-brasil-1.56207", "URL")</f>
        <v/>
      </c>
      <c r="Q1267">
        <f>HYPERLINK("https://raw.githubusercontent.com/marcosmapl/dataset_imigrantes/main/materias_filtered/a_critica/venezuelanos/2019/10_nov/html/1.56207_1006.html", "HTML")</f>
        <v/>
      </c>
      <c r="R1267">
        <f>HYPERLINK("https://raw.githubusercontent.com/marcosmapl/dataset_imigrantes/main/materias_filtered/a_critica/venezuelanos/2019/10_nov/txt/1.56207_1006.txt", "TXT")</f>
        <v/>
      </c>
    </row>
    <row r="1268">
      <c r="A1268" s="1" t="n">
        <v>1266</v>
      </c>
      <c r="B1268" t="n">
        <v>2019</v>
      </c>
      <c r="C1268" s="2" t="n">
        <v>43771.48534722222</v>
      </c>
      <c r="D1268" t="inlineStr">
        <is>
          <t>A CRITICA</t>
        </is>
      </c>
      <c r="E1268" t="inlineStr">
        <is>
          <t>VENEZUELANOS</t>
        </is>
      </c>
      <c r="F1268" t="inlineStr"/>
      <c r="G1268" t="inlineStr"/>
      <c r="H1268" t="inlineStr">
        <is>
          <t>JOSUÉ NETO DESCARTA CANDIDATURA</t>
        </is>
      </c>
      <c r="I1268" t="inlineStr"/>
      <c r="J1268" t="inlineStr"/>
      <c r="K1268" t="n">
        <v>0</v>
      </c>
      <c r="L1268" t="n">
        <v>1</v>
      </c>
      <c r="M1268" t="n">
        <v>0</v>
      </c>
      <c r="N1268" t="n">
        <v>0</v>
      </c>
      <c r="O1268" t="n">
        <v>0</v>
      </c>
      <c r="P1268">
        <f>HYPERLINK("https://www.acritica.com/josue-neto-descarta-candidatura-1.227854", "URL")</f>
        <v/>
      </c>
      <c r="Q1268">
        <f>HYPERLINK("https://raw.githubusercontent.com/marcosmapl/dataset_imigrantes/main/materias_filtered/a_critica/venezuelanos/2019/10_nov/html/1.227854_1110.html", "HTML")</f>
        <v/>
      </c>
      <c r="R1268">
        <f>HYPERLINK("https://raw.githubusercontent.com/marcosmapl/dataset_imigrantes/main/materias_filtered/a_critica/venezuelanos/2019/10_nov/txt/1.227854_1110.txt", "TXT")</f>
        <v/>
      </c>
    </row>
    <row r="1269">
      <c r="A1269" s="1" t="n">
        <v>1267</v>
      </c>
      <c r="B1269" t="n">
        <v>2019</v>
      </c>
      <c r="C1269" s="2" t="n">
        <v>43770.58358917824</v>
      </c>
      <c r="D1269" t="inlineStr">
        <is>
          <t>G1</t>
        </is>
      </c>
      <c r="E1269" t="inlineStr">
        <is>
          <t>VENEZUELANOS</t>
        </is>
      </c>
      <c r="F1269" t="inlineStr">
        <is>
          <t>ZONA DA MATA</t>
        </is>
      </c>
      <c r="G1269" t="inlineStr">
        <is>
          <t>G1 ZONA DA MATA</t>
        </is>
      </c>
      <c r="H1269" t="inlineStr">
        <is>
          <t>VENEZUELANO MORRE EM ACIDENTE NA BR-267 EM BOM JARDIM DE MINAS</t>
        </is>
      </c>
      <c r="I1269" t="inlineStr">
        <is>
          <t>SEGUNDO  POLÍCIA RODOVIÁRIA FEDERAL (PRF), VÍTIMA FATAL ESTAVA EM CAMINHÃO QUE COLIDIU COM CARRETA, QUE PAROU NO ACOSTAMENTO DEPOIS DE FICAR SEM COMBUSTÍVEL.</t>
        </is>
      </c>
      <c r="J1269" t="inlineStr"/>
      <c r="K1269" t="n">
        <v>0</v>
      </c>
      <c r="L1269" t="n">
        <v>1</v>
      </c>
      <c r="M1269" t="n">
        <v>0</v>
      </c>
      <c r="N1269" t="n">
        <v>0</v>
      </c>
      <c r="O1269" t="n">
        <v>0</v>
      </c>
      <c r="P1269">
        <f>HYPERLINK("https://g1.globo.com/mg/zona-da-mata/noticia/2019/11/01/venezuelano-morre-em-acidente-entre-carreta-e-caminhao-na-br-267-em-bom-jardim-de-minas.ghtml", "URL")</f>
        <v/>
      </c>
      <c r="Q1269">
        <f>HYPERLINK("https://raw.githubusercontent.com/marcosmapl/dataset_imigrantes/main/materias_filtered/g1/venezuelanos/2019/10_nov/html/g1_f9820dda-2307-11ed-b24f-6dbe51e79fca_2356.html", "HTML")</f>
        <v/>
      </c>
      <c r="R1269">
        <f>HYPERLINK("https://raw.githubusercontent.com/marcosmapl/dataset_imigrantes/main/materias_filtered/g1/venezuelanos/2019/10_nov/txt/g1_f9820dda-2307-11ed-b24f-6dbe51e79fca_2356.txt", "TXT")</f>
        <v/>
      </c>
    </row>
    <row r="1270">
      <c r="A1270" s="1" t="n">
        <v>1268</v>
      </c>
      <c r="B1270" t="n">
        <v>2019</v>
      </c>
      <c r="C1270" s="2" t="n">
        <v>43768.58709164352</v>
      </c>
      <c r="D1270" t="inlineStr">
        <is>
          <t>G1</t>
        </is>
      </c>
      <c r="E1270" t="inlineStr">
        <is>
          <t>VENEZUELANOS</t>
        </is>
      </c>
      <c r="F1270" t="inlineStr">
        <is>
          <t>RORAIMA</t>
        </is>
      </c>
      <c r="G1270" t="inlineStr">
        <is>
          <t>G1 RR — BOA VISTA</t>
        </is>
      </c>
      <c r="H1270" t="inlineStr">
        <is>
          <t>EVENTO EM RR DISCUTE ÁGUA, SANEAMENTO E HIGIENE NO CONTEXTO DA CRISE MIGRATÓRIA VENEZUELANA</t>
        </is>
      </c>
      <c r="I1270" t="inlineStr">
        <is>
          <t>WORKSHOP INTERNACIONAL COMEÇOU NESSA TERÇA (29) E SEGUE ATÉ A QUINTA (30).</t>
        </is>
      </c>
      <c r="J1270" t="inlineStr"/>
      <c r="K1270" t="n">
        <v>0</v>
      </c>
      <c r="L1270" t="n">
        <v>1</v>
      </c>
      <c r="M1270" t="n">
        <v>0</v>
      </c>
      <c r="N1270" t="n">
        <v>0</v>
      </c>
      <c r="O1270" t="n">
        <v>0</v>
      </c>
      <c r="P1270">
        <f>HYPERLINK("https://g1.globo.com/rr/roraima/noticia/2019/10/30/evento-em-rr-discute-agua-saneamento-e-higiene-no-contexto-da-crise-migratoria-venezuelana.ghtml", "URL")</f>
        <v/>
      </c>
      <c r="Q1270">
        <f>HYPERLINK("https://raw.githubusercontent.com/marcosmapl/dataset_imigrantes/main/materias_filtered/g1/venezuelanos/2019/09_out/html/g1_ed519a46-230f-11ed-b24f-6dbe51e79fca_2828.html", "HTML")</f>
        <v/>
      </c>
      <c r="R1270">
        <f>HYPERLINK("https://raw.githubusercontent.com/marcosmapl/dataset_imigrantes/main/materias_filtered/g1/venezuelanos/2019/09_out/txt/g1_ed519a46-230f-11ed-b24f-6dbe51e79fca_2828.txt", "TXT")</f>
        <v/>
      </c>
    </row>
    <row r="1271">
      <c r="A1271" s="1" t="n">
        <v>1269</v>
      </c>
      <c r="B1271" t="n">
        <v>2019</v>
      </c>
      <c r="C1271" s="2" t="n">
        <v>43768.44791666666</v>
      </c>
      <c r="D1271" t="inlineStr">
        <is>
          <t>A CRITICA</t>
        </is>
      </c>
      <c r="E1271" t="inlineStr">
        <is>
          <t>VENEZUELANOS</t>
        </is>
      </c>
      <c r="F1271" t="inlineStr">
        <is>
          <t>MANAUS</t>
        </is>
      </c>
      <c r="G1271" t="inlineStr">
        <is>
          <t>REBECA BEATRIZ</t>
        </is>
      </c>
      <c r="H1271" t="inlineStr">
        <is>
          <t>VAZAMENTO DE ÓLEO EM PRAIAS DO NORDESTE AFETA COMPRAS DE PASSAGENS EM MANAUS</t>
        </is>
      </c>
      <c r="I1271" t="inlineStr">
        <is>
          <t>AGÊNCIAS DE VIAGENS E ESPECIALISTAS EM TURISMO TEMEM QUE ÓLEO QUE ATINGIU PRAIAS DO NORDESTE AFUGENTE OS TURISTAS ORIUNDOS DE MANAUS</t>
        </is>
      </c>
      <c r="J1271" t="inlineStr"/>
      <c r="K1271" t="n">
        <v>0</v>
      </c>
      <c r="L1271" t="n">
        <v>1</v>
      </c>
      <c r="M1271" t="n">
        <v>0</v>
      </c>
      <c r="N1271" t="n">
        <v>0</v>
      </c>
      <c r="O1271" t="n">
        <v>0</v>
      </c>
      <c r="P1271">
        <f>HYPERLINK("https://www.acritica.com/manaus/vazamento-de-oleo-em-praias-do-nordeste-afeta-compras-de-passagens-em-manaus-1.56096", "URL")</f>
        <v/>
      </c>
      <c r="Q1271">
        <f>HYPERLINK("https://raw.githubusercontent.com/marcosmapl/dataset_imigrantes/main/materias_filtered/a_critica/venezuelanos/2019/09_out/html/1.56096_80.html", "HTML")</f>
        <v/>
      </c>
      <c r="R1271">
        <f>HYPERLINK("https://raw.githubusercontent.com/marcosmapl/dataset_imigrantes/main/materias_filtered/a_critica/venezuelanos/2019/09_out/txt/1.56096_80.txt", "TXT")</f>
        <v/>
      </c>
    </row>
    <row r="1272">
      <c r="A1272" s="1" t="n">
        <v>1270</v>
      </c>
      <c r="B1272" t="n">
        <v>2019</v>
      </c>
      <c r="C1272" s="2" t="n">
        <v>43767.81345362269</v>
      </c>
      <c r="D1272" t="inlineStr">
        <is>
          <t>G1</t>
        </is>
      </c>
      <c r="E1272" t="inlineStr">
        <is>
          <t>VENEZUELANOS</t>
        </is>
      </c>
      <c r="F1272" t="inlineStr">
        <is>
          <t>MUNDO</t>
        </is>
      </c>
      <c r="G1272" t="inlineStr">
        <is>
          <t>RFI</t>
        </is>
      </c>
      <c r="H1272" t="inlineStr">
        <is>
          <t>NÚMERO DE REFUGIADOS E MIGRANTES VENEZUELANOS NO MUNDO VAI SUPERAR EM BREVE O DE SÍRIOS</t>
        </is>
      </c>
      <c r="I1272" t="inlineStr">
        <is>
          <t>ATÉ O FINAL DO ANO, O NÚMERO DE VENEZUELANOS QUE DEIXARAM SEU PAÍS DEVE CHEGAR A CINCO MILHÕES DE PESSOAS E, EM BREVE, SERÁ MAIOR QUE O DE REFUGIADOS SÍRIOS NO MUNDO.</t>
        </is>
      </c>
      <c r="J1272" t="inlineStr"/>
      <c r="K1272" t="n">
        <v>0</v>
      </c>
      <c r="L1272" t="n">
        <v>1</v>
      </c>
      <c r="M1272" t="n">
        <v>0</v>
      </c>
      <c r="N1272" t="n">
        <v>0</v>
      </c>
      <c r="O1272" t="n">
        <v>3</v>
      </c>
      <c r="P1272">
        <f>HYPERLINK("https://g1.globo.com/mundo/noticia/2019/10/29/numero-de-refugiados-e-migrantes-venezuelanos-no-mundo-vai-superar-em-breve-o-de-sirios.ghtml", "URL")</f>
        <v/>
      </c>
      <c r="Q1272">
        <f>HYPERLINK("https://raw.githubusercontent.com/marcosmapl/dataset_imigrantes/main/materias_filtered/g1/venezuelanos/2019/09_out/html/g1_5149ab18-2312-11ed-b24f-6dbe51e79fca_2961.html", "HTML")</f>
        <v/>
      </c>
      <c r="R1272">
        <f>HYPERLINK("https://raw.githubusercontent.com/marcosmapl/dataset_imigrantes/main/materias_filtered/g1/venezuelanos/2019/09_out/txt/g1_5149ab18-2312-11ed-b24f-6dbe51e79fca_2961.txt", "TXT")</f>
        <v/>
      </c>
    </row>
    <row r="1273">
      <c r="A1273" s="1" t="n">
        <v>1271</v>
      </c>
      <c r="B1273" t="n">
        <v>2019</v>
      </c>
      <c r="C1273" s="2" t="n">
        <v>43767.42791755787</v>
      </c>
      <c r="D1273" t="inlineStr">
        <is>
          <t>G1</t>
        </is>
      </c>
      <c r="E1273" t="inlineStr">
        <is>
          <t>VENEZUELANOS</t>
        </is>
      </c>
      <c r="F1273" t="inlineStr">
        <is>
          <t>PERNAMBUCO</t>
        </is>
      </c>
      <c r="G1273" t="inlineStr">
        <is>
          <t>G1 PE</t>
        </is>
      </c>
      <c r="H1273" t="inlineStr">
        <is>
          <t>VENEZUELANO É PRESO COM 69 CÁPSULAS DE COCAÍNA NO ESTÔMAGO, NO AEROPORTO DO RECIFE</t>
        </is>
      </c>
      <c r="I1273" t="inlineStr">
        <is>
          <t>HOMEM, DE 34 ANOS, PASSOU MAL DURANTE ABORDAGEM DE ROTINA. ELE RELATOU À POLÍCIA FEDERAL QUE DROGA SERIA LEVADA PARA PARIS, NA FRANÇA.</t>
        </is>
      </c>
      <c r="J1273" t="inlineStr"/>
      <c r="K1273" t="n">
        <v>0</v>
      </c>
      <c r="L1273" t="n">
        <v>2</v>
      </c>
      <c r="M1273" t="n">
        <v>0</v>
      </c>
      <c r="N1273" t="n">
        <v>0</v>
      </c>
      <c r="O1273" t="n">
        <v>6</v>
      </c>
      <c r="P1273">
        <f>HYPERLINK("https://g1.globo.com/pe/pernambuco/noticia/2019/10/29/venezuelano-e-preso-com-capsulas-de-cocaina-no-estomago-no-aeroporto-do-recife.ghtml", "URL")</f>
        <v/>
      </c>
      <c r="Q1273">
        <f>HYPERLINK("https://raw.githubusercontent.com/marcosmapl/dataset_imigrantes/main/materias_filtered/g1/venezuelanos/2019/09_out/html/g1_4a6adb9c-2316-11ed-b24f-6dbe51e79fca_3139.html", "HTML")</f>
        <v/>
      </c>
      <c r="R1273">
        <f>HYPERLINK("https://raw.githubusercontent.com/marcosmapl/dataset_imigrantes/main/materias_filtered/g1/venezuelanos/2019/09_out/txt/g1_4a6adb9c-2316-11ed-b24f-6dbe51e79fca_3139.txt", "TXT")</f>
        <v/>
      </c>
    </row>
    <row r="1274">
      <c r="A1274" s="1" t="n">
        <v>1272</v>
      </c>
      <c r="B1274" t="n">
        <v>2019</v>
      </c>
      <c r="C1274" s="2" t="n">
        <v>43766.03806712963</v>
      </c>
      <c r="D1274" t="inlineStr">
        <is>
          <t>A CRITICA</t>
        </is>
      </c>
      <c r="E1274" t="inlineStr">
        <is>
          <t>VENEZUELANOS</t>
        </is>
      </c>
      <c r="F1274" t="inlineStr"/>
      <c r="G1274" t="inlineStr">
        <is>
          <t>REUTERS</t>
        </is>
      </c>
      <c r="H1274" t="inlineStr">
        <is>
          <t>LIMPEZA DE ÓLEO EM PRAIAS DO NORDESTE DEIXA VOLUNTÁRIOS DOENTES</t>
        </is>
      </c>
      <c r="I1274" t="inlineStr">
        <is>
          <t>UMA COALIZÃO DE VOLUNTÁRIOS, FUNCIONÁRIOS PÚBLICOS E MILITARES FOI ÀS PRAIAS PARA SALVAR TARTARUGAS E OUTROS ANIMAIS, COLETANDO O ÓLEO EM SACOS, COM NÍVEIS VARIADOS DE TREINAMENTO E APOIO.</t>
        </is>
      </c>
      <c r="J1274" t="inlineStr"/>
      <c r="K1274" t="n">
        <v>0</v>
      </c>
      <c r="L1274" t="n">
        <v>1</v>
      </c>
      <c r="M1274" t="n">
        <v>0</v>
      </c>
      <c r="N1274" t="n">
        <v>0</v>
      </c>
      <c r="O1274" t="n">
        <v>0</v>
      </c>
      <c r="P1274">
        <f>HYPERLINK("https://www.acritica.com/limpeza-de-oleo-em-praias-do-nordeste-deixa-voluntarios-doentes-1.56419", "URL")</f>
        <v/>
      </c>
      <c r="Q1274">
        <f>HYPERLINK("https://raw.githubusercontent.com/marcosmapl/dataset_imigrantes/main/materias_filtered/a_critica/venezuelanos/2019/09_out/html/1.56419_463.html", "HTML")</f>
        <v/>
      </c>
      <c r="R1274">
        <f>HYPERLINK("https://raw.githubusercontent.com/marcosmapl/dataset_imigrantes/main/materias_filtered/a_critica/venezuelanos/2019/09_out/txt/1.56419_463.txt", "TXT")</f>
        <v/>
      </c>
    </row>
    <row r="1275">
      <c r="A1275" s="1" t="n">
        <v>1273</v>
      </c>
      <c r="B1275" t="n">
        <v>2019</v>
      </c>
      <c r="C1275" s="2" t="n">
        <v>43765.79302083333</v>
      </c>
      <c r="D1275" t="inlineStr">
        <is>
          <t>A CRITICA</t>
        </is>
      </c>
      <c r="E1275" t="inlineStr">
        <is>
          <t>VENEZUELANOS</t>
        </is>
      </c>
      <c r="F1275" t="inlineStr"/>
      <c r="G1275" t="inlineStr">
        <is>
          <t>AGÊNCIA BRASIL</t>
        </is>
      </c>
      <c r="H1275" t="inlineStr">
        <is>
          <t>GOVERNO PEDE ESCLARECIMENTOS A 11 PAÍSES SOBRE ORIGEM DO ÓLEO</t>
        </is>
      </c>
      <c r="I1275" t="inlineStr">
        <is>
          <t>A INVESTIGAÇÃO CONDUZIDA PELA MARINHA TRABALHA COM A TESE DE QUE O RESPONSÁVEL TERIA SIDO UM NAVIO-TANQUE. A APURAÇÃO INICIAL AVALIOU 1.500 EMBARCAÇÕES E AFUNILOU A ANÁLISE PARA 30 VEÍCULOS MARINHOS DE 11 PAÍSES.</t>
        </is>
      </c>
      <c r="J1275" t="inlineStr"/>
      <c r="K1275" t="n">
        <v>0</v>
      </c>
      <c r="L1275" t="n">
        <v>1</v>
      </c>
      <c r="M1275" t="n">
        <v>0</v>
      </c>
      <c r="N1275" t="n">
        <v>0</v>
      </c>
      <c r="O1275" t="n">
        <v>0</v>
      </c>
      <c r="P1275">
        <f>HYPERLINK("https://www.acritica.com/governo-pede-esclarecimentos-a-11-paises-sobre-origem-do-oleo-1.56430", "URL")</f>
        <v/>
      </c>
      <c r="Q1275">
        <f>HYPERLINK("https://raw.githubusercontent.com/marcosmapl/dataset_imigrantes/main/materias_filtered/a_critica/venezuelanos/2019/09_out/html/1.56430_18.html", "HTML")</f>
        <v/>
      </c>
      <c r="R1275">
        <f>HYPERLINK("https://raw.githubusercontent.com/marcosmapl/dataset_imigrantes/main/materias_filtered/a_critica/venezuelanos/2019/09_out/txt/1.56430_18.txt", "TXT")</f>
        <v/>
      </c>
    </row>
    <row r="1276">
      <c r="A1276" s="1" t="n">
        <v>1274</v>
      </c>
      <c r="B1276" t="n">
        <v>2019</v>
      </c>
      <c r="C1276" s="2" t="n">
        <v>43765.02569444444</v>
      </c>
      <c r="D1276" t="inlineStr">
        <is>
          <t>A CRITICA</t>
        </is>
      </c>
      <c r="E1276" t="inlineStr">
        <is>
          <t>VENEZUELANOS</t>
        </is>
      </c>
      <c r="F1276" t="inlineStr">
        <is>
          <t>ESPORTES</t>
        </is>
      </c>
      <c r="G1276" t="inlineStr">
        <is>
          <t>DENIR SIMPLÍCIO</t>
        </is>
      </c>
      <c r="H1276" t="inlineStr">
        <is>
          <t>AMAZONAS FC BATE O SÃO RAIMUNDO E FICA PRÓXIMO DO ACESSO NO AMAZONENSE</t>
        </is>
      </c>
      <c r="I1276" t="inlineStr">
        <is>
          <t>O CAÇULA DO FUTEBOL BARÉ VENCEU POR 3 A 0 E ESTÁ PRÓXIMO DE CONSEGUIR O ACESSO À ELITE DO FUTEBOL AMAZONENSE</t>
        </is>
      </c>
      <c r="J1276" t="inlineStr"/>
      <c r="K1276" t="n">
        <v>0</v>
      </c>
      <c r="L1276" t="n">
        <v>1</v>
      </c>
      <c r="M1276" t="n">
        <v>0</v>
      </c>
      <c r="N1276" t="n">
        <v>0</v>
      </c>
      <c r="O1276" t="n">
        <v>0</v>
      </c>
      <c r="P1276">
        <f>HYPERLINK("https://www.acritica.com/esportes/amazonas-fc-bate-o-s-o-raimundo-e-fica-proximo-do-acesso-no-amazonense-1.56443", "URL")</f>
        <v/>
      </c>
      <c r="Q1276">
        <f>HYPERLINK("https://raw.githubusercontent.com/marcosmapl/dataset_imigrantes/main/materias_filtered/a_critica/venezuelanos/2019/09_out/html/1.56443_307.html", "HTML")</f>
        <v/>
      </c>
      <c r="R1276">
        <f>HYPERLINK("https://raw.githubusercontent.com/marcosmapl/dataset_imigrantes/main/materias_filtered/a_critica/venezuelanos/2019/09_out/txt/1.56443_307.txt", "TXT")</f>
        <v/>
      </c>
    </row>
    <row r="1277">
      <c r="A1277" s="1" t="n">
        <v>1275</v>
      </c>
      <c r="B1277" t="n">
        <v>2019</v>
      </c>
      <c r="C1277" s="2" t="n">
        <v>43764.88913752315</v>
      </c>
      <c r="D1277" t="inlineStr">
        <is>
          <t>G1</t>
        </is>
      </c>
      <c r="E1277" t="inlineStr">
        <is>
          <t>HAITIANOS</t>
        </is>
      </c>
      <c r="F1277" t="inlineStr">
        <is>
          <t>SANTA CATARINA</t>
        </is>
      </c>
      <c r="G1277" t="inlineStr">
        <is>
          <t>G1 SC</t>
        </is>
      </c>
      <c r="H1277" t="inlineStr">
        <is>
          <t>CORPO DE HOMEM DESAPARECIDO EM MAR DE BALNEÁRIO BARRA DO SUL É ENCONTRADO</t>
        </is>
      </c>
      <c r="I1277" t="inlineStr">
        <is>
          <t>VÍTIMA SERIA UM HAITIANO DE 29 ANOS. ELE TERIA SE AFOGADO NA ÚLTIMA QUINTA-FEIRA (24), NA LOCALIDADE CHAMADA BOCA DA BARRA.</t>
        </is>
      </c>
      <c r="J1277" t="inlineStr"/>
      <c r="K1277" t="n">
        <v>0</v>
      </c>
      <c r="L1277" t="n">
        <v>1</v>
      </c>
      <c r="M1277" t="n">
        <v>0</v>
      </c>
      <c r="N1277" t="n">
        <v>0</v>
      </c>
      <c r="O1277" t="n">
        <v>3</v>
      </c>
      <c r="P1277">
        <f>HYPERLINK("https://g1.globo.com/sc/santa-catarina/noticia/2019/10/26/corpo-de-homem-desaparecido-em-mar-de-balneario-barra-do-sul-e-encontrado.ghtml", "URL")</f>
        <v/>
      </c>
      <c r="Q1277">
        <f>HYPERLINK("https://raw.githubusercontent.com/marcosmapl/dataset_imigrantes/main/materias_filtered/g1/haitianos/2019/09_out/html/g1_a004c4aa-232a-11ed-b24f-6dbe51e79fca_4191.html", "HTML")</f>
        <v/>
      </c>
      <c r="R1277">
        <f>HYPERLINK("https://raw.githubusercontent.com/marcosmapl/dataset_imigrantes/main/materias_filtered/g1/haitianos/2019/09_out/txt/g1_a004c4aa-232a-11ed-b24f-6dbe51e79fca_4191.txt", "TXT")</f>
        <v/>
      </c>
    </row>
    <row r="1278">
      <c r="A1278" s="1" t="n">
        <v>1276</v>
      </c>
      <c r="B1278" t="n">
        <v>2019</v>
      </c>
      <c r="C1278" s="2" t="n">
        <v>43763.8181712963</v>
      </c>
      <c r="D1278" t="inlineStr">
        <is>
          <t>A CRITICA</t>
        </is>
      </c>
      <c r="E1278" t="inlineStr">
        <is>
          <t>VENEZUELANOS</t>
        </is>
      </c>
      <c r="F1278" t="inlineStr"/>
      <c r="G1278" t="inlineStr">
        <is>
          <t>AGÊNCIA BRASIL</t>
        </is>
      </c>
      <c r="H1278" t="inlineStr">
        <is>
          <t>ÓLEO QUE VAZOU FOI EXTRAÍDO DE TRÊS CAMPOS NA VENEZUELA, DIZ PETROBRAS</t>
        </is>
      </c>
      <c r="I1278" t="inlineStr">
        <is>
          <t>APESAR DISSO, A ORIGEM DO VAZAMENTO AINDA É INCERTA, COM MAIOR PROBABILIDADE DE TER OCORRIDO NA COSTA BRASILEIRA, SEGUNDO O DIRETOR DE ASSUNTOS CORPORATIVOS DA PETROBRAS, EBERALDO NETO</t>
        </is>
      </c>
      <c r="J1278" t="inlineStr"/>
      <c r="K1278" t="n">
        <v>0</v>
      </c>
      <c r="L1278" t="n">
        <v>1</v>
      </c>
      <c r="M1278" t="n">
        <v>0</v>
      </c>
      <c r="N1278" t="n">
        <v>0</v>
      </c>
      <c r="O1278" t="n">
        <v>0</v>
      </c>
      <c r="P1278">
        <f>HYPERLINK("https://www.acritica.com/oleo-que-vazou-foi-extraido-de-tres-campos-na-venezuela-diz-petrobras-1.57018", "URL")</f>
        <v/>
      </c>
      <c r="Q1278">
        <f>HYPERLINK("https://raw.githubusercontent.com/marcosmapl/dataset_imigrantes/main/materias_filtered/a_critica/venezuelanos/2019/09_out/html/1.57018_826.html", "HTML")</f>
        <v/>
      </c>
      <c r="R1278">
        <f>HYPERLINK("https://raw.githubusercontent.com/marcosmapl/dataset_imigrantes/main/materias_filtered/a_critica/venezuelanos/2019/09_out/txt/1.57018_826.txt", "TXT")</f>
        <v/>
      </c>
    </row>
    <row r="1279">
      <c r="A1279" s="1" t="n">
        <v>1277</v>
      </c>
      <c r="B1279" t="n">
        <v>2019</v>
      </c>
      <c r="C1279" s="2" t="n">
        <v>43763.11666666667</v>
      </c>
      <c r="D1279" t="inlineStr">
        <is>
          <t>PORTAL AMAZONIA</t>
        </is>
      </c>
      <c r="E1279" t="inlineStr">
        <is>
          <t>VENEZUELANOS</t>
        </is>
      </c>
      <c r="F1279" t="inlineStr">
        <is>
          <t>CIDADES</t>
        </is>
      </c>
      <c r="G1279" t="inlineStr">
        <is>
          <t>REDAÇÃO</t>
        </is>
      </c>
      <c r="H1279" t="inlineStr">
        <is>
          <t>GARANTIDO E CAPRICHOSO: NA SEGUNDA NOITE DO BOI MANAUS, ARTISTAS LOCAIS EXALTAM CULTURA DOS BUMBÁS DE PARINTINS</t>
        </is>
      </c>
      <c r="I1279" t="inlineStr">
        <is>
          <t>NESTA QUINTA-FEIRA (24) A CIDADE DE MANAUS FEZ 350 ANOS DE FUNDAÇÃO. E NADA MELHOR PARA CELEBRAR ESTE MARCO DO QUE MUITA TOADA E DIVERSÃO. O COMPLEXO TURÍSTICO DA PONTA NEGRA SEDIOU A SEGUNDA NOITE DE PROGRAMAÇÃO DO BOI MANAUS 2019, EVENTO QUE REÚNE</t>
        </is>
      </c>
      <c r="J1279" t="inlineStr">
        <is>
          <t>AMAZONAS, ANIVERSÁRIO DE MANAUS, BOI MANAUS, MANAUS</t>
        </is>
      </c>
      <c r="K1279" t="n">
        <v>4</v>
      </c>
      <c r="L1279" t="n">
        <v>6</v>
      </c>
      <c r="M1279" t="n">
        <v>0</v>
      </c>
      <c r="N1279" t="n">
        <v>0</v>
      </c>
      <c r="O1279" t="n">
        <v>9</v>
      </c>
      <c r="P1279">
        <f>HYPERLINK("https://portalamazonia.com/noticias/cidades/garantido-e-caprichoso-na-segunda-noite-do-boi-manaus-artistas-locais-exaltam-cultura-dos-bumbas-de-parintins", "URL")</f>
        <v/>
      </c>
      <c r="Q1279">
        <f>HYPERLINK("https://raw.githubusercontent.com/marcosmapl/dataset_imigrantes/main/materias_filtered/portal_amazonia/venezuelanos/2019/09_out/html/22006.22006_1584.html", "HTML")</f>
        <v/>
      </c>
      <c r="R1279">
        <f>HYPERLINK("https://raw.githubusercontent.com/marcosmapl/dataset_imigrantes/main/materias_filtered/portal_amazonia/venezuelanos/2019/09_out/txt/22006.22006_1584.txt", "TXT")</f>
        <v/>
      </c>
    </row>
    <row r="1280">
      <c r="A1280" s="1" t="n">
        <v>1278</v>
      </c>
      <c r="B1280" t="n">
        <v>2019</v>
      </c>
      <c r="C1280" s="2" t="n">
        <v>43762.84583333333</v>
      </c>
      <c r="D1280" t="inlineStr">
        <is>
          <t>A CRITICA</t>
        </is>
      </c>
      <c r="E1280" t="inlineStr">
        <is>
          <t>VENEZUELANOS</t>
        </is>
      </c>
      <c r="F1280" t="inlineStr"/>
      <c r="G1280" t="inlineStr">
        <is>
          <t>REUTERS</t>
        </is>
      </c>
      <c r="H1280" t="inlineStr">
        <is>
          <t>RICARDO SALLES INSINUA ENVOLVIMENTO DO GREENPEACE COM PETRÓLEO EM PRAIAS</t>
        </is>
      </c>
      <c r="I1280" t="inlineStr">
        <is>
          <t>O MINISTRO DO MEIO AMBIENTE, ENTRETANTO, NÃO APRESENTOU PROVAS. ONG REBATE E DIZ QUE FALA DE SALLES É TENTATIVA DE ESCONDER A INCAPACIDADE EM LIDAR COM A SITUAÇÃO</t>
        </is>
      </c>
      <c r="J1280" t="inlineStr"/>
      <c r="K1280" t="n">
        <v>0</v>
      </c>
      <c r="L1280" t="n">
        <v>1</v>
      </c>
      <c r="M1280" t="n">
        <v>0</v>
      </c>
      <c r="N1280" t="n">
        <v>0</v>
      </c>
      <c r="O1280" t="n">
        <v>0</v>
      </c>
      <c r="P1280">
        <f>HYPERLINK("https://www.acritica.com/ricardo-salles-insinua-envolvimento-do-greenpeace-com-petroleo-em-praias-1.56451", "URL")</f>
        <v/>
      </c>
      <c r="Q1280">
        <f>HYPERLINK("https://raw.githubusercontent.com/marcosmapl/dataset_imigrantes/main/materias_filtered/a_critica/venezuelanos/2019/09_out/html/1.56451_669.html", "HTML")</f>
        <v/>
      </c>
      <c r="R1280">
        <f>HYPERLINK("https://raw.githubusercontent.com/marcosmapl/dataset_imigrantes/main/materias_filtered/a_critica/venezuelanos/2019/09_out/txt/1.56451_669.txt", "TXT")</f>
        <v/>
      </c>
    </row>
    <row r="1281">
      <c r="A1281" s="1" t="n">
        <v>1279</v>
      </c>
      <c r="B1281" t="n">
        <v>2019</v>
      </c>
      <c r="C1281" s="2" t="n">
        <v>43762.80892361111</v>
      </c>
      <c r="D1281" t="inlineStr">
        <is>
          <t>A CRITICA</t>
        </is>
      </c>
      <c r="E1281" t="inlineStr">
        <is>
          <t>VENEZUELANOS</t>
        </is>
      </c>
      <c r="F1281" t="inlineStr"/>
      <c r="G1281" t="inlineStr">
        <is>
          <t>REUTERS</t>
        </is>
      </c>
      <c r="H1281" t="inlineStr">
        <is>
          <t>BOLSONARO ANUNCIA QUE ISENTARÁ CHINESES E INDIANOS DE VISTO</t>
        </is>
      </c>
      <c r="I1281" t="inlineStr">
        <is>
          <t>MINISTRO DAS RELAÇÕES EXTERIORES DISSE QUE OS PASSOS PARA A ISENÇÃO DO VISTO ESTÃO SENDO ANALISADOS E AFIRMOU QUE NÃO HÁ GARANTIA DE RECIPROCIDADE</t>
        </is>
      </c>
      <c r="J1281" t="inlineStr"/>
      <c r="K1281" t="n">
        <v>0</v>
      </c>
      <c r="L1281" t="n">
        <v>1</v>
      </c>
      <c r="M1281" t="n">
        <v>0</v>
      </c>
      <c r="N1281" t="n">
        <v>0</v>
      </c>
      <c r="O1281" t="n">
        <v>0</v>
      </c>
      <c r="P1281">
        <f>HYPERLINK("https://www.acritica.com/bolsonaro-anuncia-que-isentara-chineses-e-indianos-de-visto-1.56455", "URL")</f>
        <v/>
      </c>
      <c r="Q1281">
        <f>HYPERLINK("https://raw.githubusercontent.com/marcosmapl/dataset_imigrantes/main/materias_filtered/a_critica/venezuelanos/2019/09_out/html/1.56455_1088.html", "HTML")</f>
        <v/>
      </c>
      <c r="R1281">
        <f>HYPERLINK("https://raw.githubusercontent.com/marcosmapl/dataset_imigrantes/main/materias_filtered/a_critica/venezuelanos/2019/09_out/txt/1.56455_1088.txt", "TXT")</f>
        <v/>
      </c>
    </row>
    <row r="1282">
      <c r="A1282" s="1" t="n">
        <v>1280</v>
      </c>
      <c r="B1282" t="n">
        <v>2019</v>
      </c>
      <c r="C1282" s="2" t="n">
        <v>43761.98645271991</v>
      </c>
      <c r="D1282" t="inlineStr">
        <is>
          <t>G1</t>
        </is>
      </c>
      <c r="E1282" t="inlineStr">
        <is>
          <t>VENEZUELANOS</t>
        </is>
      </c>
      <c r="F1282" t="inlineStr">
        <is>
          <t>NATUREZA</t>
        </is>
      </c>
      <c r="G1282" t="inlineStr">
        <is>
          <t>G1</t>
        </is>
      </c>
      <c r="H1282" t="inlineStr">
        <is>
          <t>GOVERNO FEDERAL VAI SOLICITAR À OEA QUE VENEZUELA SE MANIFESTE SOBRE ÓLEO NO NORDESTE, DIZ MINISTRO</t>
        </is>
      </c>
      <c r="I1282" t="inlineStr">
        <is>
          <t>EM PRONUNCIAMENTO NA TELEVISÃO, O MINISTRO DO MEIO AMBIENTE, RICARDO SALLES, REAFIRMOU QUE AMOSTRAS ANALISADAS APONTAM QUE O ÓLEO TEM ORIGEM VENEZUELANA.</t>
        </is>
      </c>
      <c r="J1282" t="inlineStr"/>
      <c r="K1282" t="n">
        <v>0</v>
      </c>
      <c r="L1282" t="n">
        <v>3</v>
      </c>
      <c r="M1282" t="n">
        <v>2</v>
      </c>
      <c r="N1282" t="n">
        <v>0</v>
      </c>
      <c r="O1282" t="n">
        <v>18</v>
      </c>
      <c r="P1282">
        <f>HYPERLINK("https://g1.globo.com/natureza/desastre-ambiental-petroleo-praias/noticia/2019/10/23/governo-federal-solicitou-a-oea-que-venezuela-se-manifeste-sobre-o-vazamento-de-oleo-na-costa-brasileira-diz-ministro.ghtml", "URL")</f>
        <v/>
      </c>
      <c r="Q1282">
        <f>HYPERLINK("https://raw.githubusercontent.com/marcosmapl/dataset_imigrantes/main/materias_filtered/g1/venezuelanos/2019/09_out/html/g1_8fd66de8-2318-11ed-b24f-6dbe51e79fca_3266.html", "HTML")</f>
        <v/>
      </c>
      <c r="R1282">
        <f>HYPERLINK("https://raw.githubusercontent.com/marcosmapl/dataset_imigrantes/main/materias_filtered/g1/venezuelanos/2019/09_out/txt/g1_8fd66de8-2318-11ed-b24f-6dbe51e79fca_3266.txt", "TXT")</f>
        <v/>
      </c>
    </row>
    <row r="1283">
      <c r="A1283" s="1" t="n">
        <v>1281</v>
      </c>
      <c r="B1283" t="n">
        <v>2019</v>
      </c>
      <c r="C1283" s="2" t="n">
        <v>43759.79441922453</v>
      </c>
      <c r="D1283" t="inlineStr">
        <is>
          <t>G1</t>
        </is>
      </c>
      <c r="E1283" t="inlineStr">
        <is>
          <t>VENEZUELANOS</t>
        </is>
      </c>
      <c r="F1283" t="inlineStr">
        <is>
          <t>MATO GROSSO</t>
        </is>
      </c>
      <c r="G1283" t="inlineStr">
        <is>
          <t>G1 MT</t>
        </is>
      </c>
      <c r="H1283" t="inlineStr">
        <is>
          <t>IMIGRANTE DE 77 ANOS ESFAQUEIA VENEZUELANA E É AGREDIDO POR VIZINHOS EM MT</t>
        </is>
      </c>
      <c r="I1283" t="inlineStr">
        <is>
          <t>SUSPEITO TEVE DOIS DENTES QUEBRADOS, UM CORTE NA CABEÇA E VÁRIAS ESCORIAÇÕES PELO CORPO. JÁ A VÍTIMA FOI ENCONTRADA ESFAQUEADA SENTADA EM UMA CADEIRA NA CASA ONDE MORA.</t>
        </is>
      </c>
      <c r="J1283" t="inlineStr"/>
      <c r="K1283" t="n">
        <v>0</v>
      </c>
      <c r="L1283" t="n">
        <v>0</v>
      </c>
      <c r="M1283" t="n">
        <v>0</v>
      </c>
      <c r="N1283" t="n">
        <v>0</v>
      </c>
      <c r="O1283" t="n">
        <v>0</v>
      </c>
      <c r="P1283">
        <f>HYPERLINK("https://g1.globo.com/mt/mato-grosso/noticia/2019/10/21/imigrante-de-77-anos-esfaqueia-venezuelana-e-e-agredido-por-vizinhos-em-mt.ghtml", "URL")</f>
        <v/>
      </c>
      <c r="Q1283">
        <f>HYPERLINK("https://raw.githubusercontent.com/marcosmapl/dataset_imigrantes/main/materias_filtered/g1/venezuelanos/2019/09_out/html/g1_85d0d65e-2308-11ed-b24f-6dbe51e79fca_2389.html", "HTML")</f>
        <v/>
      </c>
      <c r="R1283">
        <f>HYPERLINK("https://raw.githubusercontent.com/marcosmapl/dataset_imigrantes/main/materias_filtered/g1/venezuelanos/2019/09_out/txt/g1_85d0d65e-2308-11ed-b24f-6dbe51e79fca_2389.txt", "TXT")</f>
        <v/>
      </c>
    </row>
    <row r="1284">
      <c r="A1284" s="1" t="n">
        <v>1282</v>
      </c>
      <c r="B1284" t="n">
        <v>2019</v>
      </c>
      <c r="C1284" s="2" t="n">
        <v>43759.4312053125</v>
      </c>
      <c r="D1284" t="inlineStr">
        <is>
          <t>G1</t>
        </is>
      </c>
      <c r="E1284" t="inlineStr">
        <is>
          <t>VENEZUELANOS</t>
        </is>
      </c>
      <c r="F1284" t="inlineStr">
        <is>
          <t>SÃO CARLOS E ARARAQUARA</t>
        </is>
      </c>
      <c r="G1284" t="inlineStr">
        <is>
          <t>G1 SÃO CARLOS E ARARAQUARA</t>
        </is>
      </c>
      <c r="H1284" t="inlineStr">
        <is>
          <t>PROJETO DA UNESP ENSINA A LÍNGUA PORTUGUESA PARA IMIGRANTES VENEZUELANOS EM ARARAQUARA</t>
        </is>
      </c>
      <c r="I1284" t="inlineStr">
        <is>
          <t>AULAS SÃO DE GRAÇA E DADAS POR ALUNOS DO DOUTORADO, MESTRADO E GRADUAÇÃO DA FACULDADE DE LETRAS.</t>
        </is>
      </c>
      <c r="J1284" t="inlineStr"/>
      <c r="K1284" t="n">
        <v>0</v>
      </c>
      <c r="L1284" t="n">
        <v>2</v>
      </c>
      <c r="M1284" t="n">
        <v>1</v>
      </c>
      <c r="N1284" t="n">
        <v>0</v>
      </c>
      <c r="O1284" t="n">
        <v>2</v>
      </c>
      <c r="P1284">
        <f>HYPERLINK("https://g1.globo.com/sp/sao-carlos-regiao/noticia/2019/10/21/projeto-da-unesp-ensina-a-lingua-portuguesa-para-imigrantes-venezuelanos-em-araraquara.ghtml", "URL")</f>
        <v/>
      </c>
      <c r="Q1284">
        <f>HYPERLINK("https://raw.githubusercontent.com/marcosmapl/dataset_imigrantes/main/materias_filtered/g1/venezuelanos/2019/09_out/html/g1_3553856c-232d-11ed-b24f-6dbe51e79fca_4347.html", "HTML")</f>
        <v/>
      </c>
      <c r="R1284">
        <f>HYPERLINK("https://raw.githubusercontent.com/marcosmapl/dataset_imigrantes/main/materias_filtered/g1/venezuelanos/2019/09_out/txt/g1_3553856c-232d-11ed-b24f-6dbe51e79fca_4347.txt", "TXT")</f>
        <v/>
      </c>
    </row>
    <row r="1285">
      <c r="A1285" s="1" t="n">
        <v>1283</v>
      </c>
      <c r="B1285" t="n">
        <v>2019</v>
      </c>
      <c r="C1285" s="2" t="n">
        <v>43755.81458333333</v>
      </c>
      <c r="D1285" t="inlineStr">
        <is>
          <t>A CRITICA</t>
        </is>
      </c>
      <c r="E1285" t="inlineStr">
        <is>
          <t>VENEZUELANOS</t>
        </is>
      </c>
      <c r="F1285" t="inlineStr">
        <is>
          <t>MANAUS</t>
        </is>
      </c>
      <c r="G1285" t="inlineStr">
        <is>
          <t>JOHNY VASCONCELOS</t>
        </is>
      </c>
      <c r="H1285" t="inlineStr">
        <is>
          <t>TESTE CONFIRMA QUE OSSADA ACHADA NA PONTA NEGRA É DE JOVEM DESAPARECIDO EM 2018</t>
        </is>
      </c>
      <c r="I1285" t="inlineStr">
        <is>
          <t>ESTUDANTE RAYNER VINICIUS DA SILVA GONÇALVES, DE 15 ANOS, DESAPARECEU NO ANO PASSADO, APÓS SAIR PARA CAMINHAR NA PRAIA, NA ZONA OESTE. CASO AINDA É UM MISTÉRIO PARA POLÍCIA E FAMILIARES</t>
        </is>
      </c>
      <c r="J1285" t="inlineStr"/>
      <c r="K1285" t="n">
        <v>0</v>
      </c>
      <c r="L1285" t="n">
        <v>1</v>
      </c>
      <c r="M1285" t="n">
        <v>0</v>
      </c>
      <c r="N1285" t="n">
        <v>0</v>
      </c>
      <c r="O1285" t="n">
        <v>0</v>
      </c>
      <c r="P1285">
        <f>HYPERLINK("https://www.acritica.com/manaus/teste-confirma-que-ossada-achada-na-ponta-negra-e-de-jovem-desaparecido-em-2018-1.56694", "URL")</f>
        <v/>
      </c>
      <c r="Q1285">
        <f>HYPERLINK("https://raw.githubusercontent.com/marcosmapl/dataset_imigrantes/main/materias_filtered/a_critica/venezuelanos/2019/09_out/html/1.56694_702.html", "HTML")</f>
        <v/>
      </c>
      <c r="R1285">
        <f>HYPERLINK("https://raw.githubusercontent.com/marcosmapl/dataset_imigrantes/main/materias_filtered/a_critica/venezuelanos/2019/09_out/txt/1.56694_702.txt", "TXT")</f>
        <v/>
      </c>
    </row>
    <row r="1286">
      <c r="A1286" s="1" t="n">
        <v>1284</v>
      </c>
      <c r="B1286" t="n">
        <v>2019</v>
      </c>
      <c r="C1286" s="2" t="n">
        <v>43755.6139699074</v>
      </c>
      <c r="D1286" t="inlineStr">
        <is>
          <t>A CRITICA</t>
        </is>
      </c>
      <c r="E1286" t="inlineStr">
        <is>
          <t>VENEZUELANOS</t>
        </is>
      </c>
      <c r="F1286" t="inlineStr">
        <is>
          <t>MANAUS</t>
        </is>
      </c>
      <c r="G1286" t="inlineStr">
        <is>
          <t>PORTAL A CRÍTICA</t>
        </is>
      </c>
      <c r="H1286" t="inlineStr">
        <is>
          <t>SIMULACRO DE ARMA DE FOGO É ENCONTRADO DURANTE OPERAÇÃO EM ABRIGO DE VENEZUELANOS</t>
        </is>
      </c>
      <c r="I1286" t="inlineStr">
        <is>
          <t>A OPERAÇÃO EXTRANEUS TEVE COMO ALVO O ABRIGO DE ESTRANGEIROS VENEZUELANOS LOCALIZADO NO BAIRRO COROADO. O OBJETIVO DAS DILIGÊNCIAS É COMBATER O TRÁFICO DE DROGAS E A PRESENÇA DE ARMAS DE FOGO NO LUGAR.</t>
        </is>
      </c>
      <c r="J1286" t="inlineStr"/>
      <c r="K1286" t="n">
        <v>0</v>
      </c>
      <c r="L1286" t="n">
        <v>1</v>
      </c>
      <c r="M1286" t="n">
        <v>0</v>
      </c>
      <c r="N1286" t="n">
        <v>0</v>
      </c>
      <c r="O1286" t="n">
        <v>0</v>
      </c>
      <c r="P1286">
        <f>HYPERLINK("https://www.acritica.com/manaus/simulacro-de-arma-de-fogo-e-encontrado-durante-operac-o-em-abrigo-de-venezuelanos-1.57337", "URL")</f>
        <v/>
      </c>
      <c r="Q1286">
        <f>HYPERLINK("https://raw.githubusercontent.com/marcosmapl/dataset_imigrantes/main/materias_filtered/a_critica/venezuelanos/2019/09_out/html/1.57337_1185.html", "HTML")</f>
        <v/>
      </c>
      <c r="R1286">
        <f>HYPERLINK("https://raw.githubusercontent.com/marcosmapl/dataset_imigrantes/main/materias_filtered/a_critica/venezuelanos/2019/09_out/txt/1.57337_1185.txt", "TXT")</f>
        <v/>
      </c>
    </row>
    <row r="1287">
      <c r="A1287" s="1" t="n">
        <v>1285</v>
      </c>
      <c r="B1287" t="n">
        <v>2019</v>
      </c>
      <c r="C1287" s="2" t="n">
        <v>43755.01368055555</v>
      </c>
      <c r="D1287" t="inlineStr">
        <is>
          <t>A CRITICA</t>
        </is>
      </c>
      <c r="E1287" t="inlineStr">
        <is>
          <t>VENEZUELANOS</t>
        </is>
      </c>
      <c r="F1287" t="inlineStr">
        <is>
          <t>MANAUS</t>
        </is>
      </c>
      <c r="G1287" t="inlineStr">
        <is>
          <t>PORTAL A CRÍTICA</t>
        </is>
      </c>
      <c r="H1287" t="inlineStr">
        <is>
          <t>PARTE DE OSSADA HUMANA É ENCONTRADA NA PRAIA DA PONTA NEGRA</t>
        </is>
      </c>
      <c r="I1287" t="inlineStr">
        <is>
          <t>SUSPEITA É QUE SEJA O RASTANTE DE UMA OSSADA ENCONTRADA NO MESMO LOCAL NO DIA 7 DESTE MÊS, QUE PODE SER DO ESTUDANTE RAYNER VINICIUS DA SILVA GONÇALVES, DE 15 ANOS, DESAPARECIDO EM 2018</t>
        </is>
      </c>
      <c r="J1287" t="inlineStr"/>
      <c r="K1287" t="n">
        <v>0</v>
      </c>
      <c r="L1287" t="n">
        <v>1</v>
      </c>
      <c r="M1287" t="n">
        <v>0</v>
      </c>
      <c r="N1287" t="n">
        <v>0</v>
      </c>
      <c r="O1287" t="n">
        <v>1</v>
      </c>
      <c r="P1287">
        <f>HYPERLINK("https://www.acritica.com/manaus/parte-de-ossada-humana-e-encontrada-na-praia-da-ponta-negra-1.57371", "URL")</f>
        <v/>
      </c>
      <c r="Q1287">
        <f>HYPERLINK("https://raw.githubusercontent.com/marcosmapl/dataset_imigrantes/main/materias_filtered/a_critica/venezuelanos/2019/09_out/html/1.57371_849.html", "HTML")</f>
        <v/>
      </c>
      <c r="R1287">
        <f>HYPERLINK("https://raw.githubusercontent.com/marcosmapl/dataset_imigrantes/main/materias_filtered/a_critica/venezuelanos/2019/09_out/txt/1.57371_849.txt", "TXT")</f>
        <v/>
      </c>
    </row>
    <row r="1288">
      <c r="A1288" s="1" t="n">
        <v>1286</v>
      </c>
      <c r="B1288" t="n">
        <v>2019</v>
      </c>
      <c r="C1288" s="2" t="n">
        <v>43754.92391069444</v>
      </c>
      <c r="D1288" t="inlineStr">
        <is>
          <t>G1</t>
        </is>
      </c>
      <c r="E1288" t="inlineStr">
        <is>
          <t>HAITIANOS</t>
        </is>
      </c>
      <c r="F1288" t="inlineStr">
        <is>
          <t>SÃO CARLOS E ARARAQUARA</t>
        </is>
      </c>
      <c r="G1288" t="inlineStr">
        <is>
          <t>EPTV2</t>
        </is>
      </c>
      <c r="H1288" t="inlineStr">
        <is>
          <t>BEBÊ RECÉM-NASCIDA EM RIO CLARO ESPERA HÁ MAIS DE 1 MÊS POR CIRURGIA URGENTE NO CORAÇÃO</t>
        </is>
      </c>
      <c r="I1288" t="inlineStr">
        <is>
          <t>JUSTIÇA DETERMINOU PELA SEGUNDA VEZ QUE O ESTADO FAÇA A OPERAÇÃO SOB MULTA DIÁRIA DE R$ 100 MIL EM CASO DE DESCUMPRIMENTO.</t>
        </is>
      </c>
      <c r="J1288" t="inlineStr"/>
      <c r="K1288" t="n">
        <v>0</v>
      </c>
      <c r="L1288" t="n">
        <v>3</v>
      </c>
      <c r="M1288" t="n">
        <v>1</v>
      </c>
      <c r="N1288" t="n">
        <v>0</v>
      </c>
      <c r="O1288" t="n">
        <v>1</v>
      </c>
      <c r="P1288">
        <f>HYPERLINK("https://g1.globo.com/sp/sao-carlos-regiao/noticia/2019/10/16/bebe-recem-nascida-em-rio-claro-espera-ha-mais-de-1-mes-por-cirurgia-urgente-no-coracao.ghtml", "URL")</f>
        <v/>
      </c>
      <c r="Q1288">
        <f>HYPERLINK("https://raw.githubusercontent.com/marcosmapl/dataset_imigrantes/main/materias_filtered/g1/haitianos/2019/09_out/html/g1_2f1cc138-2312-11ed-b24f-6dbe51e79fca_2954.html", "HTML")</f>
        <v/>
      </c>
      <c r="R1288">
        <f>HYPERLINK("https://raw.githubusercontent.com/marcosmapl/dataset_imigrantes/main/materias_filtered/g1/haitianos/2019/09_out/txt/g1_2f1cc138-2312-11ed-b24f-6dbe51e79fca_2954.txt", "TXT")</f>
        <v/>
      </c>
    </row>
    <row r="1289">
      <c r="A1289" s="1" t="n">
        <v>1287</v>
      </c>
      <c r="B1289" t="n">
        <v>2019</v>
      </c>
      <c r="C1289" s="2" t="n">
        <v>43753.96847099537</v>
      </c>
      <c r="D1289" t="inlineStr">
        <is>
          <t>G1</t>
        </is>
      </c>
      <c r="E1289" t="inlineStr">
        <is>
          <t>HAITIANOS</t>
        </is>
      </c>
      <c r="F1289" t="inlineStr">
        <is>
          <t>MUNDO</t>
        </is>
      </c>
      <c r="G1289" t="inlineStr">
        <is>
          <t>REUTERS</t>
        </is>
      </c>
      <c r="H1289" t="inlineStr">
        <is>
          <t>APÓS 15 ANOS, MISSÃO DE PAZ DA ONU NO HAITI TERMINA COM LEGADO MISTO</t>
        </is>
      </c>
      <c r="I1289" t="inlineStr">
        <is>
          <t>MISSÃO TEVE INÍCIO EM 2004, PARA RESTAURAR ORDEM APÓS REBELIÃO DERRUBAR O ENTÃO PRESIDENTE, JEAN-BERTRAND ARISTIDE, E CHEGOU A SER CHEFIADA PELO BRASIL. CRÍTICOS QUESTIONAM ATÉ QUE PONTO OBJETIVOS FORAM ALCANÇADOS, COM PAÍS ENFRENTANDO VIOLENTOS PROTESTOS HÁ CINCO SEMANAS.</t>
        </is>
      </c>
      <c r="J1289" t="inlineStr"/>
      <c r="K1289" t="n">
        <v>0</v>
      </c>
      <c r="L1289" t="n">
        <v>1</v>
      </c>
      <c r="M1289" t="n">
        <v>0</v>
      </c>
      <c r="N1289" t="n">
        <v>0</v>
      </c>
      <c r="O1289" t="n">
        <v>3</v>
      </c>
      <c r="P1289">
        <f>HYPERLINK("https://g1.globo.com/mundo/noticia/2019/10/15/apos-15-anos-missao-de-paz-da-onu-no-haiti-termina-com-legado-misto.ghtml", "URL")</f>
        <v/>
      </c>
      <c r="Q1289">
        <f>HYPERLINK("https://raw.githubusercontent.com/marcosmapl/dataset_imigrantes/main/materias_filtered/g1/haitianos/2019/09_out/html/g1_2d156a54-230b-11ed-b24f-6dbe51e79fca_2549.html", "HTML")</f>
        <v/>
      </c>
      <c r="R1289">
        <f>HYPERLINK("https://raw.githubusercontent.com/marcosmapl/dataset_imigrantes/main/materias_filtered/g1/haitianos/2019/09_out/txt/g1_2d156a54-230b-11ed-b24f-6dbe51e79fca_2549.txt", "TXT")</f>
        <v/>
      </c>
    </row>
    <row r="1290">
      <c r="A1290" s="1" t="n">
        <v>1288</v>
      </c>
      <c r="B1290" t="n">
        <v>2019</v>
      </c>
      <c r="C1290" s="2" t="n">
        <v>43752.60897528935</v>
      </c>
      <c r="D1290" t="inlineStr">
        <is>
          <t>G1</t>
        </is>
      </c>
      <c r="E1290" t="inlineStr">
        <is>
          <t>VENEZUELANOS</t>
        </is>
      </c>
      <c r="F1290" t="inlineStr">
        <is>
          <t>RORAIMA</t>
        </is>
      </c>
      <c r="G1290" t="inlineStr">
        <is>
          <t>EMILY COSTA, G1 RR — BOA VISTA</t>
        </is>
      </c>
      <c r="H1290" t="inlineStr">
        <is>
          <t>JUSTIÇA DECRETA PRISÃO DE 30 SUSPEITOS DE INTEGRAR FACÇÃO VENEZUELANA EM RR</t>
        </is>
      </c>
      <c r="I1290" t="inlineStr">
        <is>
          <t>SEGUNDO INVESTIGAÇÃO, GRUPO DE VENEZUELANOS SE UNIU À ORGANIZAÇÃO CRIMINOSA DO BRASIL PARA COMETER CRIMES EM PACARAIMA, NA FRONTEIRA COM A VENEZUELA.</t>
        </is>
      </c>
      <c r="J1290" t="inlineStr"/>
      <c r="K1290" t="n">
        <v>0</v>
      </c>
      <c r="L1290" t="n">
        <v>1</v>
      </c>
      <c r="M1290" t="n">
        <v>1</v>
      </c>
      <c r="N1290" t="n">
        <v>0</v>
      </c>
      <c r="O1290" t="n">
        <v>1</v>
      </c>
      <c r="P1290">
        <f>HYPERLINK("https://g1.globo.com/rr/roraima/noticia/2019/10/14/justica-decreta-prisao-de-30-suspeitos-de-integrar-faccao-venezuelana-em-rr.ghtml", "URL")</f>
        <v/>
      </c>
      <c r="Q1290">
        <f>HYPERLINK("https://raw.githubusercontent.com/marcosmapl/dataset_imigrantes/main/materias_filtered/g1/venezuelanos/2019/09_out/html/g1_8d130960-2325-11ed-b24f-6dbe51e79fca_3921.html", "HTML")</f>
        <v/>
      </c>
      <c r="R1290">
        <f>HYPERLINK("https://raw.githubusercontent.com/marcosmapl/dataset_imigrantes/main/materias_filtered/g1/venezuelanos/2019/09_out/txt/g1_8d130960-2325-11ed-b24f-6dbe51e79fca_3921.txt", "TXT")</f>
        <v/>
      </c>
    </row>
    <row r="1291">
      <c r="A1291" s="1" t="n">
        <v>1289</v>
      </c>
      <c r="B1291" t="n">
        <v>2019</v>
      </c>
      <c r="C1291" s="2" t="n">
        <v>43752.48819444444</v>
      </c>
      <c r="D1291" t="inlineStr">
        <is>
          <t>A CRITICA</t>
        </is>
      </c>
      <c r="E1291" t="inlineStr">
        <is>
          <t>VENEZUELANOS</t>
        </is>
      </c>
      <c r="F1291" t="inlineStr"/>
      <c r="G1291" t="inlineStr">
        <is>
          <t>REUTERS</t>
        </is>
      </c>
      <c r="H1291" t="inlineStr">
        <is>
          <t>GOVERNO INVESTIGA NAVIOS PARA DESVENDAR VAZAMENTO DE PETRÓLEO NO NORDESTE</t>
        </is>
      </c>
      <c r="I1291" t="inlineStr">
        <is>
          <t>'ESTAMOS INVESTIGANDO OS NAVIOS E AS BANDEIRAS, E SE ACONTECEU ISSO, QUE TEM GRANDE POSSIBILIDADE, SE TORNA CRIME AMBIENTAL PORQUE O NAVIO NÃO INFORMOU O POSSÍVEL VAZAMENTO', AFIRMOU O MINISTÉRIO DA DEFESA</t>
        </is>
      </c>
      <c r="J1291" t="inlineStr"/>
      <c r="K1291" t="n">
        <v>0</v>
      </c>
      <c r="L1291" t="n">
        <v>1</v>
      </c>
      <c r="M1291" t="n">
        <v>0</v>
      </c>
      <c r="N1291" t="n">
        <v>0</v>
      </c>
      <c r="O1291" t="n">
        <v>0</v>
      </c>
      <c r="P1291">
        <f>HYPERLINK("https://www.acritica.com/governo-investiga-navios-para-desvendar-vazamento-de-petroleo-no-nordeste-1.57508", "URL")</f>
        <v/>
      </c>
      <c r="Q1291">
        <f>HYPERLINK("https://raw.githubusercontent.com/marcosmapl/dataset_imigrantes/main/materias_filtered/a_critica/venezuelanos/2019/09_out/html/1.57508_827.html", "HTML")</f>
        <v/>
      </c>
      <c r="R1291">
        <f>HYPERLINK("https://raw.githubusercontent.com/marcosmapl/dataset_imigrantes/main/materias_filtered/a_critica/venezuelanos/2019/09_out/txt/1.57508_827.txt", "TXT")</f>
        <v/>
      </c>
    </row>
    <row r="1292">
      <c r="A1292" s="1" t="n">
        <v>1290</v>
      </c>
      <c r="B1292" t="n">
        <v>2019</v>
      </c>
      <c r="C1292" s="2" t="n">
        <v>43751.5202199074</v>
      </c>
      <c r="D1292" t="inlineStr">
        <is>
          <t>A CRITICA</t>
        </is>
      </c>
      <c r="E1292" t="inlineStr">
        <is>
          <t>VENEZUELANOS</t>
        </is>
      </c>
      <c r="F1292" t="inlineStr">
        <is>
          <t>OPINIAO</t>
        </is>
      </c>
      <c r="G1292" t="inlineStr"/>
      <c r="H1292" t="inlineStr">
        <is>
          <t>CRIANÇA PRECISA DE ATENÇÃO</t>
        </is>
      </c>
      <c r="I1292" t="inlineStr"/>
      <c r="J1292" t="inlineStr"/>
      <c r="K1292" t="n">
        <v>0</v>
      </c>
      <c r="L1292" t="n">
        <v>1</v>
      </c>
      <c r="M1292" t="n">
        <v>0</v>
      </c>
      <c r="N1292" t="n">
        <v>0</v>
      </c>
      <c r="O1292" t="n">
        <v>0</v>
      </c>
      <c r="P1292">
        <f>HYPERLINK("https://www.acritica.com/opiniao/crianca-precisa-de-atenc-o-1.227506", "URL")</f>
        <v/>
      </c>
      <c r="Q1292">
        <f>HYPERLINK("https://raw.githubusercontent.com/marcosmapl/dataset_imigrantes/main/materias_filtered/a_critica/venezuelanos/2019/09_out/html/1.227506_868.html", "HTML")</f>
        <v/>
      </c>
      <c r="R1292">
        <f>HYPERLINK("https://raw.githubusercontent.com/marcosmapl/dataset_imigrantes/main/materias_filtered/a_critica/venezuelanos/2019/09_out/txt/1.227506_868.txt", "TXT")</f>
        <v/>
      </c>
    </row>
    <row r="1293">
      <c r="A1293" s="1" t="n">
        <v>1291</v>
      </c>
      <c r="B1293" t="n">
        <v>2019</v>
      </c>
      <c r="C1293" s="2" t="n">
        <v>43750.72006944445</v>
      </c>
      <c r="D1293" t="inlineStr">
        <is>
          <t>A CRITICA</t>
        </is>
      </c>
      <c r="E1293" t="inlineStr">
        <is>
          <t>VENEZUELANOS</t>
        </is>
      </c>
      <c r="F1293" t="inlineStr"/>
      <c r="G1293" t="inlineStr">
        <is>
          <t>AGÊNCIA BRASIL</t>
        </is>
      </c>
      <c r="H1293" t="inlineStr">
        <is>
          <t>INFÂNCIA REFUGIADA: 10 MIL CRIANÇAS VENEZUELANAS JÁ ENTRARAM NO BRASIL</t>
        </is>
      </c>
      <c r="I1293" t="inlineStr">
        <is>
          <t>AS CRIANÇAS SÃO UMA PREOCUPAÇÃO AINDA MAIOR NO CONTEXTO DA MIGRAÇÃO, JÁ QUE DIREITOS MUITO BÁSICOS COMO A ALIMENTAÇÃO ADEQUADA FICAM COMPROMETIDOS.</t>
        </is>
      </c>
      <c r="J1293" t="inlineStr"/>
      <c r="K1293" t="n">
        <v>0</v>
      </c>
      <c r="L1293" t="n">
        <v>1</v>
      </c>
      <c r="M1293" t="n">
        <v>0</v>
      </c>
      <c r="N1293" t="n">
        <v>0</v>
      </c>
      <c r="O1293" t="n">
        <v>0</v>
      </c>
      <c r="P1293">
        <f>HYPERLINK("https://www.acritica.com/infancia-refugiada-10-mil-criancas-venezuelanas-ja-entraram-no-brasil-1.56816", "URL")</f>
        <v/>
      </c>
      <c r="Q1293">
        <f>HYPERLINK("https://raw.githubusercontent.com/marcosmapl/dataset_imigrantes/main/materias_filtered/a_critica/venezuelanos/2019/09_out/html/1.56816_767.html", "HTML")</f>
        <v/>
      </c>
      <c r="R1293">
        <f>HYPERLINK("https://raw.githubusercontent.com/marcosmapl/dataset_imigrantes/main/materias_filtered/a_critica/venezuelanos/2019/09_out/txt/1.56816_767.txt", "TXT")</f>
        <v/>
      </c>
    </row>
    <row r="1294">
      <c r="A1294" s="1" t="n">
        <v>1292</v>
      </c>
      <c r="B1294" t="n">
        <v>2019</v>
      </c>
      <c r="C1294" s="2" t="n">
        <v>43750.51989583333</v>
      </c>
      <c r="D1294" t="inlineStr">
        <is>
          <t>A CRITICA</t>
        </is>
      </c>
      <c r="E1294" t="inlineStr">
        <is>
          <t>VENEZUELANOS</t>
        </is>
      </c>
      <c r="F1294" t="inlineStr"/>
      <c r="G1294" t="inlineStr">
        <is>
          <t>AGÊNCIA BRASIL</t>
        </is>
      </c>
      <c r="H1294" t="inlineStr">
        <is>
          <t>AO MENOS 10 MIL CRIANÇAS VENEZUELANAS JÁ ENTRARAM NO BRASIL</t>
        </is>
      </c>
      <c r="I1294" t="inlineStr">
        <is>
          <t>NÚMEROS DO FUNDO DAS NAÇÕES UNIDAS PARA A INFÂNCIA (UNICEF) CONSIDERAM O PERÍODO DE 2015 A 2019. O NÚMERO É UMA PROJEÇÃO, JÁ QUE NÃO HÁ UM DADO OFICIAL</t>
        </is>
      </c>
      <c r="J1294" t="inlineStr"/>
      <c r="K1294" t="n">
        <v>0</v>
      </c>
      <c r="L1294" t="n">
        <v>1</v>
      </c>
      <c r="M1294" t="n">
        <v>0</v>
      </c>
      <c r="N1294" t="n">
        <v>0</v>
      </c>
      <c r="O1294" t="n">
        <v>0</v>
      </c>
      <c r="P1294">
        <f>HYPERLINK("https://www.acritica.com/ao-menos-10-mil-criancas-venezuelanas-ja-entraram-no-brasil-1.56828", "URL")</f>
        <v/>
      </c>
      <c r="Q1294">
        <f>HYPERLINK("https://raw.githubusercontent.com/marcosmapl/dataset_imigrantes/main/materias_filtered/a_critica/venezuelanos/2019/09_out/html/1.56828_917.html", "HTML")</f>
        <v/>
      </c>
      <c r="R1294">
        <f>HYPERLINK("https://raw.githubusercontent.com/marcosmapl/dataset_imigrantes/main/materias_filtered/a_critica/venezuelanos/2019/09_out/txt/1.56828_917.txt", "TXT")</f>
        <v/>
      </c>
    </row>
    <row r="1295">
      <c r="A1295" s="1" t="n">
        <v>1293</v>
      </c>
      <c r="B1295" t="n">
        <v>2019</v>
      </c>
      <c r="C1295" s="2" t="n">
        <v>43750.50357638889</v>
      </c>
      <c r="D1295" t="inlineStr">
        <is>
          <t>A CRITICA</t>
        </is>
      </c>
      <c r="E1295" t="inlineStr">
        <is>
          <t>VENEZUELANOS</t>
        </is>
      </c>
      <c r="F1295" t="inlineStr">
        <is>
          <t>OPINIAO</t>
        </is>
      </c>
      <c r="G1295" t="inlineStr"/>
      <c r="H1295" t="inlineStr">
        <is>
          <t>PEQUENOS INVISIVEIS</t>
        </is>
      </c>
      <c r="I1295" t="inlineStr"/>
      <c r="J1295" t="inlineStr"/>
      <c r="K1295" t="n">
        <v>0</v>
      </c>
      <c r="L1295" t="n">
        <v>1</v>
      </c>
      <c r="M1295" t="n">
        <v>0</v>
      </c>
      <c r="N1295" t="n">
        <v>0</v>
      </c>
      <c r="O1295" t="n">
        <v>0</v>
      </c>
      <c r="P1295">
        <f>HYPERLINK("https://www.acritica.com/opiniao/pequenos-invisiveis-1.227512", "URL")</f>
        <v/>
      </c>
      <c r="Q1295">
        <f>HYPERLINK("https://raw.githubusercontent.com/marcosmapl/dataset_imigrantes/main/materias_filtered/a_critica/venezuelanos/2019/09_out/html/1.227512_1305.html", "HTML")</f>
        <v/>
      </c>
      <c r="R1295">
        <f>HYPERLINK("https://raw.githubusercontent.com/marcosmapl/dataset_imigrantes/main/materias_filtered/a_critica/venezuelanos/2019/09_out/txt/1.227512_1305.txt", "TXT")</f>
        <v/>
      </c>
    </row>
    <row r="1296">
      <c r="A1296" s="1" t="n">
        <v>1294</v>
      </c>
      <c r="B1296" t="n">
        <v>2019</v>
      </c>
      <c r="C1296" s="2" t="n">
        <v>43750.03680555556</v>
      </c>
      <c r="D1296" t="inlineStr">
        <is>
          <t>A CRITICA</t>
        </is>
      </c>
      <c r="E1296" t="inlineStr">
        <is>
          <t>VENEZUELANOS</t>
        </is>
      </c>
      <c r="F1296" t="inlineStr">
        <is>
          <t>MANAUS</t>
        </is>
      </c>
      <c r="G1296" t="inlineStr">
        <is>
          <t>WAL LIMA</t>
        </is>
      </c>
      <c r="H1296" t="inlineStr">
        <is>
          <t>SEM COMEMORAÇÃO, CRIANÇAS VENEZUELANAS PASSAM DATA ENTRE SEMÁFOROS DE MANAUS</t>
        </is>
      </c>
      <c r="I1296" t="inlineStr">
        <is>
          <t>NA DATA EM QUE OS PEQUENOS SÃO CELEBRADOS, MILHARES DE MENINAS E MENINOS REFUGIADOS LUTAM POR COMIDA, REMÉDIOS E DIREITOS BÁSICOS COMO EDUCAÇÃO</t>
        </is>
      </c>
      <c r="J1296" t="inlineStr"/>
      <c r="K1296" t="n">
        <v>0</v>
      </c>
      <c r="L1296" t="n">
        <v>1</v>
      </c>
      <c r="M1296" t="n">
        <v>0</v>
      </c>
      <c r="N1296" t="n">
        <v>0</v>
      </c>
      <c r="O1296" t="n">
        <v>0</v>
      </c>
      <c r="P1296">
        <f>HYPERLINK("https://www.acritica.com/manaus/sem-comemorac-o-criancas-venezuelanas-passam-data-entre-semaforos-de-manaus-1.56842", "URL")</f>
        <v/>
      </c>
      <c r="Q1296">
        <f>HYPERLINK("https://raw.githubusercontent.com/marcosmapl/dataset_imigrantes/main/materias_filtered/a_critica/venezuelanos/2019/09_out/html/1.56842_1124.html", "HTML")</f>
        <v/>
      </c>
      <c r="R1296">
        <f>HYPERLINK("https://raw.githubusercontent.com/marcosmapl/dataset_imigrantes/main/materias_filtered/a_critica/venezuelanos/2019/09_out/txt/1.56842_1124.txt", "TXT")</f>
        <v/>
      </c>
    </row>
    <row r="1297">
      <c r="A1297" s="1" t="n">
        <v>1295</v>
      </c>
      <c r="B1297" t="n">
        <v>2019</v>
      </c>
      <c r="C1297" s="2" t="n">
        <v>43749.88486111111</v>
      </c>
      <c r="D1297" t="inlineStr">
        <is>
          <t>A CRITICA</t>
        </is>
      </c>
      <c r="E1297" t="inlineStr">
        <is>
          <t>VENEZUELANOS</t>
        </is>
      </c>
      <c r="F1297" t="inlineStr">
        <is>
          <t>MANAUS</t>
        </is>
      </c>
      <c r="G1297" t="inlineStr">
        <is>
          <t>PORTAL A CRÍTICA</t>
        </is>
      </c>
      <c r="H1297" t="inlineStr">
        <is>
          <t>CRIANÇAS VENEZUELANAS PARTICIPAM DE FESTA CIRCENSE NO ABRIGO COROADO</t>
        </is>
      </c>
      <c r="I1297" t="inlineStr">
        <is>
          <t>AÇÃO DE DIA DAS CRIANÇAS DA SEAS LEVOU BRINCADEIRAS, MÚSICAS, DOCES E DIVERSÃO PARA AS QUASE 70 CRIANÇAS VENEZUELANAS ABRIGADAS NO LOCAL</t>
        </is>
      </c>
      <c r="J1297" t="inlineStr"/>
      <c r="K1297" t="n">
        <v>0</v>
      </c>
      <c r="L1297" t="n">
        <v>1</v>
      </c>
      <c r="M1297" t="n">
        <v>0</v>
      </c>
      <c r="N1297" t="n">
        <v>0</v>
      </c>
      <c r="O1297" t="n">
        <v>0</v>
      </c>
      <c r="P1297">
        <f>HYPERLINK("https://www.acritica.com/manaus/criancas-venezuelanas-participam-de-festa-circense-no-abrigo-coroado-1.57553", "URL")</f>
        <v/>
      </c>
      <c r="Q1297">
        <f>HYPERLINK("https://raw.githubusercontent.com/marcosmapl/dataset_imigrantes/main/materias_filtered/a_critica/venezuelanos/2019/09_out/html/1.57553_578.html", "HTML")</f>
        <v/>
      </c>
      <c r="R1297">
        <f>HYPERLINK("https://raw.githubusercontent.com/marcosmapl/dataset_imigrantes/main/materias_filtered/a_critica/venezuelanos/2019/09_out/txt/1.57553_578.txt", "TXT")</f>
        <v/>
      </c>
    </row>
    <row r="1298">
      <c r="A1298" s="1" t="n">
        <v>1296</v>
      </c>
      <c r="B1298" t="n">
        <v>2019</v>
      </c>
      <c r="C1298" s="2" t="n">
        <v>43749.73611111111</v>
      </c>
      <c r="D1298" t="inlineStr">
        <is>
          <t>A CRITICA</t>
        </is>
      </c>
      <c r="E1298" t="inlineStr">
        <is>
          <t>VENEZUELANOS</t>
        </is>
      </c>
      <c r="F1298" t="inlineStr">
        <is>
          <t>MANAUS</t>
        </is>
      </c>
      <c r="G1298" t="inlineStr">
        <is>
          <t>PORTAL A CRÍTICA</t>
        </is>
      </c>
      <c r="H1298" t="inlineStr">
        <is>
          <t>JAPÃO VAI DOAR R$ 445 MIL PARA ABRIGO DE REFUGIADOS VENEZUELANOS DE MANAUS</t>
        </is>
      </c>
      <c r="I1298" t="inlineStr">
        <is>
          <t>VALOR SERÁ DIRETAMENTE REVERTIDO NA AMPLIAÇÃO E MELHORIA DA CASA DO IMIGRANTE. NO ÚLTIMO ANO, MAIS DE 850 REFUGIADOS VENEZUELANOS PASSARAM PELO LOCAL</t>
        </is>
      </c>
      <c r="J1298" t="inlineStr"/>
      <c r="K1298" t="n">
        <v>0</v>
      </c>
      <c r="L1298" t="n">
        <v>1</v>
      </c>
      <c r="M1298" t="n">
        <v>0</v>
      </c>
      <c r="N1298" t="n">
        <v>0</v>
      </c>
      <c r="O1298" t="n">
        <v>2</v>
      </c>
      <c r="P1298">
        <f>HYPERLINK("https://www.acritica.com/manaus/jap-o-vai-doar-r-445-mil-para-abrigo-de-refugiados-venezuelanos-de-manaus-1.57584", "URL")</f>
        <v/>
      </c>
      <c r="Q1298">
        <f>HYPERLINK("https://raw.githubusercontent.com/marcosmapl/dataset_imigrantes/main/materias_filtered/a_critica/venezuelanos/2019/09_out/html/1.57584_364.html", "HTML")</f>
        <v/>
      </c>
      <c r="R1298">
        <f>HYPERLINK("https://raw.githubusercontent.com/marcosmapl/dataset_imigrantes/main/materias_filtered/a_critica/venezuelanos/2019/09_out/txt/1.57584_364.txt", "TXT")</f>
        <v/>
      </c>
    </row>
    <row r="1299">
      <c r="A1299" s="1" t="n">
        <v>1297</v>
      </c>
      <c r="B1299" t="n">
        <v>2019</v>
      </c>
      <c r="C1299" s="2" t="n">
        <v>43749.60786524306</v>
      </c>
      <c r="D1299" t="inlineStr">
        <is>
          <t>G1</t>
        </is>
      </c>
      <c r="E1299" t="inlineStr">
        <is>
          <t>HAITIANOS</t>
        </is>
      </c>
      <c r="F1299" t="inlineStr">
        <is>
          <t>DISTRITO FEDERAL</t>
        </is>
      </c>
      <c r="G1299" t="inlineStr">
        <is>
          <t>G1 DF</t>
        </is>
      </c>
      <c r="H1299" t="inlineStr">
        <is>
          <t>HAITIANO É PRESO PELA SEGUNDA VEZ POR VENDA ILEGAL DE PASSAGENS EM BRASÍLIA</t>
        </is>
      </c>
      <c r="I1299" t="inlineStr">
        <is>
          <t>HOMEM DE 43 ANOS FOI DETIDO COM DOIS CARTÕES E R$ 1 MIL EM DINHEIRO, SEGUNDO POLÍCIA. OPERAÇÃO CARTÃO VERMELHO QUER COIBIR PRÁTICA NA RODOVIÁRIA DO PLANO PILOTO.</t>
        </is>
      </c>
      <c r="J1299" t="inlineStr"/>
      <c r="K1299" t="n">
        <v>0</v>
      </c>
      <c r="L1299" t="n">
        <v>2</v>
      </c>
      <c r="M1299" t="n">
        <v>0</v>
      </c>
      <c r="N1299" t="n">
        <v>0</v>
      </c>
      <c r="O1299" t="n">
        <v>1</v>
      </c>
      <c r="P1299">
        <f>HYPERLINK("https://g1.globo.com/df/distrito-federal/noticia/2019/10/11/haitiano-e-preso-pela-segunda-vez-por-venda-ilegal-de-passagens-em-brasilia.ghtml", "URL")</f>
        <v/>
      </c>
      <c r="Q1299">
        <f>HYPERLINK("https://raw.githubusercontent.com/marcosmapl/dataset_imigrantes/main/materias_filtered/g1/haitianos/2019/09_out/html/g1_a9b0ccbc-22f1-11ed-b24f-6dbe51e79fca_1760.html", "HTML")</f>
        <v/>
      </c>
      <c r="R1299">
        <f>HYPERLINK("https://raw.githubusercontent.com/marcosmapl/dataset_imigrantes/main/materias_filtered/g1/haitianos/2019/09_out/txt/g1_a9b0ccbc-22f1-11ed-b24f-6dbe51e79fca_1760.txt", "TXT")</f>
        <v/>
      </c>
    </row>
    <row r="1300">
      <c r="A1300" s="1" t="n">
        <v>1298</v>
      </c>
      <c r="B1300" t="n">
        <v>2019</v>
      </c>
      <c r="C1300" s="2" t="n">
        <v>43749.50795431713</v>
      </c>
      <c r="D1300" t="inlineStr">
        <is>
          <t>G1</t>
        </is>
      </c>
      <c r="E1300" t="inlineStr">
        <is>
          <t>AMBOS</t>
        </is>
      </c>
      <c r="F1300" t="inlineStr">
        <is>
          <t>MATO GROSSO</t>
        </is>
      </c>
      <c r="G1300" t="inlineStr">
        <is>
          <t>G1 MT</t>
        </is>
      </c>
      <c r="H1300" t="inlineStr">
        <is>
          <t>PESQUISA DE ALUNOS DO IFMT IDENTIFICA 25 LÍNGUAS FALADAS PELA POPULAÇÃO CUIABANA</t>
        </is>
      </c>
      <c r="I1300" t="inlineStr">
        <is>
          <t>"MAPA DAS LÍNGUAS FALADAS NA CIDADE DE CUIABÁ" ESTÁ SENDO CONCLUÍDO A PARTIR DESSE LEVANTAMENTO DE CINCO ESTUDANTES DO IFMT. ELES DECIDIRAM FAZER O TRABALHO PARA RESPONDER UMA PERGUNTA FREQUENTE EM SALA DE AULA: "QUANTAS LÍNGUAS FALAMOS EM CUIABÁ?".</t>
        </is>
      </c>
      <c r="J1300" t="inlineStr"/>
      <c r="K1300" t="n">
        <v>0</v>
      </c>
      <c r="L1300" t="n">
        <v>2</v>
      </c>
      <c r="M1300" t="n">
        <v>0</v>
      </c>
      <c r="N1300" t="n">
        <v>0</v>
      </c>
      <c r="O1300" t="n">
        <v>0</v>
      </c>
      <c r="P1300">
        <f>HYPERLINK("https://g1.globo.com/mt/mato-grosso/noticia/2019/10/11/pesquisa-de-alunos-do-ifmt-identifica-25-linguas-faladas-pela-populacao-cuiabana.ghtml", "URL")</f>
        <v/>
      </c>
      <c r="Q1300">
        <f>HYPERLINK("https://raw.githubusercontent.com/marcosmapl/dataset_imigrantes/main/materias_filtered/g1/ambos/2019/09_out/html/g1_43e0d8fe-231f-11ed-b24f-6dbe51e79fca_3612.html", "HTML")</f>
        <v/>
      </c>
      <c r="R1300">
        <f>HYPERLINK("https://raw.githubusercontent.com/marcosmapl/dataset_imigrantes/main/materias_filtered/g1/ambos/2019/09_out/txt/g1_43e0d8fe-231f-11ed-b24f-6dbe51e79fca_3612.txt", "TXT")</f>
        <v/>
      </c>
    </row>
    <row r="1301">
      <c r="A1301" s="1" t="n">
        <v>1299</v>
      </c>
      <c r="B1301" t="n">
        <v>2019</v>
      </c>
      <c r="C1301" s="2" t="n">
        <v>43748.65948214121</v>
      </c>
      <c r="D1301" t="inlineStr">
        <is>
          <t>G1</t>
        </is>
      </c>
      <c r="E1301" t="inlineStr">
        <is>
          <t>VENEZUELANOS</t>
        </is>
      </c>
      <c r="F1301" t="inlineStr">
        <is>
          <t>FATO OU FAKE</t>
        </is>
      </c>
      <c r="G1301" t="inlineStr">
        <is>
          <t>G1</t>
        </is>
      </c>
      <c r="H1301" t="inlineStr">
        <is>
          <t>É #FAKE QUE VÍDEO MOSTRE NAVIO VENEZUELANO JOGANDO ÓLEO NO MAR NO NORDESTE</t>
        </is>
      </c>
      <c r="I1301" t="inlineStr">
        <is>
          <t>MENSAGEM COM CONTEÚDO FALSO CIRCULA EM REDES SOCIAIS APÓS MANCHAS DE ÓLEO ATINGIREM PRAIAS DO BRASIL. VÍDEO MOSTRA, NA VERDADE, PROCEDIMENTO DE DRAGAGEM EM PORTUGAL.</t>
        </is>
      </c>
      <c r="J1301" t="inlineStr"/>
      <c r="K1301" t="n">
        <v>0</v>
      </c>
      <c r="L1301" t="n">
        <v>1</v>
      </c>
      <c r="M1301" t="n">
        <v>0</v>
      </c>
      <c r="N1301" t="n">
        <v>0</v>
      </c>
      <c r="O1301" t="n">
        <v>18</v>
      </c>
      <c r="P1301">
        <f>HYPERLINK("https://g1.globo.com/fato-ou-fake/noticia/2019/10/10/e-fake-que-video-mostre-navio-venezuelano-jogando-oleo-no-mar-no-nordeste.ghtml", "URL")</f>
        <v/>
      </c>
      <c r="Q1301">
        <f>HYPERLINK("https://raw.githubusercontent.com/marcosmapl/dataset_imigrantes/main/materias_filtered/g1/venezuelanos/2019/09_out/html/g1_92378e6a-232b-11ed-b24f-6dbe51e79fca_4256.html", "HTML")</f>
        <v/>
      </c>
      <c r="R1301">
        <f>HYPERLINK("https://raw.githubusercontent.com/marcosmapl/dataset_imigrantes/main/materias_filtered/g1/venezuelanos/2019/09_out/txt/g1_92378e6a-232b-11ed-b24f-6dbe51e79fca_4256.txt", "TXT")</f>
        <v/>
      </c>
    </row>
    <row r="1302">
      <c r="A1302" s="1" t="n">
        <v>1300</v>
      </c>
      <c r="B1302" t="n">
        <v>2019</v>
      </c>
      <c r="C1302" s="2" t="n">
        <v>43748.41944444444</v>
      </c>
      <c r="D1302" t="inlineStr">
        <is>
          <t>A CRITICA</t>
        </is>
      </c>
      <c r="E1302" t="inlineStr">
        <is>
          <t>VENEZUELANOS</t>
        </is>
      </c>
      <c r="F1302" t="inlineStr">
        <is>
          <t>MANAUS</t>
        </is>
      </c>
      <c r="G1302" t="inlineStr">
        <is>
          <t>JOHNY VASCONCELOS</t>
        </is>
      </c>
      <c r="H1302" t="inlineStr">
        <is>
          <t>MÃE DE JOVEM DESAPARECIDO RELEMBRA CASO APÓS RECONHECER ROUPA DE FILHO EM OSSADA</t>
        </is>
      </c>
      <c r="I1302" t="inlineStr">
        <is>
          <t>'MEU FILHO ESPERAVA QUE EU FOSSE VARRER ESSE MUNDO ATÉ ENCONTRAR ELE, E ENCONTREI', DISSE A MÃE DO ADOLESCENTE RAYNER VINICIUS DA SILVA GONÇALVES, DE 15 ANOS, QUE DESAPARECEU APÓS IR CORRER NA PONTA NEGRA. CASO AINDA É UM MISTÉRIO</t>
        </is>
      </c>
      <c r="J1302" t="inlineStr"/>
      <c r="K1302" t="n">
        <v>0</v>
      </c>
      <c r="L1302" t="n">
        <v>1</v>
      </c>
      <c r="M1302" t="n">
        <v>0</v>
      </c>
      <c r="N1302" t="n">
        <v>0</v>
      </c>
      <c r="O1302" t="n">
        <v>0</v>
      </c>
      <c r="P1302">
        <f>HYPERLINK("https://www.acritica.com/manaus/m-e-de-jovem-desaparecido-relembra-caso-apos-reconhecer-roupa-de-filho-em-ossada-1.56889", "URL")</f>
        <v/>
      </c>
      <c r="Q1302">
        <f>HYPERLINK("https://raw.githubusercontent.com/marcosmapl/dataset_imigrantes/main/materias_filtered/a_critica/venezuelanos/2019/09_out/html/1.56889_217.html", "HTML")</f>
        <v/>
      </c>
      <c r="R1302">
        <f>HYPERLINK("https://raw.githubusercontent.com/marcosmapl/dataset_imigrantes/main/materias_filtered/a_critica/venezuelanos/2019/09_out/txt/1.56889_217.txt", "TXT")</f>
        <v/>
      </c>
    </row>
    <row r="1303">
      <c r="A1303" s="1" t="n">
        <v>1301</v>
      </c>
      <c r="B1303" t="n">
        <v>2019</v>
      </c>
      <c r="C1303" s="2" t="n">
        <v>43747.63516203704</v>
      </c>
      <c r="D1303" t="inlineStr">
        <is>
          <t>A CRITICA</t>
        </is>
      </c>
      <c r="E1303" t="inlineStr">
        <is>
          <t>VENEZUELANOS</t>
        </is>
      </c>
      <c r="F1303" t="inlineStr"/>
      <c r="G1303" t="inlineStr">
        <is>
          <t>REUTERS</t>
        </is>
      </c>
      <c r="H1303" t="inlineStr">
        <is>
          <t>PETRÓLEO EM PRAIAS DO NORDESTE 'MUITO PROVAVELMENTE' É DA VENEZUELA, DIZ SALLES</t>
        </is>
      </c>
      <c r="I1303" t="inlineStr">
        <is>
          <t>O MINISTRO DO MEIO AMBIENTE ADMITIU QUE HÁ 'ENORME DIFICULDADE DE CONTER' AS MANCHAS DE ÓLEO, MAS RESSALTOU QUE NÃO SE TRATA DE UMA 'INAÇÃO DOS ÓRGÃOS PÚBLICOS'</t>
        </is>
      </c>
      <c r="J1303" t="inlineStr"/>
      <c r="K1303" t="n">
        <v>0</v>
      </c>
      <c r="L1303" t="n">
        <v>1</v>
      </c>
      <c r="M1303" t="n">
        <v>0</v>
      </c>
      <c r="N1303" t="n">
        <v>0</v>
      </c>
      <c r="O1303" t="n">
        <v>0</v>
      </c>
      <c r="P1303">
        <f>HYPERLINK("https://www.acritica.com/petroleo-em-praias-do-nordeste-muito-provavelmente-e-da-venezuela-diz-salles-1.56941", "URL")</f>
        <v/>
      </c>
      <c r="Q1303">
        <f>HYPERLINK("https://raw.githubusercontent.com/marcosmapl/dataset_imigrantes/main/materias_filtered/a_critica/venezuelanos/2019/09_out/html/1.56941_1217.html", "HTML")</f>
        <v/>
      </c>
      <c r="R1303">
        <f>HYPERLINK("https://raw.githubusercontent.com/marcosmapl/dataset_imigrantes/main/materias_filtered/a_critica/venezuelanos/2019/09_out/txt/1.56941_1217.txt", "TXT")</f>
        <v/>
      </c>
    </row>
    <row r="1304">
      <c r="A1304" s="1" t="n">
        <v>1302</v>
      </c>
      <c r="B1304" t="n">
        <v>2019</v>
      </c>
      <c r="C1304" s="2" t="n">
        <v>43747.57203692129</v>
      </c>
      <c r="D1304" t="inlineStr">
        <is>
          <t>G1</t>
        </is>
      </c>
      <c r="E1304" t="inlineStr">
        <is>
          <t>VENEZUELANOS</t>
        </is>
      </c>
      <c r="F1304" t="inlineStr">
        <is>
          <t>RORAIMA</t>
        </is>
      </c>
      <c r="G1304" t="inlineStr">
        <is>
          <t>G1 RR — BOA VISTA</t>
        </is>
      </c>
      <c r="H1304" t="inlineStr">
        <is>
          <t>CORPO ACHADO EM CARRINHO DE MÃO EM BOA VISTA É DE ADOLESCENTE VENEZUELANO</t>
        </is>
      </c>
      <c r="I1304" t="inlineStr">
        <is>
          <t>JESUS ALISANDRO SAMERON PEREZ, DE 16 ANOS, FOI DADO COMO DESAPARECIDO NO ÚLTIMO DIA 7. ELE FOI IDENTIFICADO PELO INSTITUTO MÉDICO LEGAL.</t>
        </is>
      </c>
      <c r="J1304" t="inlineStr"/>
      <c r="K1304" t="n">
        <v>0</v>
      </c>
      <c r="L1304" t="n">
        <v>1</v>
      </c>
      <c r="M1304" t="n">
        <v>0</v>
      </c>
      <c r="N1304" t="n">
        <v>0</v>
      </c>
      <c r="O1304" t="n">
        <v>1</v>
      </c>
      <c r="P1304">
        <f>HYPERLINK("https://g1.globo.com/rr/roraima/noticia/2019/10/09/corpo-achado-em-carrinho-de-mao-em-boa-vista-e-de-adolescente-venezuelano.ghtml", "URL")</f>
        <v/>
      </c>
      <c r="Q1304">
        <f>HYPERLINK("https://raw.githubusercontent.com/marcosmapl/dataset_imigrantes/main/materias_filtered/g1/venezuelanos/2019/09_out/html/g1_5fe9d94c-2315-11ed-b24f-6dbe51e79fca_3082.html", "HTML")</f>
        <v/>
      </c>
      <c r="R1304">
        <f>HYPERLINK("https://raw.githubusercontent.com/marcosmapl/dataset_imigrantes/main/materias_filtered/g1/venezuelanos/2019/09_out/txt/g1_5fe9d94c-2315-11ed-b24f-6dbe51e79fca_3082.txt", "TXT")</f>
        <v/>
      </c>
    </row>
    <row r="1305">
      <c r="A1305" s="1" t="n">
        <v>1303</v>
      </c>
      <c r="B1305" t="n">
        <v>2019</v>
      </c>
      <c r="C1305" s="2" t="n">
        <v>43746.98660879629</v>
      </c>
      <c r="D1305" t="inlineStr">
        <is>
          <t>A CRITICA</t>
        </is>
      </c>
      <c r="E1305" t="inlineStr">
        <is>
          <t>VENEZUELANOS</t>
        </is>
      </c>
      <c r="F1305" t="inlineStr">
        <is>
          <t>MANAUS</t>
        </is>
      </c>
      <c r="G1305" t="inlineStr">
        <is>
          <t>JOHNY VASCONCELOS</t>
        </is>
      </c>
      <c r="H1305" t="inlineStr">
        <is>
          <t>OSSADA ENCONTRADA NA PONTA NEGRA PODE SER DE ADOLESCENTE DESAPARECIDO EM 2018</t>
        </is>
      </c>
      <c r="I1305" t="inlineStr">
        <is>
          <t>RAYNER VINÍCIUS, DE 15 ANOS, DESAPARECEU EM DEZEMBRO, QUANDO SAIU DE CASA PARA CAMINHAR NA PRAIA DA PONTA NEGRA. UM EXAME DE DNA SERÁ FEITO PARA IDENTIFICAR SE OS RESTOS MORTAIS SÃO MESMO DO ESTUDANTE</t>
        </is>
      </c>
      <c r="J1305" t="inlineStr"/>
      <c r="K1305" t="n">
        <v>0</v>
      </c>
      <c r="L1305" t="n">
        <v>1</v>
      </c>
      <c r="M1305" t="n">
        <v>0</v>
      </c>
      <c r="N1305" t="n">
        <v>0</v>
      </c>
      <c r="O1305" t="n">
        <v>4</v>
      </c>
      <c r="P1305">
        <f>HYPERLINK("https://www.acritica.com/manaus/ossada-encontrada-na-ponta-negra-pode-ser-de-adolescente-desaparecido-em-2018-1.57681", "URL")</f>
        <v/>
      </c>
      <c r="Q1305">
        <f>HYPERLINK("https://raw.githubusercontent.com/marcosmapl/dataset_imigrantes/main/materias_filtered/a_critica/venezuelanos/2019/09_out/html/1.57681_451.html", "HTML")</f>
        <v/>
      </c>
      <c r="R1305">
        <f>HYPERLINK("https://raw.githubusercontent.com/marcosmapl/dataset_imigrantes/main/materias_filtered/a_critica/venezuelanos/2019/09_out/txt/1.57681_451.txt", "TXT")</f>
        <v/>
      </c>
    </row>
    <row r="1306">
      <c r="A1306" s="1" t="n">
        <v>1304</v>
      </c>
      <c r="B1306" t="n">
        <v>2019</v>
      </c>
      <c r="C1306" s="2" t="n">
        <v>43743.66458333333</v>
      </c>
      <c r="D1306" t="inlineStr">
        <is>
          <t>PORTAL AMAZONIA</t>
        </is>
      </c>
      <c r="E1306" t="inlineStr">
        <is>
          <t>AMBOS</t>
        </is>
      </c>
      <c r="F1306" t="inlineStr">
        <is>
          <t>EDUCAÇÃO</t>
        </is>
      </c>
      <c r="G1306" t="inlineStr">
        <is>
          <t>WILLIAM COSTA - WILLIAM.COSTA@PORTALAMAZONIA.COM</t>
        </is>
      </c>
      <c r="H1306" t="inlineStr">
        <is>
          <t>EM MANAUS, ESCOLA MUNICIPAL DÁ VOLTA POR CIMA E SE TORNA EXEMPLO DE TRANSFORMAÇÃO E INCLUSÃO</t>
        </is>
      </c>
      <c r="I1306" t="inlineStr">
        <is>
          <t>UMA ESCOLA DIFERENTE, ONDE ALUNOS, PROFESSORES, TÉCNICOS E A COMUNIDADE SE RELACIONAM DE UMA FORMA EM QUE HÁ COMPREENSÃO, ENTENDIMENTO E DIÁLOGO, E TEM NO ALUNO, O PROTAGONISTA DE TODA A TRANSFORMAÇÃO. A ESCOLA MUNICIPAL PROFESSOR WALDIR GARCIA, QUE</t>
        </is>
      </c>
      <c r="J1306" t="inlineStr">
        <is>
          <t>EDUCAÇÃO, EDUCACAO TRANSFORMADORA, ESCOLA WALDIR GARCIA</t>
        </is>
      </c>
      <c r="K1306" t="n">
        <v>3</v>
      </c>
      <c r="L1306" t="n">
        <v>8</v>
      </c>
      <c r="M1306" t="n">
        <v>0</v>
      </c>
      <c r="N1306" t="n">
        <v>0</v>
      </c>
      <c r="O1306" t="n">
        <v>8</v>
      </c>
      <c r="P1306">
        <f>HYPERLINK("https://portalamazonia.com/noticias/educacao/em-manaus-escola-municipal-da-volta-por-cima-e-se-torna-exemplo-de-transformacao-e-inclusao", "URL")</f>
        <v/>
      </c>
      <c r="Q1306">
        <f>HYPERLINK("https://raw.githubusercontent.com/marcosmapl/dataset_imigrantes/main/materias_filtered/portal_amazonia/ambos/2019/09_out/html/21843.61535_1530.html", "HTML")</f>
        <v/>
      </c>
      <c r="R1306">
        <f>HYPERLINK("https://raw.githubusercontent.com/marcosmapl/dataset_imigrantes/main/materias_filtered/portal_amazonia/ambos/2019/09_out/txt/21843.61535_1530.txt", "TXT")</f>
        <v/>
      </c>
    </row>
    <row r="1307">
      <c r="A1307" s="1" t="n">
        <v>1305</v>
      </c>
      <c r="B1307" t="n">
        <v>2019</v>
      </c>
      <c r="C1307" s="2" t="n">
        <v>43742.90963362269</v>
      </c>
      <c r="D1307" t="inlineStr">
        <is>
          <t>G1</t>
        </is>
      </c>
      <c r="E1307" t="inlineStr">
        <is>
          <t>HAITIANOS</t>
        </is>
      </c>
      <c r="F1307" t="inlineStr">
        <is>
          <t>MUNDO</t>
        </is>
      </c>
      <c r="G1307" t="inlineStr">
        <is>
          <t>G1</t>
        </is>
      </c>
      <c r="H1307" t="inlineStr">
        <is>
          <t>PROTESTOS CONTRA O GOVERNO DO HAITI SE INTENSIFICAM; MANIFESTANTES PEDEM SAÍDA DO PRESIDENTE</t>
        </is>
      </c>
      <c r="I1307" t="inlineStr">
        <is>
          <t>AO MENOS DUAS PESSOAS FORAM BALEADAS NESTA SEXTA-FEIRA, E MANIFESTANTES ACUSAM POLÍCIA DE DISPARAR COM ARMA DE FOGO CONTRA A MULTIDÃO. ITAMARATY EMITE ALERTA A BRASILEIROS NO HAITI.</t>
        </is>
      </c>
      <c r="J1307" t="inlineStr"/>
      <c r="K1307" t="n">
        <v>0</v>
      </c>
      <c r="L1307" t="n">
        <v>2</v>
      </c>
      <c r="M1307" t="n">
        <v>0</v>
      </c>
      <c r="N1307" t="n">
        <v>0</v>
      </c>
      <c r="O1307" t="n">
        <v>5</v>
      </c>
      <c r="P1307">
        <f>HYPERLINK("https://g1.globo.com/mundo/noticia/2019/10/04/protestos-contra-o-governo-do-haiti-se-intensificam-manifestantes-pedem-saida-do-presidente.ghtml", "URL")</f>
        <v/>
      </c>
      <c r="Q1307">
        <f>HYPERLINK("https://raw.githubusercontent.com/marcosmapl/dataset_imigrantes/main/materias_filtered/g1/haitianos/2019/09_out/html/g1_1da0e454-231f-11ed-b24f-6dbe51e79fca_3602.html", "HTML")</f>
        <v/>
      </c>
      <c r="R1307">
        <f>HYPERLINK("https://raw.githubusercontent.com/marcosmapl/dataset_imigrantes/main/materias_filtered/g1/haitianos/2019/09_out/txt/g1_1da0e454-231f-11ed-b24f-6dbe51e79fca_3602.txt", "TXT")</f>
        <v/>
      </c>
    </row>
    <row r="1308">
      <c r="A1308" s="1" t="n">
        <v>1306</v>
      </c>
      <c r="B1308" t="n">
        <v>2019</v>
      </c>
      <c r="C1308" s="2" t="n">
        <v>43741.80852672454</v>
      </c>
      <c r="D1308" t="inlineStr">
        <is>
          <t>G1</t>
        </is>
      </c>
      <c r="E1308" t="inlineStr">
        <is>
          <t>VENEZUELANOS</t>
        </is>
      </c>
      <c r="F1308" t="inlineStr">
        <is>
          <t>RORAIMA</t>
        </is>
      </c>
      <c r="G1308" t="inlineStr">
        <is>
          <t>G1 RR — BOA VISTA</t>
        </is>
      </c>
      <c r="H1308" t="inlineStr">
        <is>
          <t>CAMPANHA ARRECADA BRINQUEDOS, ROUPAS E CALÇADOS PARA CRIANÇAS VENEZUELANAS CARENTES EM RR</t>
        </is>
      </c>
      <c r="I1308" t="inlineStr">
        <is>
          <t>'EU SÓ QUERO LEVAR UM POUCO DE ALEGRIA PARA CRIANÇAS PORQUE AO MEU VER SÃO QUEM MAIS SOFRE', DISSE O IDEALIZADOR DA CAMPANHA, ALEJANDRO ARCAY.</t>
        </is>
      </c>
      <c r="J1308" t="inlineStr"/>
      <c r="K1308" t="n">
        <v>0</v>
      </c>
      <c r="L1308" t="n">
        <v>2</v>
      </c>
      <c r="M1308" t="n">
        <v>0</v>
      </c>
      <c r="N1308" t="n">
        <v>0</v>
      </c>
      <c r="O1308" t="n">
        <v>1</v>
      </c>
      <c r="P1308">
        <f>HYPERLINK("https://g1.globo.com/rr/roraima/noticia/2019/10/03/campanha-arrecada-brinquedos-roupas-e-calcados-para-criancas-venezuelanas-carentes-em-rr.ghtml", "URL")</f>
        <v/>
      </c>
      <c r="Q1308">
        <f>HYPERLINK("https://raw.githubusercontent.com/marcosmapl/dataset_imigrantes/main/materias_filtered/g1/venezuelanos/2019/09_out/html/g1_8078824e-2324-11ed-b24f-6dbe51e79fca_3874.html", "HTML")</f>
        <v/>
      </c>
      <c r="R1308">
        <f>HYPERLINK("https://raw.githubusercontent.com/marcosmapl/dataset_imigrantes/main/materias_filtered/g1/venezuelanos/2019/09_out/txt/g1_8078824e-2324-11ed-b24f-6dbe51e79fca_3874.txt", "TXT")</f>
        <v/>
      </c>
    </row>
    <row r="1309">
      <c r="A1309" s="1" t="n">
        <v>1307</v>
      </c>
      <c r="B1309" t="n">
        <v>2019</v>
      </c>
      <c r="C1309" s="2" t="n">
        <v>43740.80070730324</v>
      </c>
      <c r="D1309" t="inlineStr">
        <is>
          <t>G1</t>
        </is>
      </c>
      <c r="E1309" t="inlineStr">
        <is>
          <t>VENEZUELANOS</t>
        </is>
      </c>
      <c r="F1309" t="inlineStr">
        <is>
          <t>RORAIMA</t>
        </is>
      </c>
      <c r="G1309" t="inlineStr">
        <is>
          <t>G1 RR — BOA VISTA</t>
        </is>
      </c>
      <c r="H1309" t="inlineStr">
        <is>
          <t>FISCALIZAÇÃO APREENDE 44 KG DE QUEIJO CLANDESTINO DA VENEZUELA NA FRONTEIRA EM RR</t>
        </is>
      </c>
      <c r="I1309" t="inlineStr">
        <is>
          <t>CAMINHÃO CONDUZIDO POR UM BRASILEIRO FOI PARADO NA BARREIRA DE FISCALIZAÇÃO EM PACARAIMA.</t>
        </is>
      </c>
      <c r="J1309" t="inlineStr"/>
      <c r="K1309" t="n">
        <v>0</v>
      </c>
      <c r="L1309" t="n">
        <v>1</v>
      </c>
      <c r="M1309" t="n">
        <v>0</v>
      </c>
      <c r="N1309" t="n">
        <v>0</v>
      </c>
      <c r="O1309" t="n">
        <v>0</v>
      </c>
      <c r="P1309">
        <f>HYPERLINK("https://g1.globo.com/rr/roraima/noticia/2019/10/02/fiscalizacao-apreende-44-kg-de-queijo-clandestino-da-venezuela-na-fronteira-em-rr.ghtml", "URL")</f>
        <v/>
      </c>
      <c r="Q1309">
        <f>HYPERLINK("https://raw.githubusercontent.com/marcosmapl/dataset_imigrantes/main/materias_filtered/g1/venezuelanos/2019/09_out/html/g1_cc58a1ea-230a-11ed-b24f-6dbe51e79fca_2528.html", "HTML")</f>
        <v/>
      </c>
      <c r="R1309">
        <f>HYPERLINK("https://raw.githubusercontent.com/marcosmapl/dataset_imigrantes/main/materias_filtered/g1/venezuelanos/2019/09_out/txt/g1_cc58a1ea-230a-11ed-b24f-6dbe51e79fca_2528.txt", "TXT")</f>
        <v/>
      </c>
    </row>
    <row r="1310">
      <c r="A1310" s="1" t="n">
        <v>1308</v>
      </c>
      <c r="B1310" t="n">
        <v>2019</v>
      </c>
      <c r="C1310" s="2" t="n">
        <v>43739.57163449074</v>
      </c>
      <c r="D1310" t="inlineStr">
        <is>
          <t>G1</t>
        </is>
      </c>
      <c r="E1310" t="inlineStr">
        <is>
          <t>AMBOS</t>
        </is>
      </c>
      <c r="F1310" t="inlineStr">
        <is>
          <t>MATO GROSSO</t>
        </is>
      </c>
      <c r="G1310" t="inlineStr">
        <is>
          <t>G1 MT</t>
        </is>
      </c>
      <c r="H1310" t="inlineStr">
        <is>
          <t>CUIABÁ TEM 327 CRIANÇAS IMIGRANTES EM ESCOLAS; MAIORIA É VENEZUELANA E HAITIANA</t>
        </is>
      </c>
      <c r="I1310" t="inlineStr">
        <is>
          <t>NÚMERO DE CRIANÇAS ESTRANGEIRAS MATRICULADAS AUMENTOU CONSIDERAVELMENTE NOS ÚLTIMOS TRÊS ANOS.</t>
        </is>
      </c>
      <c r="J1310" t="inlineStr"/>
      <c r="K1310" t="n">
        <v>0</v>
      </c>
      <c r="L1310" t="n">
        <v>2</v>
      </c>
      <c r="M1310" t="n">
        <v>0</v>
      </c>
      <c r="N1310" t="n">
        <v>0</v>
      </c>
      <c r="O1310" t="n">
        <v>1</v>
      </c>
      <c r="P1310">
        <f>HYPERLINK("https://g1.globo.com/mt/mato-grosso/noticia/2019/10/01/cuiaba-tem-327-criancas-imigrantes-em-escolas-maioria-e-venezuelana-e-haitiana.ghtml", "URL")</f>
        <v/>
      </c>
      <c r="Q1310">
        <f>HYPERLINK("https://raw.githubusercontent.com/marcosmapl/dataset_imigrantes/main/materias_filtered/g1/ambos/2019/09_out/html/g1_ab1fdcee-2307-11ed-b24f-6dbe51e79fca_2334.html", "HTML")</f>
        <v/>
      </c>
      <c r="R1310">
        <f>HYPERLINK("https://raw.githubusercontent.com/marcosmapl/dataset_imigrantes/main/materias_filtered/g1/ambos/2019/09_out/txt/g1_ab1fdcee-2307-11ed-b24f-6dbe51e79fca_2334.txt", "TXT")</f>
        <v/>
      </c>
    </row>
    <row r="1311">
      <c r="A1311" s="1" t="n">
        <v>1309</v>
      </c>
      <c r="B1311" t="n">
        <v>2019</v>
      </c>
      <c r="C1311" s="2" t="n">
        <v>43739.00599046296</v>
      </c>
      <c r="D1311" t="inlineStr">
        <is>
          <t>G1</t>
        </is>
      </c>
      <c r="E1311" t="inlineStr">
        <is>
          <t>HAITIANOS</t>
        </is>
      </c>
      <c r="F1311" t="inlineStr">
        <is>
          <t>MUNDO</t>
        </is>
      </c>
      <c r="G1311" t="inlineStr">
        <is>
          <t>G1</t>
        </is>
      </c>
      <c r="H1311" t="inlineStr">
        <is>
          <t>JORNALISTA É BALEADO EM NOVO DIA DE PROTESTOS NO HAITI, DIZ RÁDIO</t>
        </is>
      </c>
      <c r="I1311" t="inlineStr">
        <is>
          <t>MANIFESTANTES PEDEM SAÍDA DO PRESIDENTE JOVENEL MOÏSE EM UM PAÍS EM PROFUNDA CRISE ECONÔMICA E POLÍTICA. POLICIAIS DISPARARAM CONTRA MANIFESTANTES COM ARMA DE FOGO, SEGUNDO DENÚNCIAS.</t>
        </is>
      </c>
      <c r="J1311" t="inlineStr"/>
      <c r="K1311" t="n">
        <v>0</v>
      </c>
      <c r="L1311" t="n">
        <v>2</v>
      </c>
      <c r="M1311" t="n">
        <v>0</v>
      </c>
      <c r="N1311" t="n">
        <v>0</v>
      </c>
      <c r="O1311" t="n">
        <v>2</v>
      </c>
      <c r="P1311">
        <f>HYPERLINK("https://g1.globo.com/mundo/noticia/2019/09/30/jornalista-e-baleado-em-novo-dia-de-protestos-no-haiti-diz-radio.ghtml", "URL")</f>
        <v/>
      </c>
      <c r="Q1311">
        <f>HYPERLINK("https://raw.githubusercontent.com/marcosmapl/dataset_imigrantes/main/materias_filtered/g1/haitianos/2019/09_out/html/g1_d62a9c28-230a-11ed-b24f-6dbe51e79fca_2531.html", "HTML")</f>
        <v/>
      </c>
      <c r="R1311">
        <f>HYPERLINK("https://raw.githubusercontent.com/marcosmapl/dataset_imigrantes/main/materias_filtered/g1/haitianos/2019/09_out/txt/g1_d62a9c28-230a-11ed-b24f-6dbe51e79fca_2531.txt", "TXT")</f>
        <v/>
      </c>
    </row>
    <row r="1312">
      <c r="A1312" s="1" t="n">
        <v>1310</v>
      </c>
      <c r="B1312" t="n">
        <v>2019</v>
      </c>
      <c r="C1312" s="2" t="n">
        <v>43738.83259175926</v>
      </c>
      <c r="D1312" t="inlineStr">
        <is>
          <t>G1</t>
        </is>
      </c>
      <c r="E1312" t="inlineStr">
        <is>
          <t>VENEZUELANOS</t>
        </is>
      </c>
      <c r="F1312" t="inlineStr">
        <is>
          <t>MATO GROSSO</t>
        </is>
      </c>
      <c r="G1312" t="inlineStr">
        <is>
          <t>G1 MT</t>
        </is>
      </c>
      <c r="H1312" t="inlineStr">
        <is>
          <t>VENEZUELANO É PRESO APÓS AGREDIR NAMORADA COM SOCO NO ROSTO EM CUIABÁ</t>
        </is>
      </c>
      <c r="I1312" t="inlineStr">
        <is>
          <t>SEGUNDO A VÍTIMA, ELE DEU UM SOCO NO ROSTO DELA, DERRUBANDO-A NO CHÃO. ELA APRESENTAVA FERIMENTOS NO ROSTO E NAS PERNAS.</t>
        </is>
      </c>
      <c r="J1312" t="inlineStr"/>
      <c r="K1312" t="n">
        <v>0</v>
      </c>
      <c r="L1312" t="n">
        <v>0</v>
      </c>
      <c r="M1312" t="n">
        <v>0</v>
      </c>
      <c r="N1312" t="n">
        <v>0</v>
      </c>
      <c r="O1312" t="n">
        <v>0</v>
      </c>
      <c r="P1312">
        <f>HYPERLINK("https://g1.globo.com/mt/mato-grosso/noticia/2019/09/30/venezuelano-e-preso-apos-agredir-namorada-com-soco-no-rosto-em-cuiaba.ghtml", "URL")</f>
        <v/>
      </c>
      <c r="Q1312">
        <f>HYPERLINK("https://raw.githubusercontent.com/marcosmapl/dataset_imigrantes/main/materias_filtered/g1/venezuelanos/2019/08_set/html/g1_c5097a32-2318-11ed-b24f-6dbe51e79fca_3278.html", "HTML")</f>
        <v/>
      </c>
      <c r="R1312">
        <f>HYPERLINK("https://raw.githubusercontent.com/marcosmapl/dataset_imigrantes/main/materias_filtered/g1/venezuelanos/2019/08_set/txt/g1_c5097a32-2318-11ed-b24f-6dbe51e79fca_3278.txt", "TXT")</f>
        <v/>
      </c>
    </row>
    <row r="1313">
      <c r="A1313" s="1" t="n">
        <v>1311</v>
      </c>
      <c r="B1313" t="n">
        <v>2019</v>
      </c>
      <c r="C1313" s="2" t="n">
        <v>43738.55391203704</v>
      </c>
      <c r="D1313" t="inlineStr">
        <is>
          <t>A CRITICA</t>
        </is>
      </c>
      <c r="E1313" t="inlineStr">
        <is>
          <t>VENEZUELANOS</t>
        </is>
      </c>
      <c r="F1313" t="inlineStr"/>
      <c r="G1313" t="inlineStr">
        <is>
          <t>REUTERS</t>
        </is>
      </c>
      <c r="H1313" t="inlineStr">
        <is>
          <t>MADURO ACUSA GOVERNO PERUANO DE COMETER XENOFOBIA CONTRA IMIGRANTES</t>
        </is>
      </c>
      <c r="I1313" t="inlineStr">
        <is>
          <t>O CLIMA PARECE PARTICULARMENTE TENSO NO PERU, ONDE VÍDEOS CIRCULANDO NAS REDES SOCIAIS NOS ÚLTIMOS DIAS PARECEM MOSTRAR UMA JOVEM VENEZUELANA SENDO ESPANCADA NA RUA</t>
        </is>
      </c>
      <c r="J1313" t="inlineStr"/>
      <c r="K1313" t="n">
        <v>0</v>
      </c>
      <c r="L1313" t="n">
        <v>1</v>
      </c>
      <c r="M1313" t="n">
        <v>0</v>
      </c>
      <c r="N1313" t="n">
        <v>0</v>
      </c>
      <c r="O1313" t="n">
        <v>0</v>
      </c>
      <c r="P1313">
        <f>HYPERLINK("https://www.acritica.com/maduro-acusa-governo-peruano-de-cometer-xenofobia-contra-imigrantes-1.58634", "URL")</f>
        <v/>
      </c>
      <c r="Q1313">
        <f>HYPERLINK("https://raw.githubusercontent.com/marcosmapl/dataset_imigrantes/main/materias_filtered/a_critica/venezuelanos/2019/08_set/html/1.58634_718.html", "HTML")</f>
        <v/>
      </c>
      <c r="R1313">
        <f>HYPERLINK("https://raw.githubusercontent.com/marcosmapl/dataset_imigrantes/main/materias_filtered/a_critica/venezuelanos/2019/08_set/txt/1.58634_718.txt", "TXT")</f>
        <v/>
      </c>
    </row>
    <row r="1314">
      <c r="A1314" s="1" t="n">
        <v>1312</v>
      </c>
      <c r="B1314" t="n">
        <v>2019</v>
      </c>
      <c r="C1314" s="2" t="n">
        <v>43738.42777777778</v>
      </c>
      <c r="D1314" t="inlineStr">
        <is>
          <t>A CRITICA</t>
        </is>
      </c>
      <c r="E1314" t="inlineStr">
        <is>
          <t>VENEZUELANOS</t>
        </is>
      </c>
      <c r="F1314" t="inlineStr">
        <is>
          <t>MANAUS</t>
        </is>
      </c>
      <c r="G1314" t="inlineStr">
        <is>
          <t>LARISSA CAVALCANTE</t>
        </is>
      </c>
      <c r="H1314" t="inlineStr">
        <is>
          <t>EM MANAUS, TRABALHADORES SEM CARTEIRA ASSINADA LUTAM PELA SOBREVIVÊNCIA</t>
        </is>
      </c>
      <c r="I1314" t="inlineStr">
        <is>
          <t>MARCO ALEXIS, DE 51 ANOS, É UM DOS 38,8 MILHÕES DE TRABALHADORES POR CONTA PRÓPRIA OU SEM CARTEIRA ASSINADA NO PAÍS. QUASE METADE DO PAÍS VIVE NESTA SITUAÇÃO, DIZ IBGE</t>
        </is>
      </c>
      <c r="J1314" t="inlineStr"/>
      <c r="K1314" t="n">
        <v>0</v>
      </c>
      <c r="L1314" t="n">
        <v>1</v>
      </c>
      <c r="M1314" t="n">
        <v>0</v>
      </c>
      <c r="N1314" t="n">
        <v>0</v>
      </c>
      <c r="O1314" t="n">
        <v>0</v>
      </c>
      <c r="P1314">
        <f>HYPERLINK("https://www.acritica.com/manaus/em-manaus-trabalhadores-sem-carteira-assinada-lutam-pela-sobrevivencia-1.58642", "URL")</f>
        <v/>
      </c>
      <c r="Q1314">
        <f>HYPERLINK("https://raw.githubusercontent.com/marcosmapl/dataset_imigrantes/main/materias_filtered/a_critica/venezuelanos/2019/08_set/html/1.58642_1324.html", "HTML")</f>
        <v/>
      </c>
      <c r="R1314">
        <f>HYPERLINK("https://raw.githubusercontent.com/marcosmapl/dataset_imigrantes/main/materias_filtered/a_critica/venezuelanos/2019/08_set/txt/1.58642_1324.txt", "TXT")</f>
        <v/>
      </c>
    </row>
    <row r="1315">
      <c r="A1315" s="1" t="n">
        <v>1313</v>
      </c>
      <c r="B1315" t="n">
        <v>2019</v>
      </c>
      <c r="C1315" s="2" t="n">
        <v>43738.33380796296</v>
      </c>
      <c r="D1315" t="inlineStr">
        <is>
          <t>G1</t>
        </is>
      </c>
      <c r="E1315" t="inlineStr">
        <is>
          <t>VENEZUELANOS</t>
        </is>
      </c>
      <c r="F1315" t="inlineStr">
        <is>
          <t>CEARÁ</t>
        </is>
      </c>
      <c r="G1315" t="inlineStr">
        <is>
          <t>MATHEUS FACUNDO, G1 CE</t>
        </is>
      </c>
      <c r="H1315" t="inlineStr">
        <is>
          <t>VOLUNTÁRIO ABRIGA 40 REFUGIADOS VENEZUELANOS NO CEARÁ</t>
        </is>
      </c>
      <c r="I1315" t="inlineStr">
        <is>
          <t>GRUPO FOI ENCONTRADO EM MAIO DESTE ANO VIVENDO EM SITUAÇÃO DE VULNERABILIDADE EXTREMA NO CENTRO DE FORTALEZA E PEDINDO AJUDA NAS RUAS DA CIDADE.</t>
        </is>
      </c>
      <c r="J1315" t="inlineStr"/>
      <c r="K1315" t="n">
        <v>0</v>
      </c>
      <c r="L1315" t="n">
        <v>1</v>
      </c>
      <c r="M1315" t="n">
        <v>0</v>
      </c>
      <c r="N1315" t="n">
        <v>0</v>
      </c>
      <c r="O1315" t="n">
        <v>1</v>
      </c>
      <c r="P1315">
        <f>HYPERLINK("https://g1.globo.com/ce/ceara/noticia/2019/09/30/voluntario-abriga-40-refugiados-venezuelanos-em-imovel-na-grande-fortaleza-grupo-ja-tem-primeiro-recem-nascido.ghtml", "URL")</f>
        <v/>
      </c>
      <c r="Q1315">
        <f>HYPERLINK("https://raw.githubusercontent.com/marcosmapl/dataset_imigrantes/main/materias_filtered/g1/venezuelanos/2019/08_set/html/g1_bb46621c-2322-11ed-b24f-6dbe51e79fca_3769.html", "HTML")</f>
        <v/>
      </c>
      <c r="R1315">
        <f>HYPERLINK("https://raw.githubusercontent.com/marcosmapl/dataset_imigrantes/main/materias_filtered/g1/venezuelanos/2019/08_set/txt/g1_bb46621c-2322-11ed-b24f-6dbe51e79fca_3769.txt", "TXT")</f>
        <v/>
      </c>
    </row>
    <row r="1316">
      <c r="A1316" s="1" t="n">
        <v>1314</v>
      </c>
      <c r="B1316" t="n">
        <v>2019</v>
      </c>
      <c r="C1316" s="2" t="n">
        <v>43734.75813019676</v>
      </c>
      <c r="D1316" t="inlineStr">
        <is>
          <t>G1</t>
        </is>
      </c>
      <c r="E1316" t="inlineStr">
        <is>
          <t>VENEZUELANOS</t>
        </is>
      </c>
      <c r="F1316" t="inlineStr">
        <is>
          <t>RIO GRANDE DO NORTE</t>
        </is>
      </c>
      <c r="G1316" t="inlineStr">
        <is>
          <t>RAFAEL BARBOSA, G1 RN</t>
        </is>
      </c>
      <c r="H1316" t="inlineStr">
        <is>
          <t>ASSOCIAÇÃO BUSCA MORADIA PARA VENEZUELANOS INDÍGENAS QUE PEDEM DINHEIRO NAS RUAS DE NATAL</t>
        </is>
      </c>
      <c r="I1316" t="inlineStr">
        <is>
          <t>SEGUNDO A ASSOCIAÇÃO EM SOLIDARIEDADE AO IMIGRANTE DO RIO GRANDE DO NORTE (ASIRN), AO TODO, SÃO 19 PESSOAS QUE VIERAM DA VENEZUELA PARA SE INSTALAR NA CAPITAL POTIGUAR, E TODOS SÃO ÍNDIOS WARAO.</t>
        </is>
      </c>
      <c r="J1316" t="inlineStr"/>
      <c r="K1316" t="n">
        <v>0</v>
      </c>
      <c r="L1316" t="n">
        <v>2</v>
      </c>
      <c r="M1316" t="n">
        <v>0</v>
      </c>
      <c r="N1316" t="n">
        <v>0</v>
      </c>
      <c r="O1316" t="n">
        <v>1</v>
      </c>
      <c r="P1316">
        <f>HYPERLINK("https://g1.globo.com/rn/rio-grande-do-norte/noticia/2019/09/26/associacao-busca-moradia-para-venezuelanos-indigenas-que-pedem-dinheiro-nas-ruas-de-natal.ghtml", "URL")</f>
        <v/>
      </c>
      <c r="Q1316">
        <f>HYPERLINK("https://raw.githubusercontent.com/marcosmapl/dataset_imigrantes/main/materias_filtered/g1/venezuelanos/2019/08_set/html/g1_d291d724-231a-11ed-b24f-6dbe51e79fca_3356.html", "HTML")</f>
        <v/>
      </c>
      <c r="R1316">
        <f>HYPERLINK("https://raw.githubusercontent.com/marcosmapl/dataset_imigrantes/main/materias_filtered/g1/venezuelanos/2019/08_set/txt/g1_d291d724-231a-11ed-b24f-6dbe51e79fca_3356.txt", "TXT")</f>
        <v/>
      </c>
    </row>
    <row r="1317">
      <c r="A1317" s="1" t="n">
        <v>1315</v>
      </c>
      <c r="B1317" t="n">
        <v>2019</v>
      </c>
      <c r="C1317" s="2" t="n">
        <v>43732.76039690973</v>
      </c>
      <c r="D1317" t="inlineStr">
        <is>
          <t>G1</t>
        </is>
      </c>
      <c r="E1317" t="inlineStr">
        <is>
          <t>HAITIANOS</t>
        </is>
      </c>
      <c r="F1317" t="inlineStr">
        <is>
          <t>SOROCABA E JUNDIAÍ</t>
        </is>
      </c>
      <c r="G1317" t="inlineStr">
        <is>
          <t>G1 SOROCABA E JUNDIAÍ</t>
        </is>
      </c>
      <c r="H1317" t="inlineStr">
        <is>
          <t>BEBÊ COM SUSPEITA DE ENVENENAMENTO PELA MÃE DEIXA UTI DE HOSPITAL EM SOROCABA</t>
        </is>
      </c>
      <c r="I1317" t="inlineStr">
        <is>
          <t>FUNCIONÁRIA TERIA VISTO A MÃE, QUE É HAITIANA, FAZENDO MOVIMENTOS CIRCULARES DENTRO DA BOCA DO BEBÊ; APÓS VISITA DA MULHER, CRIANÇA QUE ESTAVA INTERNADA PARA TRATAMENTO DE PNEUMONIA APRESENTOU QUADRO DE INTOXICAÇÃO.</t>
        </is>
      </c>
      <c r="J1317" t="inlineStr"/>
      <c r="K1317" t="n">
        <v>0</v>
      </c>
      <c r="L1317" t="n">
        <v>1</v>
      </c>
      <c r="M1317" t="n">
        <v>0</v>
      </c>
      <c r="N1317" t="n">
        <v>0</v>
      </c>
      <c r="O1317" t="n">
        <v>2</v>
      </c>
      <c r="P1317">
        <f>HYPERLINK("https://g1.globo.com/sp/sorocaba-jundiai/noticia/2019/09/24/bebe-com-suspeita-de-envenenamento-pela-mae-deixa-uti-de-hospital-em-sorocaba.ghtml", "URL")</f>
        <v/>
      </c>
      <c r="Q1317">
        <f>HYPERLINK("https://raw.githubusercontent.com/marcosmapl/dataset_imigrantes/main/materias_filtered/g1/haitianos/2019/08_set/html/g1_802c1d08-2326-11ed-b24f-6dbe51e79fca_3980.html", "HTML")</f>
        <v/>
      </c>
      <c r="R1317">
        <f>HYPERLINK("https://raw.githubusercontent.com/marcosmapl/dataset_imigrantes/main/materias_filtered/g1/haitianos/2019/08_set/txt/g1_802c1d08-2326-11ed-b24f-6dbe51e79fca_3980.txt", "TXT")</f>
        <v/>
      </c>
    </row>
    <row r="1318">
      <c r="A1318" s="1" t="n">
        <v>1316</v>
      </c>
      <c r="B1318" t="n">
        <v>2019</v>
      </c>
      <c r="C1318" s="2" t="n">
        <v>43732.71357630787</v>
      </c>
      <c r="D1318" t="inlineStr">
        <is>
          <t>G1</t>
        </is>
      </c>
      <c r="E1318" t="inlineStr">
        <is>
          <t>VENEZUELANOS</t>
        </is>
      </c>
      <c r="F1318" t="inlineStr">
        <is>
          <t>SOROCABA E JUNDIAÍ</t>
        </is>
      </c>
      <c r="G1318" t="inlineStr">
        <is>
          <t>G1 SOROCABA E JUNDIAÍ</t>
        </is>
      </c>
      <c r="H1318" t="inlineStr">
        <is>
          <t>VENEZUELANOS SÃO ENCONTRADOS EM SITUAÇÃO ANÁLOGA À ESCRAVIDÃO EM VOTORANTIM</t>
        </is>
      </c>
      <c r="I1318" t="inlineStr">
        <is>
          <t>IMIGRANTES FORAM ENCONTRADOS NO INTERIOR DE SP DURANTE INVESTIGAÇÃO A EMPRESÁRIO SUSPEITO DE TRÁFICO DE PESSOAS EM RORAIMA. OPERAÇÃO DA POLÍCIA FEDERAL PRENDEU EMPRESÁRIO EM BOA VISTA. ELE É SUSPEITO DE ALICIAR VENEZUELANOS EM PACARAIMA.</t>
        </is>
      </c>
      <c r="J1318" t="inlineStr"/>
      <c r="K1318" t="n">
        <v>0</v>
      </c>
      <c r="L1318" t="n">
        <v>0</v>
      </c>
      <c r="M1318" t="n">
        <v>0</v>
      </c>
      <c r="N1318" t="n">
        <v>0</v>
      </c>
      <c r="O1318" t="n">
        <v>2</v>
      </c>
      <c r="P1318">
        <f>HYPERLINK("https://g1.globo.com/sp/sorocaba-jundiai/noticia/2019/09/24/venezuelanos-sao-encontrados-em-situacao-analoga-a-escravidao-em-votorantim.ghtml", "URL")</f>
        <v/>
      </c>
      <c r="Q1318">
        <f>HYPERLINK("https://raw.githubusercontent.com/marcosmapl/dataset_imigrantes/main/materias_filtered/g1/venezuelanos/2019/08_set/html/g1_6f46d278-2324-11ed-b24f-6dbe51e79fca_3871.html", "HTML")</f>
        <v/>
      </c>
      <c r="R1318">
        <f>HYPERLINK("https://raw.githubusercontent.com/marcosmapl/dataset_imigrantes/main/materias_filtered/g1/venezuelanos/2019/08_set/txt/g1_6f46d278-2324-11ed-b24f-6dbe51e79fca_3871.txt", "TXT")</f>
        <v/>
      </c>
    </row>
    <row r="1319">
      <c r="A1319" s="1" t="n">
        <v>1317</v>
      </c>
      <c r="B1319" t="n">
        <v>2019</v>
      </c>
      <c r="C1319" s="2" t="n">
        <v>43732.4759287037</v>
      </c>
      <c r="D1319" t="inlineStr">
        <is>
          <t>G1</t>
        </is>
      </c>
      <c r="E1319" t="inlineStr">
        <is>
          <t>VENEZUELANOS</t>
        </is>
      </c>
      <c r="F1319" t="inlineStr">
        <is>
          <t>MATO GROSSO</t>
        </is>
      </c>
      <c r="G1319" t="inlineStr">
        <is>
          <t>G1 MT</t>
        </is>
      </c>
      <c r="H1319" t="inlineStr">
        <is>
          <t>ADOLESCENTE, VENEZUELANA E PEDESTRE SÃO ATINGIDOS POR DESCARGA ELÉTRICA DURANTE TEMPORAL EM CUIABÁ</t>
        </is>
      </c>
      <c r="I1319" t="inlineStr">
        <is>
          <t>RAIO ARREBENTOU FIAÇÃO ELÉTRICA QUE ACABOU ATINGINDO AS TRÊS VÍTIMAS NA AVENIDA MIGUEL SUTIL.</t>
        </is>
      </c>
      <c r="J1319" t="inlineStr"/>
      <c r="K1319" t="n">
        <v>0</v>
      </c>
      <c r="L1319" t="n">
        <v>0</v>
      </c>
      <c r="M1319" t="n">
        <v>0</v>
      </c>
      <c r="N1319" t="n">
        <v>0</v>
      </c>
      <c r="O1319" t="n">
        <v>0</v>
      </c>
      <c r="P1319">
        <f>HYPERLINK("https://g1.globo.com/mt/mato-grosso/noticia/2019/09/24/adolescente-venezuelana-e-pedestre-sao-atingidos-por-descarga-eletrica-durante-temporal-em-cuiaba.ghtml", "URL")</f>
        <v/>
      </c>
      <c r="Q1319">
        <f>HYPERLINK("https://raw.githubusercontent.com/marcosmapl/dataset_imigrantes/main/materias_filtered/g1/venezuelanos/2019/08_set/html/g1_00ebefd8-2325-11ed-b24f-6dbe51e79fca_3893.html", "HTML")</f>
        <v/>
      </c>
      <c r="R1319">
        <f>HYPERLINK("https://raw.githubusercontent.com/marcosmapl/dataset_imigrantes/main/materias_filtered/g1/venezuelanos/2019/08_set/txt/g1_00ebefd8-2325-11ed-b24f-6dbe51e79fca_3893.txt", "TXT")</f>
        <v/>
      </c>
    </row>
    <row r="1320">
      <c r="A1320" s="1" t="n">
        <v>1318</v>
      </c>
      <c r="B1320" t="n">
        <v>2019</v>
      </c>
      <c r="C1320" s="2" t="n">
        <v>43732.375</v>
      </c>
      <c r="D1320" t="inlineStr">
        <is>
          <t>A CRITICA</t>
        </is>
      </c>
      <c r="E1320" t="inlineStr">
        <is>
          <t>VENEZUELANOS</t>
        </is>
      </c>
      <c r="F1320" t="inlineStr">
        <is>
          <t>MANAUS</t>
        </is>
      </c>
      <c r="G1320" t="inlineStr">
        <is>
          <t>PAULO ANDRÉ NUNES</t>
        </is>
      </c>
      <c r="H1320" t="inlineStr">
        <is>
          <t>‘INVISÍVEIS’, VENEZUELANOS PCDS BUSCAM APOIO DURANTE AÇÃO HUMANITÁRIA</t>
        </is>
      </c>
      <c r="I1320" t="inlineStr">
        <is>
          <t>AÇÃO ORGANIZADA POR SECRETARIA LOCAL, COM APOIO DE PARCEIROS ENVOLVIDOS, OFERECEU SERVIÇOS HUMANITÁRIOS AOS MIGRANTES DA VENEZUELA; CONHEÇA AS HISTÓRIAS DRAMÁTICAS POR TRÁS DA VINDA DELES A MANAUS</t>
        </is>
      </c>
      <c r="J1320" t="inlineStr"/>
      <c r="K1320" t="n">
        <v>0</v>
      </c>
      <c r="L1320" t="n">
        <v>1</v>
      </c>
      <c r="M1320" t="n">
        <v>0</v>
      </c>
      <c r="N1320" t="n">
        <v>0</v>
      </c>
      <c r="O1320" t="n">
        <v>0</v>
      </c>
      <c r="P1320">
        <f>HYPERLINK("https://www.acritica.com/manaus/invisiveis-venezuelanos-pcds-buscam-apoio-durante-ac-o-humanitaria-1.58523", "URL")</f>
        <v/>
      </c>
      <c r="Q1320">
        <f>HYPERLINK("https://raw.githubusercontent.com/marcosmapl/dataset_imigrantes/main/materias_filtered/a_critica/venezuelanos/2019/08_set/html/1.58523_859.html", "HTML")</f>
        <v/>
      </c>
      <c r="R1320">
        <f>HYPERLINK("https://raw.githubusercontent.com/marcosmapl/dataset_imigrantes/main/materias_filtered/a_critica/venezuelanos/2019/08_set/txt/1.58523_859.txt", "TXT")</f>
        <v/>
      </c>
    </row>
    <row r="1321">
      <c r="A1321" s="1" t="n">
        <v>1319</v>
      </c>
      <c r="B1321" t="n">
        <v>2019</v>
      </c>
      <c r="C1321" s="2" t="n">
        <v>43731.84722918981</v>
      </c>
      <c r="D1321" t="inlineStr">
        <is>
          <t>G1</t>
        </is>
      </c>
      <c r="E1321" t="inlineStr">
        <is>
          <t>HAITIANOS</t>
        </is>
      </c>
      <c r="F1321" t="inlineStr">
        <is>
          <t>MUNDO</t>
        </is>
      </c>
      <c r="G1321" t="inlineStr">
        <is>
          <t>G1</t>
        </is>
      </c>
      <c r="H1321" t="inlineStr">
        <is>
          <t>SENADOR DISPARA CONTRA MANIFESTANTES EM FRENTE AO PARLAMENTO DO HAITI E DEIXA FERIDOS</t>
        </is>
      </c>
      <c r="I1321" t="inlineStr">
        <is>
          <t>FOTOJORNALISTA QUE VESTIA UM COLETE QUE O IDENTIFICAVA COMO IMPRENSA FOI ATINGIDO POR ESTILHAÇOS DE BALA. PAÍS VIVE ONDA DE VIOLÊNCIA E PROTESTOS.</t>
        </is>
      </c>
      <c r="J1321" t="inlineStr"/>
      <c r="K1321" t="n">
        <v>0</v>
      </c>
      <c r="L1321" t="n">
        <v>2</v>
      </c>
      <c r="M1321" t="n">
        <v>0</v>
      </c>
      <c r="N1321" t="n">
        <v>0</v>
      </c>
      <c r="O1321" t="n">
        <v>2</v>
      </c>
      <c r="P1321">
        <f>HYPERLINK("https://g1.globo.com/mundo/noticia/2019/09/23/senador-dispara-contra-manifestantes-em-frente-ao-parlamento-do-haiti-e-deixa-feridos.ghtml", "URL")</f>
        <v/>
      </c>
      <c r="Q1321">
        <f>HYPERLINK("https://raw.githubusercontent.com/marcosmapl/dataset_imigrantes/main/materias_filtered/g1/haitianos/2019/08_set/html/g1_4fcf7d36-230c-11ed-b24f-6dbe51e79fca_2617.html", "HTML")</f>
        <v/>
      </c>
      <c r="R1321">
        <f>HYPERLINK("https://raw.githubusercontent.com/marcosmapl/dataset_imigrantes/main/materias_filtered/g1/haitianos/2019/08_set/txt/g1_4fcf7d36-230c-11ed-b24f-6dbe51e79fca_2617.txt", "TXT")</f>
        <v/>
      </c>
    </row>
    <row r="1322">
      <c r="A1322" s="1" t="n">
        <v>1320</v>
      </c>
      <c r="B1322" t="n">
        <v>2019</v>
      </c>
      <c r="C1322" s="2" t="n">
        <v>43731.7405540625</v>
      </c>
      <c r="D1322" t="inlineStr">
        <is>
          <t>G1</t>
        </is>
      </c>
      <c r="E1322" t="inlineStr">
        <is>
          <t>HAITIANOS</t>
        </is>
      </c>
      <c r="F1322" t="inlineStr">
        <is>
          <t>MATO GROSSO</t>
        </is>
      </c>
      <c r="G1322" t="inlineStr">
        <is>
          <t>DENISE SOARES E ALEX BETTINARDI, G1 MT E CENTRO AMÉRICA FM</t>
        </is>
      </c>
      <c r="H1322" t="inlineStr">
        <is>
          <t>HAITIANO É ASSASSINADO A TIROS EM SUPOSTO ASSALTO ENQUANTO TRABALHAVA EM CONVENIÊNCIA EM MT</t>
        </is>
      </c>
      <c r="I1322" t="inlineStr">
        <is>
          <t>A PRINCIPAL SUSPEITA DA POLÍCIA É LATROCÍNIO E QUE A VÍTIMA TERIA REAGIDO AO ASSALTO.</t>
        </is>
      </c>
      <c r="J1322" t="inlineStr"/>
      <c r="K1322" t="n">
        <v>0</v>
      </c>
      <c r="L1322" t="n">
        <v>2</v>
      </c>
      <c r="M1322" t="n">
        <v>0</v>
      </c>
      <c r="N1322" t="n">
        <v>0</v>
      </c>
      <c r="O1322" t="n">
        <v>0</v>
      </c>
      <c r="P1322">
        <f>HYPERLINK("https://g1.globo.com/mt/mato-grosso/noticia/2019/09/23/haitiano-e-assassinado-a-tiros-em-suposto-assalto-enquanto-trabalhava-em-conveniencia-em-mt.ghtml", "URL")</f>
        <v/>
      </c>
      <c r="Q1322">
        <f>HYPERLINK("https://raw.githubusercontent.com/marcosmapl/dataset_imigrantes/main/materias_filtered/g1/haitianos/2019/08_set/html/g1_56914698-22fa-11ed-b24f-6dbe51e79fca_2212.html", "HTML")</f>
        <v/>
      </c>
      <c r="R1322">
        <f>HYPERLINK("https://raw.githubusercontent.com/marcosmapl/dataset_imigrantes/main/materias_filtered/g1/haitianos/2019/08_set/txt/g1_56914698-22fa-11ed-b24f-6dbe51e79fca_2212.txt", "TXT")</f>
        <v/>
      </c>
    </row>
    <row r="1323">
      <c r="A1323" s="1" t="n">
        <v>1321</v>
      </c>
      <c r="B1323" t="n">
        <v>2019</v>
      </c>
      <c r="C1323" s="2" t="n">
        <v>43731.72724537037</v>
      </c>
      <c r="D1323" t="inlineStr">
        <is>
          <t>A CRITICA</t>
        </is>
      </c>
      <c r="E1323" t="inlineStr">
        <is>
          <t>VENEZUELANOS</t>
        </is>
      </c>
      <c r="F1323" t="inlineStr"/>
      <c r="G1323" t="inlineStr">
        <is>
          <t>PORTAL A CRÍTICA</t>
        </is>
      </c>
      <c r="H1323" t="inlineStr">
        <is>
          <t>SEPED REALIZA ATENDIMENTO ÀS FAMÍLIAS VENEZUELANAS COM SERVIÇOS HUMANITÁRIOS</t>
        </is>
      </c>
      <c r="I1323" t="inlineStr">
        <is>
          <t>AÇÃO FAZ PARTE DA OPERAÇÃO ACOLHIDA E FOI REALIZADA DURANTE TODA A MANHÃ DESTA SEGUNDA-FEIRA (23)</t>
        </is>
      </c>
      <c r="J1323" t="inlineStr"/>
      <c r="K1323" t="n">
        <v>0</v>
      </c>
      <c r="L1323" t="n">
        <v>1</v>
      </c>
      <c r="M1323" t="n">
        <v>0</v>
      </c>
      <c r="N1323" t="n">
        <v>0</v>
      </c>
      <c r="O1323" t="n">
        <v>0</v>
      </c>
      <c r="P1323">
        <f>HYPERLINK("https://www.acritica.com/seped-realiza-atendimento-as-familias-venezuelanas-com-servicos-humanitarios-1.58543", "URL")</f>
        <v/>
      </c>
      <c r="Q1323">
        <f>HYPERLINK("https://raw.githubusercontent.com/marcosmapl/dataset_imigrantes/main/materias_filtered/a_critica/venezuelanos/2019/08_set/html/1.58543_587.html", "HTML")</f>
        <v/>
      </c>
      <c r="R1323">
        <f>HYPERLINK("https://raw.githubusercontent.com/marcosmapl/dataset_imigrantes/main/materias_filtered/a_critica/venezuelanos/2019/08_set/txt/1.58543_587.txt", "TXT")</f>
        <v/>
      </c>
    </row>
    <row r="1324">
      <c r="A1324" s="1" t="n">
        <v>1322</v>
      </c>
      <c r="B1324" t="n">
        <v>2019</v>
      </c>
      <c r="C1324" s="2" t="n">
        <v>43731.68276688657</v>
      </c>
      <c r="D1324" t="inlineStr">
        <is>
          <t>G1</t>
        </is>
      </c>
      <c r="E1324" t="inlineStr">
        <is>
          <t>HAITIANOS</t>
        </is>
      </c>
      <c r="F1324" t="inlineStr">
        <is>
          <t>SOROCABA E JUNDIAÍ</t>
        </is>
      </c>
      <c r="G1324" t="inlineStr">
        <is>
          <t>G1 SOROCABA E JUNDIAÍ</t>
        </is>
      </c>
      <c r="H1324" t="inlineStr">
        <is>
          <t>MÃE HAITIANA É SUSPEITA DE ENVENENAR FILHO DE 10 MESES DENTRO DE HOSPITAL EM SOROCABA</t>
        </is>
      </c>
      <c r="I1324" t="inlineStr">
        <is>
          <t>CRIANÇA SOFRE DE CARDIOPATIA E ESTÁ INTERNADA HÁ UM MÊS PARA TRATAR DE UMA PNEUMONIA; SEGUNDO A POLÍCIA, CRIANÇA COMEÇOU A PASSAR MAL APÓS VISITA DA MÃE. FUNCIONÁRIO TERIA VISTO MULHER FAZENDO MOVIMENTOS CIRCULARES NA BOCA DO BEBÊ.</t>
        </is>
      </c>
      <c r="J1324" t="inlineStr"/>
      <c r="K1324" t="n">
        <v>0</v>
      </c>
      <c r="L1324" t="n">
        <v>1</v>
      </c>
      <c r="M1324" t="n">
        <v>0</v>
      </c>
      <c r="N1324" t="n">
        <v>0</v>
      </c>
      <c r="O1324" t="n">
        <v>1</v>
      </c>
      <c r="P1324">
        <f>HYPERLINK("https://g1.globo.com/sp/sorocaba-jundiai/noticia/2019/09/23/mae-e-suspeita-de-envenenar-filho-de-10-meses-dentro-de-hospital-em-sorocaba.ghtml", "URL")</f>
        <v/>
      </c>
      <c r="Q1324">
        <f>HYPERLINK("https://raw.githubusercontent.com/marcosmapl/dataset_imigrantes/main/materias_filtered/g1/haitianos/2019/08_set/html/g1_dae116d8-2310-11ed-b24f-6dbe51e79fca_2880.html", "HTML")</f>
        <v/>
      </c>
      <c r="R1324">
        <f>HYPERLINK("https://raw.githubusercontent.com/marcosmapl/dataset_imigrantes/main/materias_filtered/g1/haitianos/2019/08_set/txt/g1_dae116d8-2310-11ed-b24f-6dbe51e79fca_2880.txt", "TXT")</f>
        <v/>
      </c>
    </row>
    <row r="1325">
      <c r="A1325" s="1" t="n">
        <v>1323</v>
      </c>
      <c r="B1325" t="n">
        <v>2019</v>
      </c>
      <c r="C1325" s="2" t="n">
        <v>43730.86664487269</v>
      </c>
      <c r="D1325" t="inlineStr">
        <is>
          <t>G1</t>
        </is>
      </c>
      <c r="E1325" t="inlineStr">
        <is>
          <t>VENEZUELANOS</t>
        </is>
      </c>
      <c r="F1325" t="inlineStr">
        <is>
          <t>RORAIMA</t>
        </is>
      </c>
      <c r="G1325" t="inlineStr">
        <is>
          <t>FABRÍCIO ARAÚJO, G1 RR — BOA VISTA</t>
        </is>
      </c>
      <c r="H1325" t="inlineStr">
        <is>
          <t>EM VÍDEO, TRAVESTI VENEZUELANA É ESPANCADA E ACUSADA DE ROUBO EM RR; 'AQUI É BRASIL', DIZ AGRESSOR</t>
        </is>
      </c>
      <c r="I1325" t="inlineStr">
        <is>
          <t>ASSOCIAÇÃO DE TRAVESTIS E TRANSEXUAIS DE RORAIMA CLASSIFICOU ATO COMO DEMONSTRAÇÃO DE XENOFOBIA E TRANSFOBIA E COBROU INVESTIGAÇÃO. POLÍCIA DIZ QUE VAI APURAR TANTO ACUSAÇÃO DE ROUBO QUANTO AGRESSÃO.</t>
        </is>
      </c>
      <c r="J1325" t="inlineStr"/>
      <c r="K1325" t="n">
        <v>0</v>
      </c>
      <c r="L1325" t="n">
        <v>0</v>
      </c>
      <c r="M1325" t="n">
        <v>0</v>
      </c>
      <c r="N1325" t="n">
        <v>0</v>
      </c>
      <c r="O1325" t="n">
        <v>2</v>
      </c>
      <c r="P1325">
        <f>HYPERLINK("https://g1.globo.com/rr/roraima/noticia/2019/09/22/em-video-travesti-venezuelana-e-espancada-e-acusada-de-roubo-em-rr-aqui-e-brasil-diz-agressor.ghtml", "URL")</f>
        <v/>
      </c>
      <c r="Q1325">
        <f>HYPERLINK("https://raw.githubusercontent.com/marcosmapl/dataset_imigrantes/main/materias_filtered/g1/venezuelanos/2019/08_set/html/g1_5e85d752-2312-11ed-b24f-6dbe51e79fca_2963.html", "HTML")</f>
        <v/>
      </c>
      <c r="R1325">
        <f>HYPERLINK("https://raw.githubusercontent.com/marcosmapl/dataset_imigrantes/main/materias_filtered/g1/venezuelanos/2019/08_set/txt/g1_5e85d752-2312-11ed-b24f-6dbe51e79fca_2963.txt", "TXT")</f>
        <v/>
      </c>
    </row>
    <row r="1326">
      <c r="A1326" s="1" t="n">
        <v>1324</v>
      </c>
      <c r="B1326" t="n">
        <v>2019</v>
      </c>
      <c r="C1326" s="2" t="n">
        <v>43730.70666666667</v>
      </c>
      <c r="D1326" t="inlineStr">
        <is>
          <t>A CRITICA</t>
        </is>
      </c>
      <c r="E1326" t="inlineStr">
        <is>
          <t>VENEZUELANOS</t>
        </is>
      </c>
      <c r="F1326" t="inlineStr"/>
      <c r="G1326" t="inlineStr">
        <is>
          <t>AFP</t>
        </is>
      </c>
      <c r="H1326" t="inlineStr">
        <is>
          <t>"ME DÁ PENA PELO BRASIL", DIZ MICHELLE BACHELET DEPOIS DE POLÊMICA COM BOLSONARO</t>
        </is>
      </c>
      <c r="I1326" t="inlineStr">
        <is>
          <t>"SE HÁ UMA PESSOA QUE DIZ QUE EM SEU PAÍS NUNCA HOUVE DITADURA, QUE NÃO HOUVE TORTURA, BEM, QUE DIA QUE A MORTE DE MEU PAI POR TORTURA PERMITIU QUE (O CHILE) NÃO FOSSE OUTRA CUBA, A VERDADE É QUE ME DÁ PENA PELO BRASIL", DISSE BACHELET EM ENTREVISTA À TELEVISÃO NACIONAL DO CHILE (TVN).</t>
        </is>
      </c>
      <c r="J1326" t="inlineStr"/>
      <c r="K1326" t="n">
        <v>0</v>
      </c>
      <c r="L1326" t="n">
        <v>1</v>
      </c>
      <c r="M1326" t="n">
        <v>0</v>
      </c>
      <c r="N1326" t="n">
        <v>0</v>
      </c>
      <c r="O1326" t="n">
        <v>0</v>
      </c>
      <c r="P1326">
        <f>HYPERLINK("https://www.acritica.com/me-da-pena-pelo-brasil-diz-michelle-bachelet-depois-de-polemica-com-bolsonaro-1.59689", "URL")</f>
        <v/>
      </c>
      <c r="Q1326">
        <f>HYPERLINK("https://raw.githubusercontent.com/marcosmapl/dataset_imigrantes/main/materias_filtered/a_critica/venezuelanos/2019/08_set/html/1.59689_260.html", "HTML")</f>
        <v/>
      </c>
      <c r="R1326">
        <f>HYPERLINK("https://raw.githubusercontent.com/marcosmapl/dataset_imigrantes/main/materias_filtered/a_critica/venezuelanos/2019/08_set/txt/1.59689_260.txt", "TXT")</f>
        <v/>
      </c>
    </row>
    <row r="1327">
      <c r="A1327" s="1" t="n">
        <v>1325</v>
      </c>
      <c r="B1327" t="n">
        <v>2019</v>
      </c>
      <c r="C1327" s="2" t="n">
        <v>43729.69259259259</v>
      </c>
      <c r="D1327" t="inlineStr">
        <is>
          <t>A CRITICA</t>
        </is>
      </c>
      <c r="E1327" t="inlineStr">
        <is>
          <t>VENEZUELANOS</t>
        </is>
      </c>
      <c r="F1327" t="inlineStr">
        <is>
          <t>MANAUS</t>
        </is>
      </c>
      <c r="G1327" t="inlineStr">
        <is>
          <t>PORTAL A CRÍTICA</t>
        </is>
      </c>
      <c r="H1327" t="inlineStr">
        <is>
          <t>MUTIRÃO DE CIDADANIA ATENDE INDÍGENAS VENEZUELANOS DE ABRIGOS DA CAPITAL</t>
        </is>
      </c>
      <c r="I1327" t="inlineStr">
        <is>
          <t>CERCA DE 250 PESSOAS RECEBERAM ATENDIMENTOS NAS ÁREAS SOCIAIS, DE SAÚDE E CIDADANIA</t>
        </is>
      </c>
      <c r="J1327" t="inlineStr"/>
      <c r="K1327" t="n">
        <v>0</v>
      </c>
      <c r="L1327" t="n">
        <v>1</v>
      </c>
      <c r="M1327" t="n">
        <v>0</v>
      </c>
      <c r="N1327" t="n">
        <v>0</v>
      </c>
      <c r="O1327" t="n">
        <v>0</v>
      </c>
      <c r="P1327">
        <f>HYPERLINK("https://www.acritica.com/manaus/mutir-o-de-cidadania-atende-indigenas-venezuelanos-de-abrigos-da-capital-1.59648", "URL")</f>
        <v/>
      </c>
      <c r="Q1327">
        <f>HYPERLINK("https://raw.githubusercontent.com/marcosmapl/dataset_imigrantes/main/materias_filtered/a_critica/venezuelanos/2019/08_set/html/1.59648_287.html", "HTML")</f>
        <v/>
      </c>
      <c r="R1327">
        <f>HYPERLINK("https://raw.githubusercontent.com/marcosmapl/dataset_imigrantes/main/materias_filtered/a_critica/venezuelanos/2019/08_set/txt/1.59648_287.txt", "TXT")</f>
        <v/>
      </c>
    </row>
    <row r="1328">
      <c r="A1328" s="1" t="n">
        <v>1326</v>
      </c>
      <c r="B1328" t="n">
        <v>2019</v>
      </c>
      <c r="C1328" s="2" t="n">
        <v>43728.54903935185</v>
      </c>
      <c r="D1328" t="inlineStr">
        <is>
          <t>A CRITICA</t>
        </is>
      </c>
      <c r="E1328" t="inlineStr">
        <is>
          <t>VENEZUELANOS</t>
        </is>
      </c>
      <c r="F1328" t="inlineStr"/>
      <c r="G1328" t="inlineStr">
        <is>
          <t>AGÊNCIA BRASIL</t>
        </is>
      </c>
      <c r="H1328" t="inlineStr">
        <is>
          <t>GUAIDÓ CRIA CONSELHO PARA CONVOCAR ELEIÇÕES PRESIDENCIAIS NA VENEZUELA</t>
        </is>
      </c>
      <c r="I1328" t="inlineStr">
        <is>
          <t>SEGUNDO ELE, COM A CRIAÇÃO DO CONSELHO, A OPOSIÇÃO RATIFICA O PLANO CENTRADO NUMA MUDANÇA DE REGIME NO PAÍS</t>
        </is>
      </c>
      <c r="J1328" t="inlineStr"/>
      <c r="K1328" t="n">
        <v>0</v>
      </c>
      <c r="L1328" t="n">
        <v>1</v>
      </c>
      <c r="M1328" t="n">
        <v>0</v>
      </c>
      <c r="N1328" t="n">
        <v>0</v>
      </c>
      <c r="O1328" t="n">
        <v>0</v>
      </c>
      <c r="P1328">
        <f>HYPERLINK("https://www.acritica.com/guaido-cria-conselho-para-convocar-eleic-es-presidenciais-na-venezuela-1.58588", "URL")</f>
        <v/>
      </c>
      <c r="Q1328">
        <f>HYPERLINK("https://raw.githubusercontent.com/marcosmapl/dataset_imigrantes/main/materias_filtered/a_critica/venezuelanos/2019/08_set/html/1.58588_631.html", "HTML")</f>
        <v/>
      </c>
      <c r="R1328">
        <f>HYPERLINK("https://raw.githubusercontent.com/marcosmapl/dataset_imigrantes/main/materias_filtered/a_critica/venezuelanos/2019/08_set/txt/1.58588_631.txt", "TXT")</f>
        <v/>
      </c>
    </row>
    <row r="1329">
      <c r="A1329" s="1" t="n">
        <v>1327</v>
      </c>
      <c r="B1329" t="n">
        <v>2019</v>
      </c>
      <c r="C1329" s="2" t="n">
        <v>43726.62524423611</v>
      </c>
      <c r="D1329" t="inlineStr">
        <is>
          <t>G1</t>
        </is>
      </c>
      <c r="E1329" t="inlineStr">
        <is>
          <t>VENEZUELANOS</t>
        </is>
      </c>
      <c r="F1329" t="inlineStr">
        <is>
          <t>RIO GRANDE DO NORTE</t>
        </is>
      </c>
      <c r="G1329" t="inlineStr">
        <is>
          <t>ANNA ALYNE CUNHA E RAFAEL BARBOSA, INTER TV CABUGI E G1 RN</t>
        </is>
      </c>
      <c r="H1329" t="inlineStr">
        <is>
          <t>SEM MORADIA, VENEZUELANOS REFUGIADOS PEDEM DINHEIRO NAS RUAS DE NATAL</t>
        </is>
      </c>
      <c r="I1329" t="inlineStr">
        <is>
          <t>PELO MENOS SEIS FAMÍLIAS ESTÃO NA MESMA SITUAÇÃO, SEM ABRIGO. GRUPO CHEGOU A NATAL HÁ QUATRO DIAS.</t>
        </is>
      </c>
      <c r="J1329" t="inlineStr"/>
      <c r="K1329" t="n">
        <v>0</v>
      </c>
      <c r="L1329" t="n">
        <v>3</v>
      </c>
      <c r="M1329" t="n">
        <v>1</v>
      </c>
      <c r="N1329" t="n">
        <v>0</v>
      </c>
      <c r="O1329" t="n">
        <v>1</v>
      </c>
      <c r="P1329">
        <f>HYPERLINK("https://g1.globo.com/rn/rio-grande-do-norte/noticia/2019/09/18/sem-moradia-venezuelanos-refugiados-pedem-dinheiro-nas-ruas-de-natal.ghtml", "URL")</f>
        <v/>
      </c>
      <c r="Q1329">
        <f>HYPERLINK("https://raw.githubusercontent.com/marcosmapl/dataset_imigrantes/main/materias_filtered/g1/venezuelanos/2019/08_set/html/g1_63f93e94-2322-11ed-b24f-6dbe51e79fca_3750.html", "HTML")</f>
        <v/>
      </c>
      <c r="R1329">
        <f>HYPERLINK("https://raw.githubusercontent.com/marcosmapl/dataset_imigrantes/main/materias_filtered/g1/venezuelanos/2019/08_set/txt/g1_63f93e94-2322-11ed-b24f-6dbe51e79fca_3750.txt", "TXT")</f>
        <v/>
      </c>
    </row>
    <row r="1330">
      <c r="A1330" s="1" t="n">
        <v>1328</v>
      </c>
      <c r="B1330" t="n">
        <v>2019</v>
      </c>
      <c r="C1330" s="2" t="n">
        <v>43725.75427405092</v>
      </c>
      <c r="D1330" t="inlineStr">
        <is>
          <t>G1</t>
        </is>
      </c>
      <c r="E1330" t="inlineStr">
        <is>
          <t>VENEZUELANOS</t>
        </is>
      </c>
      <c r="F1330" t="inlineStr">
        <is>
          <t>RORAIMA</t>
        </is>
      </c>
      <c r="G1330" t="inlineStr">
        <is>
          <t>G1 RR — BOA VISTA</t>
        </is>
      </c>
      <c r="H1330" t="inlineStr">
        <is>
          <t>CAMPANHA ARRECADA MATERIAIS ESCOLARES EM BOA VISTA PARA ESTUDANTES DA VENEZUELA</t>
        </is>
      </c>
      <c r="I1330" t="inlineStr">
        <is>
          <t>CAMPANHA 'DOE AQUI, AJUDE LÁ' ESPERA ARRECADAR LÁPIS, CADERNOS, BORRACHAS, TÊNIS E OUTROS MATERIAIS PARA CRIANÇAS VENEZUELANAS.</t>
        </is>
      </c>
      <c r="J1330" t="inlineStr"/>
      <c r="K1330" t="n">
        <v>0</v>
      </c>
      <c r="L1330" t="n">
        <v>1</v>
      </c>
      <c r="M1330" t="n">
        <v>0</v>
      </c>
      <c r="N1330" t="n">
        <v>0</v>
      </c>
      <c r="O1330" t="n">
        <v>0</v>
      </c>
      <c r="P1330">
        <f>HYPERLINK("https://g1.globo.com/rr/roraima/noticia/2019/09/17/campanha-arrecada-materiais-escolares-em-boa-vista-para-estudantes-da-venezuela.ghtml", "URL")</f>
        <v/>
      </c>
      <c r="Q1330">
        <f>HYPERLINK("https://raw.githubusercontent.com/marcosmapl/dataset_imigrantes/main/materias_filtered/g1/venezuelanos/2019/08_set/html/g1_e8b3c93e-2308-11ed-b24f-6dbe51e79fca_2412.html", "HTML")</f>
        <v/>
      </c>
      <c r="R1330">
        <f>HYPERLINK("https://raw.githubusercontent.com/marcosmapl/dataset_imigrantes/main/materias_filtered/g1/venezuelanos/2019/08_set/txt/g1_e8b3c93e-2308-11ed-b24f-6dbe51e79fca_2412.txt", "TXT")</f>
        <v/>
      </c>
    </row>
    <row r="1331">
      <c r="A1331" s="1" t="n">
        <v>1329</v>
      </c>
      <c r="B1331" t="n">
        <v>2019</v>
      </c>
      <c r="C1331" s="2" t="n">
        <v>43725.04321871528</v>
      </c>
      <c r="D1331" t="inlineStr">
        <is>
          <t>G1</t>
        </is>
      </c>
      <c r="E1331" t="inlineStr">
        <is>
          <t>HAITIANOS</t>
        </is>
      </c>
      <c r="F1331" t="inlineStr">
        <is>
          <t>MUNDO</t>
        </is>
      </c>
      <c r="G1331" t="inlineStr">
        <is>
          <t>FRANCE PRESSE</t>
        </is>
      </c>
      <c r="H1331" t="inlineStr">
        <is>
          <t>MANIFESTANTES FECHAM RUAS NO HAITI EM DIA DE GREVE GERAL CONTRA ESCASSEZ DE COMBUSTÍVEIS</t>
        </is>
      </c>
      <c r="I1331" t="inlineStr">
        <is>
          <t>CAPITAL PORTO PRÍNCIPE TEVE RUAS FECHADAS E BARRICADAS INCENDIÁRIAS. SEM ESTOQUE E COM BRIGAS ENTRE MOTORISTAS, POSTOS DE GASOLINA SUSPENDERAM FORNECIMENTO DE COMBUSTÍVEIS.</t>
        </is>
      </c>
      <c r="J1331" t="inlineStr"/>
      <c r="K1331" t="n">
        <v>0</v>
      </c>
      <c r="L1331" t="n">
        <v>2</v>
      </c>
      <c r="M1331" t="n">
        <v>0</v>
      </c>
      <c r="N1331" t="n">
        <v>0</v>
      </c>
      <c r="O1331" t="n">
        <v>2</v>
      </c>
      <c r="P1331">
        <f>HYPERLINK("https://g1.globo.com/mundo/noticia/2019/09/16/manifestantes-fecham-ruas-no-haiti-em-dia-de-greve-geral-contra-escassez-de-combustiveis.ghtml", "URL")</f>
        <v/>
      </c>
      <c r="Q1331">
        <f>HYPERLINK("https://raw.githubusercontent.com/marcosmapl/dataset_imigrantes/main/materias_filtered/g1/haitianos/2019/08_set/html/g1_261ac5f0-2315-11ed-b24f-6dbe51e79fca_3070.html", "HTML")</f>
        <v/>
      </c>
      <c r="R1331">
        <f>HYPERLINK("https://raw.githubusercontent.com/marcosmapl/dataset_imigrantes/main/materias_filtered/g1/haitianos/2019/08_set/txt/g1_261ac5f0-2315-11ed-b24f-6dbe51e79fca_3070.txt", "TXT")</f>
        <v/>
      </c>
    </row>
    <row r="1332">
      <c r="A1332" s="1" t="n">
        <v>1330</v>
      </c>
      <c r="B1332" t="n">
        <v>2019</v>
      </c>
      <c r="C1332" s="2" t="n">
        <v>43724.99772631945</v>
      </c>
      <c r="D1332" t="inlineStr">
        <is>
          <t>G1</t>
        </is>
      </c>
      <c r="E1332" t="inlineStr">
        <is>
          <t>VENEZUELANOS</t>
        </is>
      </c>
      <c r="F1332" t="inlineStr">
        <is>
          <t>CEARÁ</t>
        </is>
      </c>
      <c r="G1332" t="inlineStr">
        <is>
          <t>G1 CE</t>
        </is>
      </c>
      <c r="H1332" t="inlineStr">
        <is>
          <t>VENEZUELANO É PRESO EM FLAGRANTE APÓS TENTAR FURTAR NOTEBOOK EM CASA DE CÂMBIO, EM FORTALEZA</t>
        </is>
      </c>
      <c r="I1332" t="inlineStr">
        <is>
          <t>O ESTRANGEIRO FOI CONTIDO PELOS FUNCIONÁRIOS DO ESTABELECIMENTO ATÉ A CHEGADA DA POLÍCIA.</t>
        </is>
      </c>
      <c r="J1332" t="inlineStr"/>
      <c r="K1332" t="n">
        <v>0</v>
      </c>
      <c r="L1332" t="n">
        <v>0</v>
      </c>
      <c r="M1332" t="n">
        <v>0</v>
      </c>
      <c r="N1332" t="n">
        <v>0</v>
      </c>
      <c r="O1332" t="n">
        <v>0</v>
      </c>
      <c r="P1332">
        <f>HYPERLINK("https://g1.globo.com/ce/ceara/noticia/2019/09/16/venezuelano-e-preso-em-flagrante-apos-tentar-furtar-notebook-em-casa-de-cambio-em-fortaleza.ghtml", "URL")</f>
        <v/>
      </c>
      <c r="Q1332">
        <f>HYPERLINK("https://raw.githubusercontent.com/marcosmapl/dataset_imigrantes/main/materias_filtered/g1/venezuelanos/2019/08_set/html/g1_088a62c2-2309-11ed-b24f-6dbe51e79fca_2421.html", "HTML")</f>
        <v/>
      </c>
      <c r="R1332">
        <f>HYPERLINK("https://raw.githubusercontent.com/marcosmapl/dataset_imigrantes/main/materias_filtered/g1/venezuelanos/2019/08_set/txt/g1_088a62c2-2309-11ed-b24f-6dbe51e79fca_2421.txt", "TXT")</f>
        <v/>
      </c>
    </row>
    <row r="1333">
      <c r="A1333" s="1" t="n">
        <v>1331</v>
      </c>
      <c r="B1333" t="n">
        <v>2019</v>
      </c>
      <c r="C1333" s="2" t="n">
        <v>43724.50743055555</v>
      </c>
      <c r="D1333" t="inlineStr">
        <is>
          <t>A CRITICA</t>
        </is>
      </c>
      <c r="E1333" t="inlineStr">
        <is>
          <t>VENEZUELANOS</t>
        </is>
      </c>
      <c r="F1333" t="inlineStr">
        <is>
          <t>MANAUS</t>
        </is>
      </c>
      <c r="G1333" t="inlineStr">
        <is>
          <t>PAULO ANDRÉ NUNES</t>
        </is>
      </c>
      <c r="H1333" t="inlineStr">
        <is>
          <t>HÁ CRIANÇAS VENEZUELANAS SEM OS PAIS EM MANAUS, ALERTA MP-AM</t>
        </is>
      </c>
      <c r="I1333" t="inlineStr">
        <is>
          <t>SEGUNDO O MINISTÉRIO PÚBLICO, VENEZUELANOS MORRERAM VINDO PARA O BRASIL E AMIGOS FICARAM COM CRIANÇAS</t>
        </is>
      </c>
      <c r="J1333" t="inlineStr"/>
      <c r="K1333" t="n">
        <v>0</v>
      </c>
      <c r="L1333" t="n">
        <v>1</v>
      </c>
      <c r="M1333" t="n">
        <v>0</v>
      </c>
      <c r="N1333" t="n">
        <v>0</v>
      </c>
      <c r="O1333" t="n">
        <v>0</v>
      </c>
      <c r="P1333">
        <f>HYPERLINK("https://www.acritica.com/manaus/ha-criancas-venezuelanas-sem-os-pais-em-manaus-alerta-mp-am-1.59839", "URL")</f>
        <v/>
      </c>
      <c r="Q1333">
        <f>HYPERLINK("https://raw.githubusercontent.com/marcosmapl/dataset_imigrantes/main/materias_filtered/a_critica/venezuelanos/2019/08_set/html/1.59839_1291.html", "HTML")</f>
        <v/>
      </c>
      <c r="R1333">
        <f>HYPERLINK("https://raw.githubusercontent.com/marcosmapl/dataset_imigrantes/main/materias_filtered/a_critica/venezuelanos/2019/08_set/txt/1.59839_1291.txt", "TXT")</f>
        <v/>
      </c>
    </row>
    <row r="1334">
      <c r="A1334" s="1" t="n">
        <v>1332</v>
      </c>
      <c r="B1334" t="n">
        <v>2019</v>
      </c>
      <c r="C1334" s="2" t="n">
        <v>43724.38608768518</v>
      </c>
      <c r="D1334" t="inlineStr">
        <is>
          <t>G1</t>
        </is>
      </c>
      <c r="E1334" t="inlineStr">
        <is>
          <t>VENEZUELANOS</t>
        </is>
      </c>
      <c r="F1334" t="inlineStr">
        <is>
          <t>MUNDO</t>
        </is>
      </c>
      <c r="G1334" t="inlineStr">
        <is>
          <t>G1</t>
        </is>
      </c>
      <c r="H1334" t="inlineStr">
        <is>
          <t>ESPANHA NEGA EXTRADIÇÃO DO EX-GENERAL VENEZUELANO HUGO CARVAJAL</t>
        </is>
      </c>
      <c r="I1334" t="inlineStr">
        <is>
          <t>ELE FOI PRESO POR POLICIAIS ESPANHÓIS EM ABRIL, A PEDIDO DE WASHINGTON, QUE ACREDITA QUE ELE POSSA COMPARTILHAR INFORMAÇÕES QUE POSSAM INCRIMINAR NICOLÁS MADURO.</t>
        </is>
      </c>
      <c r="J1334" t="inlineStr"/>
      <c r="K1334" t="n">
        <v>0</v>
      </c>
      <c r="L1334" t="n">
        <v>2</v>
      </c>
      <c r="M1334" t="n">
        <v>0</v>
      </c>
      <c r="N1334" t="n">
        <v>0</v>
      </c>
      <c r="O1334" t="n">
        <v>1</v>
      </c>
      <c r="P1334">
        <f>HYPERLINK("https://g1.globo.com/mundo/noticia/2019/09/16/espanha-nega-extradicao-do-ex-general-venezuelano-hugo-carvajal.ghtml", "URL")</f>
        <v/>
      </c>
      <c r="Q1334">
        <f>HYPERLINK("https://raw.githubusercontent.com/marcosmapl/dataset_imigrantes/main/materias_filtered/g1/venezuelanos/2019/08_set/html/g1_1648932e-231e-11ed-b24f-6dbe51e79fca_3539.html", "HTML")</f>
        <v/>
      </c>
      <c r="R1334">
        <f>HYPERLINK("https://raw.githubusercontent.com/marcosmapl/dataset_imigrantes/main/materias_filtered/g1/venezuelanos/2019/08_set/txt/g1_1648932e-231e-11ed-b24f-6dbe51e79fca_3539.txt", "TXT")</f>
        <v/>
      </c>
    </row>
    <row r="1335">
      <c r="A1335" s="1" t="n">
        <v>1333</v>
      </c>
      <c r="B1335" t="n">
        <v>2019</v>
      </c>
      <c r="C1335" s="2" t="n">
        <v>43723.7449537037</v>
      </c>
      <c r="D1335" t="inlineStr">
        <is>
          <t>A CRITICA</t>
        </is>
      </c>
      <c r="E1335" t="inlineStr">
        <is>
          <t>VENEZUELANOS</t>
        </is>
      </c>
      <c r="F1335" t="inlineStr">
        <is>
          <t>ESPORTES</t>
        </is>
      </c>
      <c r="G1335" t="inlineStr">
        <is>
          <t>LUCAS HENRIQUE</t>
        </is>
      </c>
      <c r="H1335" t="inlineStr">
        <is>
          <t>SEGUNDA EDIÇÃO DA 'CORRIDA TV LAR' MOVIMENTA DOMINGO EM MANAUS</t>
        </is>
      </c>
      <c r="I1335" t="inlineStr">
        <is>
          <t>CENTENAS DE APAIXONADOS POR PROVAS DE RUA PARTICIPARAM DO EVENTO NA MANHÃ DE HOJE, QUE PREMIOU COMPETIDORES EM ATÉ R$ 3 MIL</t>
        </is>
      </c>
      <c r="J1335" t="inlineStr"/>
      <c r="K1335" t="n">
        <v>0</v>
      </c>
      <c r="L1335" t="n">
        <v>1</v>
      </c>
      <c r="M1335" t="n">
        <v>0</v>
      </c>
      <c r="N1335" t="n">
        <v>0</v>
      </c>
      <c r="O1335" t="n">
        <v>0</v>
      </c>
      <c r="P1335">
        <f>HYPERLINK("https://www.acritica.com/esportes/segunda-edic-o-da-corrida-tv-lar-movimenta-domingo-em-manaus-1.58920", "URL")</f>
        <v/>
      </c>
      <c r="Q1335">
        <f>HYPERLINK("https://raw.githubusercontent.com/marcosmapl/dataset_imigrantes/main/materias_filtered/a_critica/venezuelanos/2019/08_set/html/1.58920_397.html", "HTML")</f>
        <v/>
      </c>
      <c r="R1335">
        <f>HYPERLINK("https://raw.githubusercontent.com/marcosmapl/dataset_imigrantes/main/materias_filtered/a_critica/venezuelanos/2019/08_set/txt/1.58920_397.txt", "TXT")</f>
        <v/>
      </c>
    </row>
    <row r="1336">
      <c r="A1336" s="1" t="n">
        <v>1334</v>
      </c>
      <c r="B1336" t="n">
        <v>2019</v>
      </c>
      <c r="C1336" s="2" t="n">
        <v>43722.91757212963</v>
      </c>
      <c r="D1336" t="inlineStr">
        <is>
          <t>G1</t>
        </is>
      </c>
      <c r="E1336" t="inlineStr">
        <is>
          <t>VENEZUELANOS</t>
        </is>
      </c>
      <c r="F1336" t="inlineStr">
        <is>
          <t>RORAIMA</t>
        </is>
      </c>
      <c r="G1336" t="inlineStr">
        <is>
          <t>G1 RR — BOA VISTA</t>
        </is>
      </c>
      <c r="H1336" t="inlineStr">
        <is>
          <t>BRASILEIRO AGARRA VENEZUELANA À FORÇA APÓS VÍTIMA PEDIR ÁGUA EM RESTAURANTE E ACABA PRESO EM RR</t>
        </is>
      </c>
      <c r="I1336" t="inlineStr">
        <is>
          <t>VÍTIMA CONTOU À FORÇA NACIONAL QUE SUSPEITO TOCOU EM SEU ÓRGÃO GENITAL LOGO APÓS LHE SERVIR A ÁGUA.</t>
        </is>
      </c>
      <c r="J1336" t="inlineStr"/>
      <c r="K1336" t="n">
        <v>0</v>
      </c>
      <c r="L1336" t="n">
        <v>1</v>
      </c>
      <c r="M1336" t="n">
        <v>0</v>
      </c>
      <c r="N1336" t="n">
        <v>0</v>
      </c>
      <c r="O1336" t="n">
        <v>0</v>
      </c>
      <c r="P1336">
        <f>HYPERLINK("https://g1.globo.com/rr/roraima/noticia/2019/09/14/brasileiro-agarra-venezuelana-a-forca-apos-vitima-pedir-agua-em-restaurante-e-acaba-preso-em-rr.ghtml", "URL")</f>
        <v/>
      </c>
      <c r="Q1336">
        <f>HYPERLINK("https://raw.githubusercontent.com/marcosmapl/dataset_imigrantes/main/materias_filtered/g1/venezuelanos/2019/08_set/html/g1_997f3a76-2324-11ed-b24f-6dbe51e79fca_3879.html", "HTML")</f>
        <v/>
      </c>
      <c r="R1336">
        <f>HYPERLINK("https://raw.githubusercontent.com/marcosmapl/dataset_imigrantes/main/materias_filtered/g1/venezuelanos/2019/08_set/txt/g1_997f3a76-2324-11ed-b24f-6dbe51e79fca_3879.txt", "TXT")</f>
        <v/>
      </c>
    </row>
    <row r="1337">
      <c r="A1337" s="1" t="n">
        <v>1335</v>
      </c>
      <c r="B1337" t="n">
        <v>2019</v>
      </c>
      <c r="C1337" s="2" t="n">
        <v>43722.71041666667</v>
      </c>
      <c r="D1337" t="inlineStr">
        <is>
          <t>A CRITICA</t>
        </is>
      </c>
      <c r="E1337" t="inlineStr">
        <is>
          <t>VENEZUELANOS</t>
        </is>
      </c>
      <c r="F1337" t="inlineStr">
        <is>
          <t>OPINIAO</t>
        </is>
      </c>
      <c r="G1337" t="inlineStr">
        <is>
          <t>ORLANDO CÂMARA</t>
        </is>
      </c>
      <c r="H1337" t="inlineStr">
        <is>
          <t>POSSO FALAR COM O SENHOR?</t>
        </is>
      </c>
      <c r="I1337" t="inlineStr">
        <is>
          <t>TALVEZ OS PEDINTES NÃO SEJAM UM PROBLEMA, MAS UMA CONSEQUÊNCIA DA POBREZA EM QUE GRANDE PARTE DA POPULAÇÃO ESTÁ IMERGIDA.</t>
        </is>
      </c>
      <c r="J1337" t="inlineStr">
        <is>
          <t>ORLANDO-CAMARA</t>
        </is>
      </c>
      <c r="K1337" t="n">
        <v>1</v>
      </c>
      <c r="L1337" t="n">
        <v>1</v>
      </c>
      <c r="M1337" t="n">
        <v>0</v>
      </c>
      <c r="N1337" t="n">
        <v>0</v>
      </c>
      <c r="O1337" t="n">
        <v>1</v>
      </c>
      <c r="P1337">
        <f>HYPERLINK("https://www.acritica.com/opiniao/posso-falar-com-o-senhor-1.216678", "URL")</f>
        <v/>
      </c>
      <c r="Q1337">
        <f>HYPERLINK("https://raw.githubusercontent.com/marcosmapl/dataset_imigrantes/main/materias_filtered/a_critica/venezuelanos/2019/08_set/html/1.216678_301.html", "HTML")</f>
        <v/>
      </c>
      <c r="R1337">
        <f>HYPERLINK("https://raw.githubusercontent.com/marcosmapl/dataset_imigrantes/main/materias_filtered/a_critica/venezuelanos/2019/08_set/txt/1.216678_301.txt", "TXT")</f>
        <v/>
      </c>
    </row>
    <row r="1338">
      <c r="A1338" s="1" t="n">
        <v>1336</v>
      </c>
      <c r="B1338" t="n">
        <v>2019</v>
      </c>
      <c r="C1338" s="2" t="n">
        <v>43722.67744212963</v>
      </c>
      <c r="D1338" t="inlineStr">
        <is>
          <t>A CRITICA</t>
        </is>
      </c>
      <c r="E1338" t="inlineStr">
        <is>
          <t>VENEZUELANOS</t>
        </is>
      </c>
      <c r="F1338" t="inlineStr">
        <is>
          <t>MANAUS</t>
        </is>
      </c>
      <c r="G1338" t="inlineStr">
        <is>
          <t>PAULO ANDRÉ NUNES</t>
        </is>
      </c>
      <c r="H1338" t="inlineStr">
        <is>
          <t>'OPERAÇÃO ACOLHIDA' BENEFICIA VENEZUELANOS COM AÇÕES EM MANAUS</t>
        </is>
      </c>
      <c r="I1338" t="inlineStr">
        <is>
          <t>A META PRINCIPAL É ABRANGER A PARCELA DOS VENEZUELANOS QUE É 'INDOCUMENTADA', OU SEJA, QUE ESTÁ EM MANAUS SEM OS DOCUMENTOS NECESSÁRIOS PARA REGULARIZAÇÃO</t>
        </is>
      </c>
      <c r="J1338" t="inlineStr"/>
      <c r="K1338" t="n">
        <v>0</v>
      </c>
      <c r="L1338" t="n">
        <v>1</v>
      </c>
      <c r="M1338" t="n">
        <v>0</v>
      </c>
      <c r="N1338" t="n">
        <v>0</v>
      </c>
      <c r="O1338" t="n">
        <v>0</v>
      </c>
      <c r="P1338">
        <f>HYPERLINK("https://www.acritica.com/manaus/operac-o-acolhida-beneficia-venezuelanos-com-ac-es-em-manaus-1.58951", "URL")</f>
        <v/>
      </c>
      <c r="Q1338">
        <f>HYPERLINK("https://raw.githubusercontent.com/marcosmapl/dataset_imigrantes/main/materias_filtered/a_critica/venezuelanos/2019/08_set/html/1.58951_505.html", "HTML")</f>
        <v/>
      </c>
      <c r="R1338">
        <f>HYPERLINK("https://raw.githubusercontent.com/marcosmapl/dataset_imigrantes/main/materias_filtered/a_critica/venezuelanos/2019/08_set/txt/1.58951_505.txt", "TXT")</f>
        <v/>
      </c>
    </row>
    <row r="1339">
      <c r="A1339" s="1" t="n">
        <v>1337</v>
      </c>
      <c r="B1339" t="n">
        <v>2019</v>
      </c>
      <c r="C1339" s="2" t="n">
        <v>43722.66112268518</v>
      </c>
      <c r="D1339" t="inlineStr">
        <is>
          <t>A CRITICA</t>
        </is>
      </c>
      <c r="E1339" t="inlineStr">
        <is>
          <t>VENEZUELANOS</t>
        </is>
      </c>
      <c r="F1339" t="inlineStr"/>
      <c r="G1339" t="inlineStr">
        <is>
          <t>AGÊNCIA BRASIL</t>
        </is>
      </c>
      <c r="H1339" t="inlineStr">
        <is>
          <t>NOS EUA, CHANCELER BRASILEIRO REFORÇA SOBERANIA DA AMAZÔNIA</t>
        </is>
      </c>
      <c r="I1339" t="inlineStr">
        <is>
          <t>O SECRETÁRIO DE ESTADO NORTE-AMERICANO, MIKE POMPEO DESTACOU QUE, SOB A LIDERANÇA DO PRESIDENTE JAIR BOLSONARO, O BRASIL ENTRA EM UMA NOVA ERA DE PROSPERIDADE E CRESCIMENTO</t>
        </is>
      </c>
      <c r="J1339" t="inlineStr"/>
      <c r="K1339" t="n">
        <v>0</v>
      </c>
      <c r="L1339" t="n">
        <v>1</v>
      </c>
      <c r="M1339" t="n">
        <v>0</v>
      </c>
      <c r="N1339" t="n">
        <v>0</v>
      </c>
      <c r="O1339" t="n">
        <v>0</v>
      </c>
      <c r="P1339">
        <f>HYPERLINK("https://www.acritica.com/nos-eua-chanceler-brasileiro-reforca-soberania-da-amazonia-1.58958", "URL")</f>
        <v/>
      </c>
      <c r="Q1339">
        <f>HYPERLINK("https://raw.githubusercontent.com/marcosmapl/dataset_imigrantes/main/materias_filtered/a_critica/venezuelanos/2019/08_set/html/1.58958_448.html", "HTML")</f>
        <v/>
      </c>
      <c r="R1339">
        <f>HYPERLINK("https://raw.githubusercontent.com/marcosmapl/dataset_imigrantes/main/materias_filtered/a_critica/venezuelanos/2019/08_set/txt/1.58958_448.txt", "TXT")</f>
        <v/>
      </c>
    </row>
    <row r="1340">
      <c r="A1340" s="1" t="n">
        <v>1338</v>
      </c>
      <c r="B1340" t="n">
        <v>2019</v>
      </c>
      <c r="C1340" s="2" t="n">
        <v>43721.79985732639</v>
      </c>
      <c r="D1340" t="inlineStr">
        <is>
          <t>G1</t>
        </is>
      </c>
      <c r="E1340" t="inlineStr">
        <is>
          <t>HAITIANOS</t>
        </is>
      </c>
      <c r="F1340" t="inlineStr">
        <is>
          <t>SANTA CATARINA</t>
        </is>
      </c>
      <c r="G1340" t="inlineStr">
        <is>
          <t>G1 SC</t>
        </is>
      </c>
      <c r="H1340" t="inlineStr">
        <is>
          <t>HAITIANO É PRESO SUSPEITO DE ESTUPRAR JOVEM EM SÃO BENTO DO SUL, NORTE DE SANTA CATARINA</t>
        </is>
      </c>
      <c r="I1340" t="inlineStr">
        <is>
          <t>MULHER ACIONOU POLÍCIA NA NOITE DE QUINTA-FEIRA (12). SUSPEITO, QUE É HAITIANO, NEGA QUE COMETEU CRIME.</t>
        </is>
      </c>
      <c r="J1340" t="inlineStr"/>
      <c r="K1340" t="n">
        <v>0</v>
      </c>
      <c r="L1340" t="n">
        <v>0</v>
      </c>
      <c r="M1340" t="n">
        <v>0</v>
      </c>
      <c r="N1340" t="n">
        <v>0</v>
      </c>
      <c r="O1340" t="n">
        <v>2</v>
      </c>
      <c r="P1340">
        <f>HYPERLINK("https://g1.globo.com/sc/santa-catarina/noticia/2019/09/13/haitiano-e-preso-suspeito-de-estuprar-jovem-em-sao-bento-do-sul-norte-de-santa-catarina.ghtml", "URL")</f>
        <v/>
      </c>
      <c r="Q1340">
        <f>HYPERLINK("https://raw.githubusercontent.com/marcosmapl/dataset_imigrantes/main/materias_filtered/g1/haitianos/2019/08_set/html/g1_680fbc40-22f2-11ed-b24f-6dbe51e79fca_1795.html", "HTML")</f>
        <v/>
      </c>
      <c r="R1340">
        <f>HYPERLINK("https://raw.githubusercontent.com/marcosmapl/dataset_imigrantes/main/materias_filtered/g1/haitianos/2019/08_set/txt/g1_680fbc40-22f2-11ed-b24f-6dbe51e79fca_1795.txt", "TXT")</f>
        <v/>
      </c>
    </row>
    <row r="1341">
      <c r="A1341" s="1" t="n">
        <v>1339</v>
      </c>
      <c r="B1341" t="n">
        <v>2019</v>
      </c>
      <c r="C1341" s="2" t="n">
        <v>43721.04028563658</v>
      </c>
      <c r="D1341" t="inlineStr">
        <is>
          <t>G1</t>
        </is>
      </c>
      <c r="E1341" t="inlineStr">
        <is>
          <t>HAITIANOS</t>
        </is>
      </c>
      <c r="F1341" t="inlineStr">
        <is>
          <t>SANTA CATARINA</t>
        </is>
      </c>
      <c r="G1341" t="inlineStr">
        <is>
          <t>G1 SC</t>
        </is>
      </c>
      <c r="H1341" t="inlineStr">
        <is>
          <t>JUSTIÇA DE SC ADIA JULGAMENTO DE HAITIANO ACUSADO DE TENTAR MATAR COMPANHEIRA POR CONSIDERAR RÉU INDEFESO</t>
        </is>
      </c>
      <c r="I1341" t="inlineStr">
        <is>
          <t>JUIZ CONSIDEROU DEFESA DO RÉU INADEQUADA E JÁ NOMEOU OUTRA PESSOA. MULHER LEVOU VÁRIAS FACADAS QUANDO SAÍA DO TRABALHO EM JANEIRO DE 2018.</t>
        </is>
      </c>
      <c r="J1341" t="inlineStr"/>
      <c r="K1341" t="n">
        <v>0</v>
      </c>
      <c r="L1341" t="n">
        <v>1</v>
      </c>
      <c r="M1341" t="n">
        <v>0</v>
      </c>
      <c r="N1341" t="n">
        <v>0</v>
      </c>
      <c r="O1341" t="n">
        <v>8</v>
      </c>
      <c r="P1341">
        <f>HYPERLINK("https://g1.globo.com/sc/santa-catarina/noticia/2019/09/12/justica-de-sc-adia-julgamento-de-haitiano-acusado-de-tentar-matar-companheira-por-considerar-reu-indefeso.ghtml", "URL")</f>
        <v/>
      </c>
      <c r="Q1341">
        <f>HYPERLINK("https://raw.githubusercontent.com/marcosmapl/dataset_imigrantes/main/materias_filtered/g1/haitianos/2019/08_set/html/g1_d316a7f6-22b1-11ed-b24f-6dbe51e79fca_1637.html", "HTML")</f>
        <v/>
      </c>
      <c r="R1341">
        <f>HYPERLINK("https://raw.githubusercontent.com/marcosmapl/dataset_imigrantes/main/materias_filtered/g1/haitianos/2019/08_set/txt/g1_d316a7f6-22b1-11ed-b24f-6dbe51e79fca_1637.txt", "TXT")</f>
        <v/>
      </c>
    </row>
    <row r="1342">
      <c r="A1342" s="1" t="n">
        <v>1340</v>
      </c>
      <c r="B1342" t="n">
        <v>2019</v>
      </c>
      <c r="C1342" s="2" t="n">
        <v>43720.47367759259</v>
      </c>
      <c r="D1342" t="inlineStr">
        <is>
          <t>G1</t>
        </is>
      </c>
      <c r="E1342" t="inlineStr">
        <is>
          <t>VENEZUELANOS</t>
        </is>
      </c>
      <c r="F1342" t="inlineStr">
        <is>
          <t>MUNDO</t>
        </is>
      </c>
      <c r="G1342" t="inlineStr">
        <is>
          <t>G1</t>
        </is>
      </c>
      <c r="H1342" t="inlineStr">
        <is>
          <t>EUA, BRASIL, COLÔMBIA E GUAIDÓ TENTAM INVOCAR TRATADO REGIONAL CONTRA MADURO</t>
        </is>
      </c>
      <c r="I1342" t="inlineStr">
        <is>
          <t>PAÍSES QUEREM APROVAR NA OEA MEDIDA PARA CLASSIFICAR DE AÇÃO BELICOSA A MOVIMENTAÇÃO MILITAR VENEZUELANA PERTO DA FRONTEIRA COM A COLÔMBIA.</t>
        </is>
      </c>
      <c r="J1342" t="inlineStr"/>
      <c r="K1342" t="n">
        <v>0</v>
      </c>
      <c r="L1342" t="n">
        <v>1</v>
      </c>
      <c r="M1342" t="n">
        <v>0</v>
      </c>
      <c r="N1342" t="n">
        <v>0</v>
      </c>
      <c r="O1342" t="n">
        <v>6</v>
      </c>
      <c r="P1342">
        <f>HYPERLINK("https://g1.globo.com/mundo/noticia/2019/09/12/eua-invocam-tratado-regional-de-defesa-diante-de-ameaca-da-venezuela.ghtml", "URL")</f>
        <v/>
      </c>
      <c r="Q1342">
        <f>HYPERLINK("https://raw.githubusercontent.com/marcosmapl/dataset_imigrantes/main/materias_filtered/g1/venezuelanos/2019/08_set/html/g1_e8264886-2306-11ed-b24f-6dbe51e79fca_2285.html", "HTML")</f>
        <v/>
      </c>
      <c r="R1342">
        <f>HYPERLINK("https://raw.githubusercontent.com/marcosmapl/dataset_imigrantes/main/materias_filtered/g1/venezuelanos/2019/08_set/txt/g1_e8264886-2306-11ed-b24f-6dbe51e79fca_2285.txt", "TXT")</f>
        <v/>
      </c>
    </row>
    <row r="1343">
      <c r="A1343" s="1" t="n">
        <v>1341</v>
      </c>
      <c r="B1343" t="n">
        <v>2019</v>
      </c>
      <c r="C1343" s="2" t="n">
        <v>43719.83676314815</v>
      </c>
      <c r="D1343" t="inlineStr">
        <is>
          <t>G1</t>
        </is>
      </c>
      <c r="E1343" t="inlineStr">
        <is>
          <t>HAITIANOS</t>
        </is>
      </c>
      <c r="F1343" t="inlineStr">
        <is>
          <t>MATO GROSSO</t>
        </is>
      </c>
      <c r="G1343" t="inlineStr">
        <is>
          <t>G1 MT</t>
        </is>
      </c>
      <c r="H1343" t="inlineStr">
        <is>
          <t>POLICIAL ATINGIDO POR HAITIANO QUE MORREU EM CONFRONTO RECEBE ALTA MÉDICA EM CUIABÁ</t>
        </is>
      </c>
      <c r="I1343" t="inlineStr">
        <is>
          <t>A CORREGEDORIA DA POLÍCIA MILITAR ESTÁ ACOMPANHANDO A OCORRÊNCIA E INSTAURARÁ PROCEDIMENTO PARA APURAR A CONDUTA DOS POLICIAIS.</t>
        </is>
      </c>
      <c r="J1343" t="inlineStr"/>
      <c r="K1343" t="n">
        <v>0</v>
      </c>
      <c r="L1343" t="n">
        <v>1</v>
      </c>
      <c r="M1343" t="n">
        <v>0</v>
      </c>
      <c r="N1343" t="n">
        <v>0</v>
      </c>
      <c r="O1343" t="n">
        <v>7</v>
      </c>
      <c r="P1343">
        <f>HYPERLINK("https://g1.globo.com/mt/mato-grosso/noticia/2019/09/11/policial-atingido-por-haitiano-que-morreu-em-confronto-recebe-alta-medica-em-cuiaba.ghtml", "URL")</f>
        <v/>
      </c>
      <c r="Q1343">
        <f>HYPERLINK("https://raw.githubusercontent.com/marcosmapl/dataset_imigrantes/main/materias_filtered/g1/haitianos/2019/08_set/html/g1_df0151a4-22ae-11ed-b24f-6dbe51e79fca_1629.html", "HTML")</f>
        <v/>
      </c>
      <c r="R1343">
        <f>HYPERLINK("https://raw.githubusercontent.com/marcosmapl/dataset_imigrantes/main/materias_filtered/g1/haitianos/2019/08_set/txt/g1_df0151a4-22ae-11ed-b24f-6dbe51e79fca_1629.txt", "TXT")</f>
        <v/>
      </c>
    </row>
    <row r="1344">
      <c r="A1344" s="1" t="n">
        <v>1342</v>
      </c>
      <c r="B1344" t="n">
        <v>2019</v>
      </c>
      <c r="C1344" s="2" t="n">
        <v>43718.87290394676</v>
      </c>
      <c r="D1344" t="inlineStr">
        <is>
          <t>G1</t>
        </is>
      </c>
      <c r="E1344" t="inlineStr">
        <is>
          <t>HAITIANOS</t>
        </is>
      </c>
      <c r="F1344" t="inlineStr">
        <is>
          <t>MATO GROSSO</t>
        </is>
      </c>
      <c r="G1344" t="inlineStr">
        <is>
          <t>G1 MT</t>
        </is>
      </c>
      <c r="H1344" t="inlineStr">
        <is>
          <t>HAITIANO COM PROBLEMAS PSIQUIÁTRICOS DÁ FACADA NA CABEÇA DE POLICIAL E É MORTO A TIROS EM CUIABÁ</t>
        </is>
      </c>
      <c r="I1344" t="inlineStr">
        <is>
          <t>DOIS POLICIAIS MILITARES FORAM ATENDER A OCORRÊNCIA QUANDO, SEGUNDO O BOLETIM DE OCORRÊNCIA, O HAITIANO SAIU DO QUARTO, PEGOU UMA FACA QUE ESTAVA ESCONDIDA E PATIU PARA CIMA DE UM DOS POLICIAIS.</t>
        </is>
      </c>
      <c r="J1344" t="inlineStr"/>
      <c r="K1344" t="n">
        <v>0</v>
      </c>
      <c r="L1344" t="n">
        <v>1</v>
      </c>
      <c r="M1344" t="n">
        <v>0</v>
      </c>
      <c r="N1344" t="n">
        <v>0</v>
      </c>
      <c r="O1344" t="n">
        <v>0</v>
      </c>
      <c r="P1344">
        <f>HYPERLINK("https://g1.globo.com/mt/mato-grosso/noticia/2019/09/10/haitiano-com-problemas-psiquiatricos-da-facada-na-cabeca-de-policial-e-e-morto-a-tiros-em-cuiaba.ghtml", "URL")</f>
        <v/>
      </c>
      <c r="Q1344">
        <f>HYPERLINK("https://raw.githubusercontent.com/marcosmapl/dataset_imigrantes/main/materias_filtered/g1/haitianos/2019/08_set/html/g1_fe4c4d06-22fa-11ed-b24f-6dbe51e79fca_2255.html", "HTML")</f>
        <v/>
      </c>
      <c r="R1344">
        <f>HYPERLINK("https://raw.githubusercontent.com/marcosmapl/dataset_imigrantes/main/materias_filtered/g1/haitianos/2019/08_set/txt/g1_fe4c4d06-22fa-11ed-b24f-6dbe51e79fca_2255.txt", "TXT")</f>
        <v/>
      </c>
    </row>
    <row r="1345">
      <c r="A1345" s="1" t="n">
        <v>1343</v>
      </c>
      <c r="B1345" t="n">
        <v>2019</v>
      </c>
      <c r="C1345" s="2" t="n">
        <v>43718.6544984375</v>
      </c>
      <c r="D1345" t="inlineStr">
        <is>
          <t>G1</t>
        </is>
      </c>
      <c r="E1345" t="inlineStr">
        <is>
          <t>VENEZUELANOS</t>
        </is>
      </c>
      <c r="F1345" t="inlineStr">
        <is>
          <t>MATO GROSSO DO SUL</t>
        </is>
      </c>
      <c r="G1345" t="inlineStr">
        <is>
          <t>FLÁVIO DIAS, G1 MS — CAMPO GRANDE</t>
        </is>
      </c>
      <c r="H1345" t="inlineStr">
        <is>
          <t>VENEZUELANO É PRESO APÓS TENTAR BEIJAR MÉDICA E DAR TAPA NO BUMBUM DELA DENTRO DE POSTO DE SAÚDE EM MS</t>
        </is>
      </c>
      <c r="I1345" t="inlineStr">
        <is>
          <t>DE ACORDO COM GUARDA MUNICIPAL, SUSPEITO AINDA PUXOU CABELO DA PROFISSIONAL. ELE FOI PRESO E ENCAMINHADO PARA A DELEGACIA DA MULHER, EM DOURADOS.</t>
        </is>
      </c>
      <c r="J1345" t="inlineStr"/>
      <c r="K1345" t="n">
        <v>0</v>
      </c>
      <c r="L1345" t="n">
        <v>2</v>
      </c>
      <c r="M1345" t="n">
        <v>0</v>
      </c>
      <c r="N1345" t="n">
        <v>0</v>
      </c>
      <c r="O1345" t="n">
        <v>0</v>
      </c>
      <c r="P1345">
        <f>HYPERLINK("https://g1.globo.com/ms/mato-grosso-do-sul/noticia/2019/09/10/venezuelano-e-preso-apos-tentar-beijar-medica-e-dar-tapa-no-bumbum-dela-dentro-de-posto-de-saude-em-ms.ghtml", "URL")</f>
        <v/>
      </c>
      <c r="Q1345">
        <f>HYPERLINK("https://raw.githubusercontent.com/marcosmapl/dataset_imigrantes/main/materias_filtered/g1/venezuelanos/2019/08_set/html/g1_2c7a8fd6-231d-11ed-b24f-6dbe51e79fca_3487.html", "HTML")</f>
        <v/>
      </c>
      <c r="R1345">
        <f>HYPERLINK("https://raw.githubusercontent.com/marcosmapl/dataset_imigrantes/main/materias_filtered/g1/venezuelanos/2019/08_set/txt/g1_2c7a8fd6-231d-11ed-b24f-6dbe51e79fca_3487.txt", "TXT")</f>
        <v/>
      </c>
    </row>
    <row r="1346">
      <c r="A1346" s="1" t="n">
        <v>1344</v>
      </c>
      <c r="B1346" t="n">
        <v>2019</v>
      </c>
      <c r="C1346" s="2" t="n">
        <v>43718.46194444445</v>
      </c>
      <c r="D1346" t="inlineStr">
        <is>
          <t>A CRITICA</t>
        </is>
      </c>
      <c r="E1346" t="inlineStr">
        <is>
          <t>VENEZUELANOS</t>
        </is>
      </c>
      <c r="F1346" t="inlineStr"/>
      <c r="G1346" t="inlineStr"/>
      <c r="H1346" t="inlineStr">
        <is>
          <t>DEPUTADO USA ‘BOTS’ NAS REDES</t>
        </is>
      </c>
      <c r="I1346" t="inlineStr"/>
      <c r="J1346" t="inlineStr"/>
      <c r="K1346" t="n">
        <v>0</v>
      </c>
      <c r="L1346" t="n">
        <v>1</v>
      </c>
      <c r="M1346" t="n">
        <v>0</v>
      </c>
      <c r="N1346" t="n">
        <v>0</v>
      </c>
      <c r="O1346" t="n">
        <v>0</v>
      </c>
      <c r="P1346">
        <f>HYPERLINK("https://www.acritica.com/deputado-usa-bots-nas-redes-1.227258", "URL")</f>
        <v/>
      </c>
      <c r="Q1346">
        <f>HYPERLINK("https://raw.githubusercontent.com/marcosmapl/dataset_imigrantes/main/materias_filtered/a_critica/venezuelanos/2019/08_set/html/1.227258_220.html", "HTML")</f>
        <v/>
      </c>
      <c r="R1346">
        <f>HYPERLINK("https://raw.githubusercontent.com/marcosmapl/dataset_imigrantes/main/materias_filtered/a_critica/venezuelanos/2019/08_set/txt/1.227258_220.txt", "TXT")</f>
        <v/>
      </c>
    </row>
    <row r="1347">
      <c r="A1347" s="1" t="n">
        <v>1345</v>
      </c>
      <c r="B1347" t="n">
        <v>2019</v>
      </c>
      <c r="C1347" s="2" t="n">
        <v>43717.6462483912</v>
      </c>
      <c r="D1347" t="inlineStr">
        <is>
          <t>G1</t>
        </is>
      </c>
      <c r="E1347" t="inlineStr">
        <is>
          <t>AMBOS</t>
        </is>
      </c>
      <c r="F1347" t="inlineStr">
        <is>
          <t>CAMPINAS E REGIÃO</t>
        </is>
      </c>
      <c r="G1347" t="inlineStr">
        <is>
          <t>G1 CAMPINAS E REGIÃO E EPTV</t>
        </is>
      </c>
      <c r="H1347" t="inlineStr">
        <is>
          <t>CAMPINAS É MORADIA PARA 13 MIL ESTRANGEIROS, DIZ ONU; HAITIANOS E VENEZUELANOS LIDERAM IMIGRAÇÕES</t>
        </is>
      </c>
      <c r="I1347" t="inlineStr">
        <is>
          <t>SITUAÇÃO POLÍTICA E ECONÔMICA DO PAÍS DE ORIGEM É O PRINCIPAL MOTIVO DA MUDANÇA DEFINITIVA PARA O BRASIL, DISSE A PREFEITURA.</t>
        </is>
      </c>
      <c r="J1347" t="inlineStr"/>
      <c r="K1347" t="n">
        <v>0</v>
      </c>
      <c r="L1347" t="n">
        <v>2</v>
      </c>
      <c r="M1347" t="n">
        <v>1</v>
      </c>
      <c r="N1347" t="n">
        <v>0</v>
      </c>
      <c r="O1347" t="n">
        <v>1</v>
      </c>
      <c r="P1347">
        <f>HYPERLINK("https://g1.globo.com/sp/campinas-regiao/noticia/2019/09/09/campinas-e-moradia-para-13-mil-estrangeiros-diz-onu-haitianos-e-venezuelanos-lideram-imigracoes.ghtml", "URL")</f>
        <v/>
      </c>
      <c r="Q1347">
        <f>HYPERLINK("https://raw.githubusercontent.com/marcosmapl/dataset_imigrantes/main/materias_filtered/g1/ambos/2019/08_set/html/g1_7e54cf76-22f3-11ed-b24f-6dbe51e79fca_1843.html", "HTML")</f>
        <v/>
      </c>
      <c r="R1347">
        <f>HYPERLINK("https://raw.githubusercontent.com/marcosmapl/dataset_imigrantes/main/materias_filtered/g1/ambos/2019/08_set/txt/g1_7e54cf76-22f3-11ed-b24f-6dbe51e79fca_1843.txt", "TXT")</f>
        <v/>
      </c>
    </row>
    <row r="1348">
      <c r="A1348" s="1" t="n">
        <v>1346</v>
      </c>
      <c r="B1348" t="n">
        <v>2019</v>
      </c>
      <c r="C1348" s="2" t="n">
        <v>43717.57152777778</v>
      </c>
      <c r="D1348" t="inlineStr">
        <is>
          <t>A CRITICA</t>
        </is>
      </c>
      <c r="E1348" t="inlineStr">
        <is>
          <t>VENEZUELANOS</t>
        </is>
      </c>
      <c r="F1348" t="inlineStr">
        <is>
          <t>MANAUS</t>
        </is>
      </c>
      <c r="G1348" t="inlineStr">
        <is>
          <t>IZABEL GUEDES</t>
        </is>
      </c>
      <c r="H1348" t="inlineStr">
        <is>
          <t>ABRIGO PROCURA VOLUNTÁRIOS E DOADORES PARA FABRICAÇÃO DE ENXOVAIS DE MÃES CARENTES</t>
        </is>
      </c>
      <c r="I1348" t="inlineStr">
        <is>
          <t>MALHA PARA 'CONJUNTINHOS', LINHA DE COSTURA, ELÁSTICO E MUITA DISPOSIÇÃO, COMPÕE A LISTA DE PEDIDOS DE AJUDA DO ABRIGO 'LAR BATISTA JANELL DOYLE'</t>
        </is>
      </c>
      <c r="J1348" t="inlineStr"/>
      <c r="K1348" t="n">
        <v>0</v>
      </c>
      <c r="L1348" t="n">
        <v>1</v>
      </c>
      <c r="M1348" t="n">
        <v>0</v>
      </c>
      <c r="N1348" t="n">
        <v>0</v>
      </c>
      <c r="O1348" t="n">
        <v>0</v>
      </c>
      <c r="P1348">
        <f>HYPERLINK("https://www.acritica.com/manaus/abrigo-procura-voluntarios-e-doadores-para-fabricac-o-de-enxovais-de-m-es-carentes-1.59084", "URL")</f>
        <v/>
      </c>
      <c r="Q1348">
        <f>HYPERLINK("https://raw.githubusercontent.com/marcosmapl/dataset_imigrantes/main/materias_filtered/a_critica/venezuelanos/2019/08_set/html/1.59084_314.html", "HTML")</f>
        <v/>
      </c>
      <c r="R1348">
        <f>HYPERLINK("https://raw.githubusercontent.com/marcosmapl/dataset_imigrantes/main/materias_filtered/a_critica/venezuelanos/2019/08_set/txt/1.59084_314.txt", "TXT")</f>
        <v/>
      </c>
    </row>
    <row r="1349">
      <c r="A1349" s="1" t="n">
        <v>1347</v>
      </c>
      <c r="B1349" t="n">
        <v>2019</v>
      </c>
      <c r="C1349" s="2" t="n">
        <v>43714.70246116898</v>
      </c>
      <c r="D1349" t="inlineStr">
        <is>
          <t>G1</t>
        </is>
      </c>
      <c r="E1349" t="inlineStr">
        <is>
          <t>VENEZUELANOS</t>
        </is>
      </c>
      <c r="F1349" t="inlineStr">
        <is>
          <t>MUNDO</t>
        </is>
      </c>
      <c r="G1349" t="inlineStr">
        <is>
          <t>FRANCE PRESSE</t>
        </is>
      </c>
      <c r="H1349" t="inlineStr">
        <is>
          <t>PROCURADORIA VENEZUELANA ANUNCIA INVESTIGAÇÃO CONTRA GUAIDÓ POR TRAIÇÃO</t>
        </is>
      </c>
      <c r="I1349" t="inlineStr">
        <is>
          <t>ACUSAÇÃO É DE ESTAR POR TRÁS DE UM PLANO DE RENUNCIAR A ESEQUIBO, UM TERRITÓRIO DA GUIANA RICO EM RECURSOS QUE CARACAS DIZ SER SEU.</t>
        </is>
      </c>
      <c r="J1349" t="inlineStr"/>
      <c r="K1349" t="n">
        <v>0</v>
      </c>
      <c r="L1349" t="n">
        <v>1</v>
      </c>
      <c r="M1349" t="n">
        <v>0</v>
      </c>
      <c r="N1349" t="n">
        <v>0</v>
      </c>
      <c r="O1349" t="n">
        <v>3</v>
      </c>
      <c r="P1349">
        <f>HYPERLINK("https://g1.globo.com/mundo/noticia/2019/09/06/procuradoria-venezuelana-anuncia-investigacao-contra-guaido-por-traicao.ghtml", "URL")</f>
        <v/>
      </c>
      <c r="Q1349">
        <f>HYPERLINK("https://raw.githubusercontent.com/marcosmapl/dataset_imigrantes/main/materias_filtered/g1/venezuelanos/2019/08_set/html/g1_ea8dffa8-2313-11ed-b24f-6dbe51e79fca_3035.html", "HTML")</f>
        <v/>
      </c>
      <c r="R1349">
        <f>HYPERLINK("https://raw.githubusercontent.com/marcosmapl/dataset_imigrantes/main/materias_filtered/g1/venezuelanos/2019/08_set/txt/g1_ea8dffa8-2313-11ed-b24f-6dbe51e79fca_3035.txt", "TXT")</f>
        <v/>
      </c>
    </row>
    <row r="1350">
      <c r="A1350" s="1" t="n">
        <v>1348</v>
      </c>
      <c r="B1350" t="n">
        <v>2019</v>
      </c>
      <c r="C1350" s="2" t="n">
        <v>43713.83342072917</v>
      </c>
      <c r="D1350" t="inlineStr">
        <is>
          <t>G1</t>
        </is>
      </c>
      <c r="E1350" t="inlineStr">
        <is>
          <t>HAITIANOS</t>
        </is>
      </c>
      <c r="F1350" t="inlineStr">
        <is>
          <t>MUNDO</t>
        </is>
      </c>
      <c r="G1350" t="inlineStr">
        <is>
          <t>LETÍCIA MACEDO, G1</t>
        </is>
      </c>
      <c r="H1350" t="inlineStr">
        <is>
          <t>AJUDA APÓS FURACÃO NAS BAHAMAS AINDA É INSUFICIENTE, DIZ VOLUNTÁRIA QUE MORA NO ARQUIPÉLAGO</t>
        </is>
      </c>
      <c r="I1350" t="inlineStr">
        <is>
          <t>ORGANIZAÇÃO DAS NAÇÕES UNIDAS (ONU) AVALIA QUE 76 MIL PESSOAS FORAM AFETADAS NA PASSAGEM DO FURACÃO DORIAN PELO ARQUIPÉLAGO DO ATLÂNTICO.</t>
        </is>
      </c>
      <c r="J1350" t="inlineStr"/>
      <c r="K1350" t="n">
        <v>0</v>
      </c>
      <c r="L1350" t="n">
        <v>4</v>
      </c>
      <c r="M1350" t="n">
        <v>2</v>
      </c>
      <c r="N1350" t="n">
        <v>0</v>
      </c>
      <c r="O1350" t="n">
        <v>2</v>
      </c>
      <c r="P1350">
        <f>HYPERLINK("https://g1.globo.com/mundo/noticia/2019/09/05/ajuda-apos-furacao-nas-bahamas-ainda-e-insuficiente-diz-voluntaria-que-mora-no-arquipelago.ghtml", "URL")</f>
        <v/>
      </c>
      <c r="Q1350">
        <f>HYPERLINK("https://raw.githubusercontent.com/marcosmapl/dataset_imigrantes/main/materias_filtered/g1/haitianos/2019/08_set/html/g1_57d3c4d6-2318-11ed-b24f-6dbe51e79fca_3254.html", "HTML")</f>
        <v/>
      </c>
      <c r="R1350">
        <f>HYPERLINK("https://raw.githubusercontent.com/marcosmapl/dataset_imigrantes/main/materias_filtered/g1/haitianos/2019/08_set/txt/g1_57d3c4d6-2318-11ed-b24f-6dbe51e79fca_3254.txt", "TXT")</f>
        <v/>
      </c>
    </row>
    <row r="1351">
      <c r="A1351" s="1" t="n">
        <v>1349</v>
      </c>
      <c r="B1351" t="n">
        <v>2019</v>
      </c>
      <c r="C1351" s="2" t="n">
        <v>43713.77693648148</v>
      </c>
      <c r="D1351" t="inlineStr">
        <is>
          <t>G1</t>
        </is>
      </c>
      <c r="E1351" t="inlineStr">
        <is>
          <t>VENEZUELANOS</t>
        </is>
      </c>
      <c r="F1351" t="inlineStr">
        <is>
          <t>RORAIMA</t>
        </is>
      </c>
      <c r="G1351" t="inlineStr">
        <is>
          <t>FRANCE PRESSE</t>
        </is>
      </c>
      <c r="H1351" t="inlineStr">
        <is>
          <t>'SITUAÇÃO DE INDÍGENAS VENEZUELANOS NO BRASIL É TRÁGICA', DIZ ACNUR</t>
        </is>
      </c>
      <c r="I1351" t="inlineStr">
        <is>
          <t>RORAIMA TEM QUASE 1.800 INDÍGENAS VENEZUELANOS EM ABRIGOS.</t>
        </is>
      </c>
      <c r="J1351" t="inlineStr"/>
      <c r="K1351" t="n">
        <v>0</v>
      </c>
      <c r="L1351" t="n">
        <v>2</v>
      </c>
      <c r="M1351" t="n">
        <v>0</v>
      </c>
      <c r="N1351" t="n">
        <v>0</v>
      </c>
      <c r="O1351" t="n">
        <v>0</v>
      </c>
      <c r="P1351">
        <f>HYPERLINK("https://g1.globo.com/rr/roraima/noticia/2019/09/05/situacao-de-indigenas-venezuelanos-no-brasil-e-tragica-diz-acnur.ghtml", "URL")</f>
        <v/>
      </c>
      <c r="Q1351">
        <f>HYPERLINK("https://raw.githubusercontent.com/marcosmapl/dataset_imigrantes/main/materias_filtered/g1/venezuelanos/2019/08_set/html/g1_29b19252-2315-11ed-b24f-6dbe51e79fca_3071.html", "HTML")</f>
        <v/>
      </c>
      <c r="R1351">
        <f>HYPERLINK("https://raw.githubusercontent.com/marcosmapl/dataset_imigrantes/main/materias_filtered/g1/venezuelanos/2019/08_set/txt/g1_29b19252-2315-11ed-b24f-6dbe51e79fca_3071.txt", "TXT")</f>
        <v/>
      </c>
    </row>
    <row r="1352">
      <c r="A1352" s="1" t="n">
        <v>1350</v>
      </c>
      <c r="B1352" t="n">
        <v>2019</v>
      </c>
      <c r="C1352" s="2" t="n">
        <v>43713.68258585648</v>
      </c>
      <c r="D1352" t="inlineStr">
        <is>
          <t>G1</t>
        </is>
      </c>
      <c r="E1352" t="inlineStr">
        <is>
          <t>VENEZUELANOS</t>
        </is>
      </c>
      <c r="F1352" t="inlineStr">
        <is>
          <t>SOROCABA E JUNDIAÍ</t>
        </is>
      </c>
      <c r="G1352" t="inlineStr">
        <is>
          <t>G1 SOROCABA E JUNDIAÍ</t>
        </is>
      </c>
      <c r="H1352" t="inlineStr">
        <is>
          <t>VENEZUELANA PRESA POR FURTAR CALCINHAS ESTAVA COM 75 PEÇAS, DIZ POLÍCIA</t>
        </is>
      </c>
      <c r="I1352" t="inlineStr">
        <is>
          <t>DANIELA PAOLA LEMOS FOI DETIDA EM SÃO ROQUE (SP) E TEVE A PRISÃO PREVENTIVA DECRETADA PELO TRIBUNAL DE JUSTIÇA DE SÃO PAULO (TJ-SP).</t>
        </is>
      </c>
      <c r="J1352" t="inlineStr"/>
      <c r="K1352" t="n">
        <v>0</v>
      </c>
      <c r="L1352" t="n">
        <v>2</v>
      </c>
      <c r="M1352" t="n">
        <v>0</v>
      </c>
      <c r="N1352" t="n">
        <v>0</v>
      </c>
      <c r="O1352" t="n">
        <v>2</v>
      </c>
      <c r="P1352">
        <f>HYPERLINK("https://g1.globo.com/sp/sorocaba-jundiai/noticia/2019/09/05/venezuelana-presa-por-furtar-calcinhas-estava-com-75-pecas-diz-policia.ghtml", "URL")</f>
        <v/>
      </c>
      <c r="Q1352">
        <f>HYPERLINK("https://raw.githubusercontent.com/marcosmapl/dataset_imigrantes/main/materias_filtered/g1/venezuelanos/2019/08_set/html/g1_8c2985ea-2309-11ed-b24f-6dbe51e79fca_2451.html", "HTML")</f>
        <v/>
      </c>
      <c r="R1352">
        <f>HYPERLINK("https://raw.githubusercontent.com/marcosmapl/dataset_imigrantes/main/materias_filtered/g1/venezuelanos/2019/08_set/txt/g1_8c2985ea-2309-11ed-b24f-6dbe51e79fca_2451.txt", "TXT")</f>
        <v/>
      </c>
    </row>
    <row r="1353">
      <c r="A1353" s="1" t="n">
        <v>1351</v>
      </c>
      <c r="B1353" t="n">
        <v>2019</v>
      </c>
      <c r="C1353" s="2" t="n">
        <v>43713.61630722222</v>
      </c>
      <c r="D1353" t="inlineStr">
        <is>
          <t>G1</t>
        </is>
      </c>
      <c r="E1353" t="inlineStr">
        <is>
          <t>HAITIANOS</t>
        </is>
      </c>
      <c r="F1353" t="inlineStr">
        <is>
          <t>MUNDO</t>
        </is>
      </c>
      <c r="G1353" t="inlineStr">
        <is>
          <t>G1</t>
        </is>
      </c>
      <c r="H1353" t="inlineStr">
        <is>
          <t>IMAGENS DO DIA 5 DE SETEMBRO DE 2019</t>
        </is>
      </c>
      <c r="I1353" t="inlineStr">
        <is>
          <t>IMAGENS DO DIA 5 DE SETEMBRO DE 2019</t>
        </is>
      </c>
      <c r="J1353" t="inlineStr"/>
      <c r="K1353" t="n">
        <v>0</v>
      </c>
      <c r="L1353" t="n">
        <v>3</v>
      </c>
      <c r="M1353" t="n">
        <v>0</v>
      </c>
      <c r="N1353" t="n">
        <v>0</v>
      </c>
      <c r="O1353" t="n">
        <v>14</v>
      </c>
      <c r="P1353">
        <f>HYPERLINK("https://g1.globo.com/mundo/noticia/2019/09/05/imagens-do-dia-5-de-setembro-de-2019.ghtml", "URL")</f>
        <v/>
      </c>
      <c r="Q1353">
        <f>HYPERLINK("https://raw.githubusercontent.com/marcosmapl/dataset_imigrantes/main/materias_filtered/g1/haitianos/2019/08_set/html/g1_3a46fcfc-231e-11ed-b24f-6dbe51e79fca_3548.html", "HTML")</f>
        <v/>
      </c>
      <c r="R1353">
        <f>HYPERLINK("https://raw.githubusercontent.com/marcosmapl/dataset_imigrantes/main/materias_filtered/g1/haitianos/2019/08_set/txt/g1_3a46fcfc-231e-11ed-b24f-6dbe51e79fca_3548.txt", "TXT")</f>
        <v/>
      </c>
    </row>
    <row r="1354">
      <c r="A1354" s="1" t="n">
        <v>1352</v>
      </c>
      <c r="B1354" t="n">
        <v>2019</v>
      </c>
      <c r="C1354" s="2" t="n">
        <v>43712.60276436342</v>
      </c>
      <c r="D1354" t="inlineStr">
        <is>
          <t>G1</t>
        </is>
      </c>
      <c r="E1354" t="inlineStr">
        <is>
          <t>VENEZUELANOS</t>
        </is>
      </c>
      <c r="F1354" t="inlineStr">
        <is>
          <t>SANTA CATARINA</t>
        </is>
      </c>
      <c r="G1354" t="inlineStr">
        <is>
          <t>G1 SC</t>
        </is>
      </c>
      <c r="H1354" t="inlineStr">
        <is>
          <t>CRIANÇA VENEZUELANA DE DOIS ANOS MORRE EM AÇUDE DE GUATAMBÚ</t>
        </is>
      </c>
      <c r="I1354" t="inlineStr">
        <is>
          <t>YANNELIS CERMENO ACOSTA FOI ENCONTRADA DESACORDADA. FAMÍLIA ESTAVA HÁ DEZ DIAS NO BRASIL EM BUSCA DE EMPREGO.</t>
        </is>
      </c>
      <c r="J1354" t="inlineStr"/>
      <c r="K1354" t="n">
        <v>0</v>
      </c>
      <c r="L1354" t="n">
        <v>2</v>
      </c>
      <c r="M1354" t="n">
        <v>1</v>
      </c>
      <c r="N1354" t="n">
        <v>0</v>
      </c>
      <c r="O1354" t="n">
        <v>1</v>
      </c>
      <c r="P1354">
        <f>HYPERLINK("https://g1.globo.com/sc/santa-catarina/noticia/2019/09/04/crianca-venezuelana-de-dois-anos-morre-em-acude-de-guatambu.ghtml", "URL")</f>
        <v/>
      </c>
      <c r="Q1354">
        <f>HYPERLINK("https://raw.githubusercontent.com/marcosmapl/dataset_imigrantes/main/materias_filtered/g1/venezuelanos/2019/08_set/html/g1_a516de0c-2306-11ed-b24f-6dbe51e79fca_2270.html", "HTML")</f>
        <v/>
      </c>
      <c r="R1354">
        <f>HYPERLINK("https://raw.githubusercontent.com/marcosmapl/dataset_imigrantes/main/materias_filtered/g1/venezuelanos/2019/08_set/txt/g1_a516de0c-2306-11ed-b24f-6dbe51e79fca_2270.txt", "TXT")</f>
        <v/>
      </c>
    </row>
    <row r="1355">
      <c r="A1355" s="1" t="n">
        <v>1353</v>
      </c>
      <c r="B1355" t="n">
        <v>2019</v>
      </c>
      <c r="C1355" s="2" t="n">
        <v>43712.59163810185</v>
      </c>
      <c r="D1355" t="inlineStr">
        <is>
          <t>G1</t>
        </is>
      </c>
      <c r="E1355" t="inlineStr">
        <is>
          <t>VENEZUELANOS</t>
        </is>
      </c>
      <c r="F1355" t="inlineStr">
        <is>
          <t>SOROCABA E JUNDIAÍ</t>
        </is>
      </c>
      <c r="G1355" t="inlineStr">
        <is>
          <t>G1 SOROCABA E JUNDIAÍ</t>
        </is>
      </c>
      <c r="H1355" t="inlineStr">
        <is>
          <t>VENEZUELANA É PRESA APÓS FURTAR CALCINHAS EM LOJA DE SÃO ROQUE</t>
        </is>
      </c>
      <c r="I1355" t="inlineStr">
        <is>
          <t>MULHER DISSE QUE SAIU DE SÃO PAULO (SP) COM O NAMORADO E COM UM CONHECIDO PARA FURTAR COMÉRCIOS. OUTROS DOIS SUSPEITOS NÃO FORAM LOCALIZADOS.</t>
        </is>
      </c>
      <c r="J1355" t="inlineStr"/>
      <c r="K1355" t="n">
        <v>0</v>
      </c>
      <c r="L1355" t="n">
        <v>2</v>
      </c>
      <c r="M1355" t="n">
        <v>0</v>
      </c>
      <c r="N1355" t="n">
        <v>0</v>
      </c>
      <c r="O1355" t="n">
        <v>1</v>
      </c>
      <c r="P1355">
        <f>HYPERLINK("https://g1.globo.com/sp/sorocaba-jundiai/noticia/2019/09/04/venezuelana-e-presa-apos-furtar-calcinhas-em-loja-de-sao-roque.ghtml", "URL")</f>
        <v/>
      </c>
      <c r="Q1355">
        <f>HYPERLINK("https://raw.githubusercontent.com/marcosmapl/dataset_imigrantes/main/materias_filtered/g1/venezuelanos/2019/08_set/html/g1_bab7583c-2323-11ed-b24f-6dbe51e79fca_3825.html", "HTML")</f>
        <v/>
      </c>
      <c r="R1355">
        <f>HYPERLINK("https://raw.githubusercontent.com/marcosmapl/dataset_imigrantes/main/materias_filtered/g1/venezuelanos/2019/08_set/txt/g1_bab7583c-2323-11ed-b24f-6dbe51e79fca_3825.txt", "TXT")</f>
        <v/>
      </c>
    </row>
    <row r="1356">
      <c r="A1356" s="1" t="n">
        <v>1354</v>
      </c>
      <c r="B1356" t="n">
        <v>2019</v>
      </c>
      <c r="C1356" s="2" t="n">
        <v>43712.45625</v>
      </c>
      <c r="D1356" t="inlineStr">
        <is>
          <t>A CRITICA</t>
        </is>
      </c>
      <c r="E1356" t="inlineStr">
        <is>
          <t>VENEZUELANOS</t>
        </is>
      </c>
      <c r="F1356" t="inlineStr">
        <is>
          <t>MANAUS</t>
        </is>
      </c>
      <c r="G1356" t="inlineStr">
        <is>
          <t>IZABEL GUEDES</t>
        </is>
      </c>
      <c r="H1356" t="inlineStr">
        <is>
          <t>VENEZUELANOS TÊM ROTINA 'QUASE MILITAR' NO ENTORNO DA RODOVIÁRIA DE MANAUS</t>
        </is>
      </c>
      <c r="I1356" t="inlineStr">
        <is>
          <t>ORDENAMENTO IMPOSTO PELA OPERAÇÃO ‘ACOLHIDA’ DETERMINA QUE IMIGRANTES DEVEM DEIXAR O ESPAÇO ÀS 6H30. O LOCAL FUNCIONA COMO UMA ESPÉCIE DE ALBERGUE</t>
        </is>
      </c>
      <c r="J1356" t="inlineStr"/>
      <c r="K1356" t="n">
        <v>0</v>
      </c>
      <c r="L1356" t="n">
        <v>1</v>
      </c>
      <c r="M1356" t="n">
        <v>0</v>
      </c>
      <c r="N1356" t="n">
        <v>0</v>
      </c>
      <c r="O1356" t="n">
        <v>0</v>
      </c>
      <c r="P1356">
        <f>HYPERLINK("https://www.acritica.com/manaus/venezuelanos-tem-rotina-quase-militar-no-entorno-da-rodoviaria-de-manaus-1.60444", "URL")</f>
        <v/>
      </c>
      <c r="Q1356">
        <f>HYPERLINK("https://raw.githubusercontent.com/marcosmapl/dataset_imigrantes/main/materias_filtered/a_critica/venezuelanos/2019/08_set/html/1.60444_1031.html", "HTML")</f>
        <v/>
      </c>
      <c r="R1356">
        <f>HYPERLINK("https://raw.githubusercontent.com/marcosmapl/dataset_imigrantes/main/materias_filtered/a_critica/venezuelanos/2019/08_set/txt/1.60444_1031.txt", "TXT")</f>
        <v/>
      </c>
    </row>
    <row r="1357">
      <c r="A1357" s="1" t="n">
        <v>1355</v>
      </c>
      <c r="B1357" t="n">
        <v>2019</v>
      </c>
      <c r="C1357" s="2" t="n">
        <v>43711.81584458333</v>
      </c>
      <c r="D1357" t="inlineStr">
        <is>
          <t>G1</t>
        </is>
      </c>
      <c r="E1357" t="inlineStr">
        <is>
          <t>VENEZUELANOS</t>
        </is>
      </c>
      <c r="F1357" t="inlineStr">
        <is>
          <t>MATO GROSSO</t>
        </is>
      </c>
      <c r="G1357" t="inlineStr">
        <is>
          <t>G1 MT</t>
        </is>
      </c>
      <c r="H1357" t="inlineStr">
        <is>
          <t>VENEZUELANO REFUGIADO EM CUIABÁ MORRE APÓS RECEBER DESCARGA ELÉTRICA DURANTE TRABALHO</t>
        </is>
      </c>
      <c r="I1357" t="inlineStr">
        <is>
          <t>GIOVANNI GABRIEL RODRIGUEZ PERALTA, DE 22 ANOS, MONTAVA UM APARELHO DE SONORIZAÇÃO PARA UM EVENTO QUANDO ACIDENTE ACONTECEU. FAMÍLIA DA VÍTIMA MORA NA VENEZUELA.</t>
        </is>
      </c>
      <c r="J1357" t="inlineStr"/>
      <c r="K1357" t="n">
        <v>0</v>
      </c>
      <c r="L1357" t="n">
        <v>0</v>
      </c>
      <c r="M1357" t="n">
        <v>0</v>
      </c>
      <c r="N1357" t="n">
        <v>0</v>
      </c>
      <c r="O1357" t="n">
        <v>0</v>
      </c>
      <c r="P1357">
        <f>HYPERLINK("https://g1.globo.com/mt/mato-grosso/noticia/2019/09/03/venezuelano-refugiado-em-cuiaba-morre-apos-receber-descarga-eletrica-durante-trabalho.ghtml", "URL")</f>
        <v/>
      </c>
      <c r="Q1357">
        <f>HYPERLINK("https://raw.githubusercontent.com/marcosmapl/dataset_imigrantes/main/materias_filtered/g1/venezuelanos/2019/08_set/html/g1_918a5b24-232a-11ed-b24f-6dbe51e79fca_4187.html", "HTML")</f>
        <v/>
      </c>
      <c r="R1357">
        <f>HYPERLINK("https://raw.githubusercontent.com/marcosmapl/dataset_imigrantes/main/materias_filtered/g1/venezuelanos/2019/08_set/txt/g1_918a5b24-232a-11ed-b24f-6dbe51e79fca_4187.txt", "TXT")</f>
        <v/>
      </c>
    </row>
    <row r="1358">
      <c r="A1358" s="1" t="n">
        <v>1356</v>
      </c>
      <c r="B1358" t="n">
        <v>2019</v>
      </c>
      <c r="C1358" s="2" t="n">
        <v>43711.74305555555</v>
      </c>
      <c r="D1358" t="inlineStr">
        <is>
          <t>A CRITICA</t>
        </is>
      </c>
      <c r="E1358" t="inlineStr">
        <is>
          <t>VENEZUELANOS</t>
        </is>
      </c>
      <c r="F1358" t="inlineStr">
        <is>
          <t>MANAUS</t>
        </is>
      </c>
      <c r="G1358" t="inlineStr">
        <is>
          <t>CLEY MEDEIROS</t>
        </is>
      </c>
      <c r="H1358" t="inlineStr">
        <is>
          <t>VENEZUELANOS ‘RESISTENTES’ ACUSAM MILITARES DE ATEAREM FOGO EM BARRACOS</t>
        </is>
      </c>
      <c r="I1358" t="inlineStr">
        <is>
          <t>MILITARES AFIRMARAM QUE FORAM OS PRÓPRIOS VENEZUELANOS QUE REALIZARAM A AÇÃO. IMIGRANTES DIZEM TEREM SIDO ALVOS DE ‘REMOÇÃO FORÇADA’</t>
        </is>
      </c>
      <c r="J1358" t="inlineStr"/>
      <c r="K1358" t="n">
        <v>0</v>
      </c>
      <c r="L1358" t="n">
        <v>1</v>
      </c>
      <c r="M1358" t="n">
        <v>0</v>
      </c>
      <c r="N1358" t="n">
        <v>0</v>
      </c>
      <c r="O1358" t="n">
        <v>3</v>
      </c>
      <c r="P1358">
        <f>HYPERLINK("https://www.acritica.com/manaus/venezuelanos-resistentes-acusam-militares-de-atearem-fogo-em-barracos-1.60478", "URL")</f>
        <v/>
      </c>
      <c r="Q1358">
        <f>HYPERLINK("https://raw.githubusercontent.com/marcosmapl/dataset_imigrantes/main/materias_filtered/a_critica/venezuelanos/2019/08_set/html/1.60478_784.html", "HTML")</f>
        <v/>
      </c>
      <c r="R1358">
        <f>HYPERLINK("https://raw.githubusercontent.com/marcosmapl/dataset_imigrantes/main/materias_filtered/a_critica/venezuelanos/2019/08_set/txt/1.60478_784.txt", "TXT")</f>
        <v/>
      </c>
    </row>
    <row r="1359">
      <c r="A1359" s="1" t="n">
        <v>1357</v>
      </c>
      <c r="B1359" t="n">
        <v>2019</v>
      </c>
      <c r="C1359" s="2" t="n">
        <v>43711.63782613426</v>
      </c>
      <c r="D1359" t="inlineStr">
        <is>
          <t>G1</t>
        </is>
      </c>
      <c r="E1359" t="inlineStr">
        <is>
          <t>HAITIANOS</t>
        </is>
      </c>
      <c r="F1359" t="inlineStr">
        <is>
          <t>SANTA CATARINA</t>
        </is>
      </c>
      <c r="G1359" t="inlineStr">
        <is>
          <t>G1 SC</t>
        </is>
      </c>
      <c r="H1359" t="inlineStr">
        <is>
          <t>'EU NÃO VOU PARAR NUNCA DE PEDIR JUSTIÇA', DIZ IRMÃ DE HAITIANO MORTO EM SANTA CATARINA</t>
        </is>
      </c>
      <c r="I1359" t="inlineStr">
        <is>
          <t>TRÊS MESES APÓS O CASO, SUSPEITO DE EMPURRAR HAITIANO NA BR-101, NA GRANDE FLORIANÓPOLIS, SEGUE FORAGIDO.</t>
        </is>
      </c>
      <c r="J1359" t="inlineStr"/>
      <c r="K1359" t="n">
        <v>0</v>
      </c>
      <c r="L1359" t="n">
        <v>2</v>
      </c>
      <c r="M1359" t="n">
        <v>1</v>
      </c>
      <c r="N1359" t="n">
        <v>0</v>
      </c>
      <c r="O1359" t="n">
        <v>5</v>
      </c>
      <c r="P1359">
        <f>HYPERLINK("https://g1.globo.com/sc/santa-catarina/noticia/2019/09/03/tres-meses-apos-morte-suspeito-de-empurrar-haitiano-na-br-101-na-grande-florianopolis-segue-foragido.ghtml", "URL")</f>
        <v/>
      </c>
      <c r="Q1359">
        <f>HYPERLINK("https://raw.githubusercontent.com/marcosmapl/dataset_imigrantes/main/materias_filtered/g1/haitianos/2019/08_set/html/g1_5423d186-22f6-11ed-b24f-6dbe51e79fca_2007.html", "HTML")</f>
        <v/>
      </c>
      <c r="R1359">
        <f>HYPERLINK("https://raw.githubusercontent.com/marcosmapl/dataset_imigrantes/main/materias_filtered/g1/haitianos/2019/08_set/txt/g1_5423d186-22f6-11ed-b24f-6dbe51e79fca_2007.txt", "TXT")</f>
        <v/>
      </c>
    </row>
    <row r="1360">
      <c r="A1360" s="1" t="n">
        <v>1358</v>
      </c>
      <c r="B1360" t="n">
        <v>2019</v>
      </c>
      <c r="C1360" s="2" t="n">
        <v>43710.96756688657</v>
      </c>
      <c r="D1360" t="inlineStr">
        <is>
          <t>G1</t>
        </is>
      </c>
      <c r="E1360" t="inlineStr">
        <is>
          <t>VENEZUELANOS</t>
        </is>
      </c>
      <c r="F1360" t="inlineStr">
        <is>
          <t>SUL DE MINAS</t>
        </is>
      </c>
      <c r="G1360" t="inlineStr">
        <is>
          <t>EPTV 2 — PASSOS, MG</t>
        </is>
      </c>
      <c r="H1360" t="inlineStr">
        <is>
          <t>DOIS COLOMBIANOS E UM VENEZUELANO SÃO PRESOS POR SUSPEITA DE EXTORSÃO EM PASSOS</t>
        </is>
      </c>
      <c r="I1360" t="inlineStr">
        <is>
          <t>SEGUNDO A POLÍCIA, SUSPEITA É QUE ELES FAÇAM PARTE DE UM ESQUEMA DE AGIOTAGEM.</t>
        </is>
      </c>
      <c r="J1360" t="inlineStr"/>
      <c r="K1360" t="n">
        <v>0</v>
      </c>
      <c r="L1360" t="n">
        <v>2</v>
      </c>
      <c r="M1360" t="n">
        <v>1</v>
      </c>
      <c r="N1360" t="n">
        <v>0</v>
      </c>
      <c r="O1360" t="n">
        <v>1</v>
      </c>
      <c r="P1360">
        <f>HYPERLINK("https://g1.globo.com/mg/sul-de-minas/noticia/2019/09/02/dois-colombianos-e-um-venezuelano-sao-presos-por-suspeita-de-extorsao-em-passos.ghtml", "URL")</f>
        <v/>
      </c>
      <c r="Q1360">
        <f>HYPERLINK("https://raw.githubusercontent.com/marcosmapl/dataset_imigrantes/main/materias_filtered/g1/venezuelanos/2019/08_set/html/g1_bab9e280-230c-11ed-b24f-6dbe51e79fca_2643.html", "HTML")</f>
        <v/>
      </c>
      <c r="R1360">
        <f>HYPERLINK("https://raw.githubusercontent.com/marcosmapl/dataset_imigrantes/main/materias_filtered/g1/venezuelanos/2019/08_set/txt/g1_bab9e280-230c-11ed-b24f-6dbe51e79fca_2643.txt", "TXT")</f>
        <v/>
      </c>
    </row>
    <row r="1361">
      <c r="A1361" s="1" t="n">
        <v>1359</v>
      </c>
      <c r="B1361" t="n">
        <v>2019</v>
      </c>
      <c r="C1361" s="2" t="n">
        <v>43710.58042060185</v>
      </c>
      <c r="D1361" t="inlineStr">
        <is>
          <t>G1</t>
        </is>
      </c>
      <c r="E1361" t="inlineStr">
        <is>
          <t>HAITIANOS</t>
        </is>
      </c>
      <c r="F1361" t="inlineStr">
        <is>
          <t>RIO GRANDE DO SUL</t>
        </is>
      </c>
      <c r="G1361" t="inlineStr">
        <is>
          <t>G1 RS</t>
        </is>
      </c>
      <c r="H1361" t="inlineStr">
        <is>
          <t>PRESO SUSPEITO DE MATAR HAITIANA DENTRO DE MOTEL EM GRAVATAÍ</t>
        </is>
      </c>
      <c r="I1361" t="inlineStr">
        <is>
          <t>HOMEM CONFESSOU ASSASSINATO À POLICIA E CASO É INVESTIGADO COMO LATROCÍNIO. SEGUNDO O DELEGADO GUSTAVO BERMUDES MENEGAZZO DA ROCHA, GERMANIE PAUL, DE 29 ANOS, FOI MORTA POR ASFIXIA.</t>
        </is>
      </c>
      <c r="J1361" t="inlineStr"/>
      <c r="K1361" t="n">
        <v>0</v>
      </c>
      <c r="L1361" t="n">
        <v>2</v>
      </c>
      <c r="M1361" t="n">
        <v>0</v>
      </c>
      <c r="N1361" t="n">
        <v>0</v>
      </c>
      <c r="O1361" t="n">
        <v>3</v>
      </c>
      <c r="P1361">
        <f>HYPERLINK("https://g1.globo.com/rs/rio-grande-do-sul/noticia/2019/09/02/preso-suspeito-de-matar-haitiana-dentro-de-motel-em-gravatai.ghtml", "URL")</f>
        <v/>
      </c>
      <c r="Q1361">
        <f>HYPERLINK("https://raw.githubusercontent.com/marcosmapl/dataset_imigrantes/main/materias_filtered/g1/haitianos/2019/08_set/html/g1_06ce09b6-231d-11ed-b24f-6dbe51e79fca_3480.html", "HTML")</f>
        <v/>
      </c>
      <c r="R1361">
        <f>HYPERLINK("https://raw.githubusercontent.com/marcosmapl/dataset_imigrantes/main/materias_filtered/g1/haitianos/2019/08_set/txt/g1_06ce09b6-231d-11ed-b24f-6dbe51e79fca_3480.txt", "TXT")</f>
        <v/>
      </c>
    </row>
    <row r="1362">
      <c r="A1362" s="1" t="n">
        <v>1360</v>
      </c>
      <c r="B1362" t="n">
        <v>2019</v>
      </c>
      <c r="C1362" s="2" t="n">
        <v>43707.91810185185</v>
      </c>
      <c r="D1362" t="inlineStr">
        <is>
          <t>A CRITICA</t>
        </is>
      </c>
      <c r="E1362" t="inlineStr">
        <is>
          <t>VENEZUELANOS</t>
        </is>
      </c>
      <c r="F1362" t="inlineStr">
        <is>
          <t>MANAUS</t>
        </is>
      </c>
      <c r="G1362" t="inlineStr">
        <is>
          <t>PORTAL A CRÍTICA</t>
        </is>
      </c>
      <c r="H1362" t="inlineStr">
        <is>
          <t>RODOVIÁRIA DE MANAUS SERÁ LOCAL DE PERNOITE PARA VENEZUELANOS</t>
        </is>
      </c>
      <c r="I1362" t="inlineStr">
        <is>
          <t>MIGRANTES VOLTARAM PARA IMEDIAÇÕES DA RODOVIÁRIA NESTA SEXTA-FEIRA (30), APÓS INSTALAÇÃO DE TOLDOS PELO EXÉRCITO. BARRACAS SERÃO ENTREGUES PARA VENEZUELANOS PASSAREM A NOITE NO LOCAL</t>
        </is>
      </c>
      <c r="J1362" t="inlineStr"/>
      <c r="K1362" t="n">
        <v>0</v>
      </c>
      <c r="L1362" t="n">
        <v>1</v>
      </c>
      <c r="M1362" t="n">
        <v>0</v>
      </c>
      <c r="N1362" t="n">
        <v>0</v>
      </c>
      <c r="O1362" t="n">
        <v>0</v>
      </c>
      <c r="P1362">
        <f>HYPERLINK("https://www.acritica.com/manaus/rodoviaria-de-manaus-sera-local-de-pernoite-para-venezuelanos-1.60509", "URL")</f>
        <v/>
      </c>
      <c r="Q1362">
        <f>HYPERLINK("https://raw.githubusercontent.com/marcosmapl/dataset_imigrantes/main/materias_filtered/a_critica/venezuelanos/2019/07_ago/html/1.60509_626.html", "HTML")</f>
        <v/>
      </c>
      <c r="R1362">
        <f>HYPERLINK("https://raw.githubusercontent.com/marcosmapl/dataset_imigrantes/main/materias_filtered/a_critica/venezuelanos/2019/07_ago/txt/1.60509_626.txt", "TXT")</f>
        <v/>
      </c>
    </row>
    <row r="1363">
      <c r="A1363" s="1" t="n">
        <v>1361</v>
      </c>
      <c r="B1363" t="n">
        <v>2019</v>
      </c>
      <c r="C1363" s="2" t="n">
        <v>43706.48888888889</v>
      </c>
      <c r="D1363" t="inlineStr">
        <is>
          <t>PORTAL AMAZONIA</t>
        </is>
      </c>
      <c r="E1363" t="inlineStr">
        <is>
          <t>VENEZUELANOS</t>
        </is>
      </c>
      <c r="F1363" t="inlineStr">
        <is>
          <t>CIDADES</t>
        </is>
      </c>
      <c r="G1363" t="inlineStr">
        <is>
          <t>REDAÇÃO</t>
        </is>
      </c>
      <c r="H1363" t="inlineStr">
        <is>
          <t>MILHARES DE IMIGRANTES DA VENEZUELA VIVEM EM ABRIGOS IMPROVISADOS NO NORTE DO BRASIL</t>
        </is>
      </c>
      <c r="I1363" t="inlineStr">
        <is>
          <t>A CRISE NA VENEZUELA CONTINUA INTENSIFICANDO O FLUXO MIGRATÓRIO PARA OUTROS PAÍSES, COMO O BRASIL, ATRAVÉS DOS ESTADOS QUE FAZEM FRONTEIRA, COMO O AMAZONAS E RORAIMA. SEGUNDO O PE. JAIME CARLOS PATIAS, CONSELHEIRO GERAL DA CONGREGAÇÃO DOS MISSIONÁRIO</t>
        </is>
      </c>
      <c r="J1363" t="inlineStr"/>
      <c r="K1363" t="n">
        <v>0</v>
      </c>
      <c r="L1363" t="n">
        <v>5</v>
      </c>
      <c r="M1363" t="n">
        <v>0</v>
      </c>
      <c r="N1363" t="n">
        <v>0</v>
      </c>
      <c r="O1363" t="n">
        <v>5</v>
      </c>
      <c r="P1363">
        <f>HYPERLINK("https://portalamazonia.com/noticias/cidades/milhares-de-imigrantes-da-venezuela-vivem-em-abrigos-improvisados-no-norte-do-brasil", "URL")</f>
        <v/>
      </c>
      <c r="Q1363">
        <f>HYPERLINK("https://raw.githubusercontent.com/marcosmapl/dataset_imigrantes/main/materias_filtered/portal_amazonia/venezuelanos/2019/07_ago/html/24272.24272_1580.html", "HTML")</f>
        <v/>
      </c>
      <c r="R1363">
        <f>HYPERLINK("https://raw.githubusercontent.com/marcosmapl/dataset_imigrantes/main/materias_filtered/portal_amazonia/venezuelanos/2019/07_ago/txt/24272.24272_1580.txt", "TXT")</f>
        <v/>
      </c>
    </row>
    <row r="1364">
      <c r="A1364" s="1" t="n">
        <v>1362</v>
      </c>
      <c r="B1364" t="n">
        <v>2019</v>
      </c>
      <c r="C1364" s="2" t="n">
        <v>43706.46738425926</v>
      </c>
      <c r="D1364" t="inlineStr">
        <is>
          <t>A CRITICA</t>
        </is>
      </c>
      <c r="E1364" t="inlineStr">
        <is>
          <t>VENEZUELANOS</t>
        </is>
      </c>
      <c r="F1364" t="inlineStr">
        <is>
          <t>OPINIAO</t>
        </is>
      </c>
      <c r="G1364" t="inlineStr"/>
      <c r="H1364" t="inlineStr">
        <is>
          <t>REFUGIADOS: DESAFIO DO ACOLHIMENTO</t>
        </is>
      </c>
      <c r="I1364" t="inlineStr"/>
      <c r="J1364" t="inlineStr"/>
      <c r="K1364" t="n">
        <v>0</v>
      </c>
      <c r="L1364" t="n">
        <v>1</v>
      </c>
      <c r="M1364" t="n">
        <v>0</v>
      </c>
      <c r="N1364" t="n">
        <v>0</v>
      </c>
      <c r="O1364" t="n">
        <v>0</v>
      </c>
      <c r="P1364">
        <f>HYPERLINK("https://www.acritica.com/opiniao/refugiados-desafio-do-acolhimento-1.227344", "URL")</f>
        <v/>
      </c>
      <c r="Q1364">
        <f>HYPERLINK("https://raw.githubusercontent.com/marcosmapl/dataset_imigrantes/main/materias_filtered/a_critica/venezuelanos/2019/07_ago/html/1.227344_860.html", "HTML")</f>
        <v/>
      </c>
      <c r="R1364">
        <f>HYPERLINK("https://raw.githubusercontent.com/marcosmapl/dataset_imigrantes/main/materias_filtered/a_critica/venezuelanos/2019/07_ago/txt/1.227344_860.txt", "TXT")</f>
        <v/>
      </c>
    </row>
    <row r="1365">
      <c r="A1365" s="1" t="n">
        <v>1363</v>
      </c>
      <c r="B1365" t="n">
        <v>2019</v>
      </c>
      <c r="C1365" s="2" t="n">
        <v>43706.3752075463</v>
      </c>
      <c r="D1365" t="inlineStr">
        <is>
          <t>G1</t>
        </is>
      </c>
      <c r="E1365" t="inlineStr">
        <is>
          <t>VENEZUELANOS</t>
        </is>
      </c>
      <c r="F1365" t="inlineStr">
        <is>
          <t>RORAIMA</t>
        </is>
      </c>
      <c r="G1365" t="inlineStr">
        <is>
          <t>EMILY COSTA, G1 RR — BOA VISTA</t>
        </is>
      </c>
      <c r="H1365" t="inlineStr">
        <is>
          <t>AO MENOS 7 VENEZUELANAS DÃO À LUZ POR DIA NA MATERNIDADE DE RR; NÚMERO É QUASE O DOBRO DE 2018</t>
        </is>
      </c>
      <c r="I1365" t="inlineStr">
        <is>
          <t>PUXADO PELA IMIGRAÇÃO VENEZUELANA, ESTADO TEVE CRESCIMENTO POPULACIONAL DE 5,1%, O MAIOR DO PAÍS NO ÚLTIMO ANO, SEGUNDO O IBGE. NA ÚNICA MATERNIDADE DO ESTADO, 25% DOS 31 NASCIMENTOS DIÁRIOS SÃO DE FILHOS DE VENEZUELANAS.</t>
        </is>
      </c>
      <c r="J1365" t="inlineStr"/>
      <c r="K1365" t="n">
        <v>0</v>
      </c>
      <c r="L1365" t="n">
        <v>1</v>
      </c>
      <c r="M1365" t="n">
        <v>0</v>
      </c>
      <c r="N1365" t="n">
        <v>0</v>
      </c>
      <c r="O1365" t="n">
        <v>20</v>
      </c>
      <c r="P1365">
        <f>HYPERLINK("https://g1.globo.com/rr/roraima/noticia/2019/08/29/ao-menos-7-venezuelanas-dao-a-luz-por-dia-na-maternidade-de-rr-numero-e-quase-o-dobro-de-2018.ghtml", "URL")</f>
        <v/>
      </c>
      <c r="Q1365">
        <f>HYPERLINK("https://raw.githubusercontent.com/marcosmapl/dataset_imigrantes/main/materias_filtered/g1/venezuelanos/2019/07_ago/html/g1_3fd2e69a-2314-11ed-b24f-6dbe51e79fca_3054.html", "HTML")</f>
        <v/>
      </c>
      <c r="R1365">
        <f>HYPERLINK("https://raw.githubusercontent.com/marcosmapl/dataset_imigrantes/main/materias_filtered/g1/venezuelanos/2019/07_ago/txt/g1_3fd2e69a-2314-11ed-b24f-6dbe51e79fca_3054.txt", "TXT")</f>
        <v/>
      </c>
    </row>
    <row r="1366">
      <c r="A1366" s="1" t="n">
        <v>1364</v>
      </c>
      <c r="B1366" t="n">
        <v>2019</v>
      </c>
      <c r="C1366" s="2" t="n">
        <v>43705.73484953704</v>
      </c>
      <c r="D1366" t="inlineStr">
        <is>
          <t>A CRITICA</t>
        </is>
      </c>
      <c r="E1366" t="inlineStr">
        <is>
          <t>VENEZUELANOS</t>
        </is>
      </c>
      <c r="F1366" t="inlineStr">
        <is>
          <t>MANAUS</t>
        </is>
      </c>
      <c r="G1366" t="inlineStr">
        <is>
          <t>KAROL ROCHA</t>
        </is>
      </c>
      <c r="H1366" t="inlineStr">
        <is>
          <t>VENEZUELANOS 'RESISTENTES' DECIDEM PERMANECER NAS IMEDIAÇÕES DA RODOVIÁRIA</t>
        </is>
      </c>
      <c r="I1366" t="inlineStr">
        <is>
          <t>“NÃO VOU SAIR DAQUI. NÃO SABEMOS SE DEPOIS DE IRMOS PARA O LOCAL TEMPORÁRIO, VAMOS RETORNAR PARA CÁ", DISSE UMA VENEZUELANA</t>
        </is>
      </c>
      <c r="J1366" t="inlineStr"/>
      <c r="K1366" t="n">
        <v>0</v>
      </c>
      <c r="L1366" t="n">
        <v>1</v>
      </c>
      <c r="M1366" t="n">
        <v>0</v>
      </c>
      <c r="N1366" t="n">
        <v>0</v>
      </c>
      <c r="O1366" t="n">
        <v>1</v>
      </c>
      <c r="P1366">
        <f>HYPERLINK("https://www.acritica.com/manaus/venezuelanos-resistentes-decidem-permanecer-nas-imediac-es-da-rodoviaria-1.60682", "URL")</f>
        <v/>
      </c>
      <c r="Q1366">
        <f>HYPERLINK("https://raw.githubusercontent.com/marcosmapl/dataset_imigrantes/main/materias_filtered/a_critica/venezuelanos/2019/07_ago/html/1.60682_1220.html", "HTML")</f>
        <v/>
      </c>
      <c r="R1366">
        <f>HYPERLINK("https://raw.githubusercontent.com/marcosmapl/dataset_imigrantes/main/materias_filtered/a_critica/venezuelanos/2019/07_ago/txt/1.60682_1220.txt", "TXT")</f>
        <v/>
      </c>
    </row>
    <row r="1367">
      <c r="A1367" s="1" t="n">
        <v>1365</v>
      </c>
      <c r="B1367" t="n">
        <v>2019</v>
      </c>
      <c r="C1367" s="2" t="n">
        <v>43705.58168981481</v>
      </c>
      <c r="D1367" t="inlineStr">
        <is>
          <t>A CRITICA</t>
        </is>
      </c>
      <c r="E1367" t="inlineStr">
        <is>
          <t>VENEZUELANOS</t>
        </is>
      </c>
      <c r="F1367" t="inlineStr"/>
      <c r="G1367" t="inlineStr">
        <is>
          <t>AGÊNCIA BRASIL</t>
        </is>
      </c>
      <c r="H1367" t="inlineStr">
        <is>
          <t>PROCON MULTA GOL LINHAS AÉREAS EM R$ 3,5 MILHÕES POR PROMOÇÃO IRREGULAR</t>
        </is>
      </c>
      <c r="I1367" t="inlineStr">
        <is>
          <t>O ANÚNCIO ERA DE QUE SERIAM VENDIDAS PASSAGENS PELO VALOR DE R$ 3,90 DURANTE A PARTIDA DE FUTEBOL DA SELEÇÃO BRASILEIRA CONTRA A VENEZUELANA NO DIA 18 DE JUNHO</t>
        </is>
      </c>
      <c r="J1367" t="inlineStr"/>
      <c r="K1367" t="n">
        <v>0</v>
      </c>
      <c r="L1367" t="n">
        <v>1</v>
      </c>
      <c r="M1367" t="n">
        <v>0</v>
      </c>
      <c r="N1367" t="n">
        <v>0</v>
      </c>
      <c r="O1367" t="n">
        <v>0</v>
      </c>
      <c r="P1367">
        <f>HYPERLINK("https://www.acritica.com/procon-multa-gol-linhas-aereas-em-r-3-5-milh-es-por-promoc-o-irregular-1.60618", "URL")</f>
        <v/>
      </c>
      <c r="Q1367">
        <f>HYPERLINK("https://raw.githubusercontent.com/marcosmapl/dataset_imigrantes/main/materias_filtered/a_critica/venezuelanos/2019/07_ago/html/1.60618_434.html", "HTML")</f>
        <v/>
      </c>
      <c r="R1367">
        <f>HYPERLINK("https://raw.githubusercontent.com/marcosmapl/dataset_imigrantes/main/materias_filtered/a_critica/venezuelanos/2019/07_ago/txt/1.60618_434.txt", "TXT")</f>
        <v/>
      </c>
    </row>
    <row r="1368">
      <c r="A1368" s="1" t="n">
        <v>1366</v>
      </c>
      <c r="B1368" t="n">
        <v>2019</v>
      </c>
      <c r="C1368" s="2" t="n">
        <v>43705.41448260417</v>
      </c>
      <c r="D1368" t="inlineStr">
        <is>
          <t>G1</t>
        </is>
      </c>
      <c r="E1368" t="inlineStr">
        <is>
          <t>VENEZUELANOS</t>
        </is>
      </c>
      <c r="F1368" t="inlineStr">
        <is>
          <t>CEARÁ</t>
        </is>
      </c>
      <c r="G1368" t="inlineStr">
        <is>
          <t>G1 CE</t>
        </is>
      </c>
      <c r="H1368" t="inlineStr">
        <is>
          <t>VENEZUELANO É PRESO COM 2 QUILOS DE COCAÍNA NO AEROPORTO DE FORTALEZA TENTANDO EMBARCAR PARA A EUROPA</t>
        </is>
      </c>
      <c r="I1368" t="inlineStr">
        <is>
          <t>ENTORPECENTE TERIA COMO DESTINO A CIDADE DE LISBOA, EM PORTUGAL.</t>
        </is>
      </c>
      <c r="J1368" t="inlineStr"/>
      <c r="K1368" t="n">
        <v>0</v>
      </c>
      <c r="L1368" t="n">
        <v>1</v>
      </c>
      <c r="M1368" t="n">
        <v>0</v>
      </c>
      <c r="N1368" t="n">
        <v>0</v>
      </c>
      <c r="O1368" t="n">
        <v>0</v>
      </c>
      <c r="P1368">
        <f>HYPERLINK("https://g1.globo.com/ce/ceara/noticia/2019/08/28/venezuelano-e-preso-com-2-quilos-de-cocaina-no-aeroporto-de-fortaleza-tentando-embarcar-para-a-europa.ghtml", "URL")</f>
        <v/>
      </c>
      <c r="Q1368">
        <f>HYPERLINK("https://raw.githubusercontent.com/marcosmapl/dataset_imigrantes/main/materias_filtered/g1/venezuelanos/2019/07_ago/html/g1_f346993a-232b-11ed-b24f-6dbe51e79fca_4280.html", "HTML")</f>
        <v/>
      </c>
      <c r="R1368">
        <f>HYPERLINK("https://raw.githubusercontent.com/marcosmapl/dataset_imigrantes/main/materias_filtered/g1/venezuelanos/2019/07_ago/txt/g1_f346993a-232b-11ed-b24f-6dbe51e79fca_4280.txt", "TXT")</f>
        <v/>
      </c>
    </row>
    <row r="1369">
      <c r="A1369" s="1" t="n">
        <v>1367</v>
      </c>
      <c r="B1369" t="n">
        <v>2019</v>
      </c>
      <c r="C1369" s="2" t="n">
        <v>43704.93888888889</v>
      </c>
      <c r="D1369" t="inlineStr">
        <is>
          <t>A CRITICA</t>
        </is>
      </c>
      <c r="E1369" t="inlineStr">
        <is>
          <t>VENEZUELANOS</t>
        </is>
      </c>
      <c r="F1369" t="inlineStr">
        <is>
          <t>MANAUS</t>
        </is>
      </c>
      <c r="G1369" t="inlineStr">
        <is>
          <t>PEDRO SOUSA</t>
        </is>
      </c>
      <c r="H1369" t="inlineStr">
        <is>
          <t>FORÇAS ARMADAS RETIRAM VENEZUELANOS DA RODOVIÁRIA DE MANAUS</t>
        </is>
      </c>
      <c r="I1369" t="inlineStr">
        <is>
          <t>FAMÍLIAS SÃO LEVADAS PARA ARENA AMADEU TEIXEIRA, ONDE DEVEM PERMANECER POR PELO MENOS TRÊS DIAS, ATÉ A CONSTRUÇÃO DE NOVOS ABRIGOS NA RODOVIÁRIA</t>
        </is>
      </c>
      <c r="J1369" t="inlineStr"/>
      <c r="K1369" t="n">
        <v>0</v>
      </c>
      <c r="L1369" t="n">
        <v>1</v>
      </c>
      <c r="M1369" t="n">
        <v>0</v>
      </c>
      <c r="N1369" t="n">
        <v>0</v>
      </c>
      <c r="O1369" t="n">
        <v>0</v>
      </c>
      <c r="P1369">
        <f>HYPERLINK("https://www.acritica.com/manaus/forcas-armadas-retiram-venezuelanos-da-rodoviaria-de-manaus-1.60734", "URL")</f>
        <v/>
      </c>
      <c r="Q1369">
        <f>HYPERLINK("https://raw.githubusercontent.com/marcosmapl/dataset_imigrantes/main/materias_filtered/a_critica/venezuelanos/2019/07_ago/html/1.60734_105.html", "HTML")</f>
        <v/>
      </c>
      <c r="R1369">
        <f>HYPERLINK("https://raw.githubusercontent.com/marcosmapl/dataset_imigrantes/main/materias_filtered/a_critica/venezuelanos/2019/07_ago/txt/1.60734_105.txt", "TXT")</f>
        <v/>
      </c>
    </row>
    <row r="1370">
      <c r="A1370" s="1" t="n">
        <v>1368</v>
      </c>
      <c r="B1370" t="n">
        <v>2019</v>
      </c>
      <c r="C1370" s="2" t="n">
        <v>43704.86084366898</v>
      </c>
      <c r="D1370" t="inlineStr">
        <is>
          <t>G1</t>
        </is>
      </c>
      <c r="E1370" t="inlineStr">
        <is>
          <t>VENEZUELANOS</t>
        </is>
      </c>
      <c r="F1370" t="inlineStr">
        <is>
          <t>RORAIMA</t>
        </is>
      </c>
      <c r="G1370" t="inlineStr">
        <is>
          <t>G1 RR — BOA VISTA</t>
        </is>
      </c>
      <c r="H1370" t="inlineStr">
        <is>
          <t>VENEZUELANO É BALEADO POR ENGANO EM BORRACHARIA NA ZONA OESTE DE BOA VISTA</t>
        </is>
      </c>
      <c r="I1370" t="inlineStr">
        <is>
          <t>JOVEM, DE 21 ANOS, AGUARDAVA ESTABELECIMENTO ABRIR QUANDO DOIS HOMENS EM UMA MOTO CHEGARAM ATIRANDO.</t>
        </is>
      </c>
      <c r="J1370" t="inlineStr"/>
      <c r="K1370" t="n">
        <v>0</v>
      </c>
      <c r="L1370" t="n">
        <v>1</v>
      </c>
      <c r="M1370" t="n">
        <v>0</v>
      </c>
      <c r="N1370" t="n">
        <v>0</v>
      </c>
      <c r="O1370" t="n">
        <v>1</v>
      </c>
      <c r="P1370">
        <f>HYPERLINK("https://g1.globo.com/rr/roraima/noticia/2019/08/27/venezuelano-e-baleado-por-engano-em-borracharia-na-zona-oeste-de-boa-vista.ghtml", "URL")</f>
        <v/>
      </c>
      <c r="Q1370">
        <f>HYPERLINK("https://raw.githubusercontent.com/marcosmapl/dataset_imigrantes/main/materias_filtered/g1/venezuelanos/2019/07_ago/html/g1_efea63be-2323-11ed-b24f-6dbe51e79fca_3837.html", "HTML")</f>
        <v/>
      </c>
      <c r="R1370">
        <f>HYPERLINK("https://raw.githubusercontent.com/marcosmapl/dataset_imigrantes/main/materias_filtered/g1/venezuelanos/2019/07_ago/txt/g1_efea63be-2323-11ed-b24f-6dbe51e79fca_3837.txt", "TXT")</f>
        <v/>
      </c>
    </row>
    <row r="1371">
      <c r="A1371" s="1" t="n">
        <v>1369</v>
      </c>
      <c r="B1371" t="n">
        <v>2019</v>
      </c>
      <c r="C1371" s="2" t="n">
        <v>43704.53904302084</v>
      </c>
      <c r="D1371" t="inlineStr">
        <is>
          <t>G1</t>
        </is>
      </c>
      <c r="E1371" t="inlineStr">
        <is>
          <t>VENEZUELANOS</t>
        </is>
      </c>
      <c r="F1371" t="inlineStr">
        <is>
          <t>RORAIMA</t>
        </is>
      </c>
      <c r="G1371" t="inlineStr">
        <is>
          <t>G1 RR* — BOA VISTA</t>
        </is>
      </c>
      <c r="H1371" t="inlineStr">
        <is>
          <t>VENEZUELANO É MORTO A PAULADAS ENQUANTO DORMIA EM AVENIDA DE BOA VISTA</t>
        </is>
      </c>
      <c r="I1371" t="inlineStr">
        <is>
          <t>VÍTIMA FOI ENCONTRADA MORTA COM O ROSTO COBERTO DE SANGUE POR VOLTA DAS 3H DESTA TERÇA-FEIRA (27). NINGUÉM FOI PRESO.</t>
        </is>
      </c>
      <c r="J1371" t="inlineStr"/>
      <c r="K1371" t="n">
        <v>0</v>
      </c>
      <c r="L1371" t="n">
        <v>1</v>
      </c>
      <c r="M1371" t="n">
        <v>0</v>
      </c>
      <c r="N1371" t="n">
        <v>0</v>
      </c>
      <c r="O1371" t="n">
        <v>1</v>
      </c>
      <c r="P1371">
        <f>HYPERLINK("https://g1.globo.com/rr/roraima/noticia/2019/08/27/venezuelano-e-morto-a-pauladas-enquanto-dormia-em-avenida-de-boa-vista.ghtml", "URL")</f>
        <v/>
      </c>
      <c r="Q1371">
        <f>HYPERLINK("https://raw.githubusercontent.com/marcosmapl/dataset_imigrantes/main/materias_filtered/g1/venezuelanos/2019/07_ago/html/g1_0fa70a1a-2313-11ed-b24f-6dbe51e79fca_2990.html", "HTML")</f>
        <v/>
      </c>
      <c r="R1371">
        <f>HYPERLINK("https://raw.githubusercontent.com/marcosmapl/dataset_imigrantes/main/materias_filtered/g1/venezuelanos/2019/07_ago/txt/g1_0fa70a1a-2313-11ed-b24f-6dbe51e79fca_2990.txt", "TXT")</f>
        <v/>
      </c>
    </row>
    <row r="1372">
      <c r="A1372" s="1" t="n">
        <v>1370</v>
      </c>
      <c r="B1372" t="n">
        <v>2019</v>
      </c>
      <c r="C1372" s="2" t="n">
        <v>43702.52725939815</v>
      </c>
      <c r="D1372" t="inlineStr">
        <is>
          <t>G1</t>
        </is>
      </c>
      <c r="E1372" t="inlineStr">
        <is>
          <t>VENEZUELANOS</t>
        </is>
      </c>
      <c r="F1372" t="inlineStr">
        <is>
          <t>RIO GRANDE DO SUL</t>
        </is>
      </c>
      <c r="G1372" t="inlineStr">
        <is>
          <t>G1 RS</t>
        </is>
      </c>
      <c r="H1372" t="inlineStr">
        <is>
          <t>ATAQUE EM ESCOLA, VENEZUELANA SUSPEITA DE MATAR FILHA E OUTRAS NOTÍCIAS DA SEMANA NO RS</t>
        </is>
      </c>
      <c r="I1372" t="inlineStr">
        <is>
          <t>CONFIRA AS MATÉRIAS QUE FORAM MAIS ACESSADAS NO G1 RS DE 19 A 24 DE AGOSTO.</t>
        </is>
      </c>
      <c r="J1372" t="inlineStr"/>
      <c r="K1372" t="n">
        <v>0</v>
      </c>
      <c r="L1372" t="n">
        <v>4</v>
      </c>
      <c r="M1372" t="n">
        <v>1</v>
      </c>
      <c r="N1372" t="n">
        <v>0</v>
      </c>
      <c r="O1372" t="n">
        <v>6</v>
      </c>
      <c r="P1372">
        <f>HYPERLINK("https://g1.globo.com/rs/rio-grande-do-sul/noticia/2019/08/25/ataque-em-escola-venezuelana-suspeita-de-matar-filha-e-outras-noticias-da-semana-no-rs.ghtml", "URL")</f>
        <v/>
      </c>
      <c r="Q1372">
        <f>HYPERLINK("https://raw.githubusercontent.com/marcosmapl/dataset_imigrantes/main/materias_filtered/g1/venezuelanos/2019/07_ago/html/g1_a8cb212e-230c-11ed-b24f-6dbe51e79fca_2639.html", "HTML")</f>
        <v/>
      </c>
      <c r="R1372">
        <f>HYPERLINK("https://raw.githubusercontent.com/marcosmapl/dataset_imigrantes/main/materias_filtered/g1/venezuelanos/2019/07_ago/txt/g1_a8cb212e-230c-11ed-b24f-6dbe51e79fca_2639.txt", "TXT")</f>
        <v/>
      </c>
    </row>
    <row r="1373">
      <c r="A1373" s="1" t="n">
        <v>1371</v>
      </c>
      <c r="B1373" t="n">
        <v>2019</v>
      </c>
      <c r="C1373" s="2" t="n">
        <v>43700.59372685185</v>
      </c>
      <c r="D1373" t="inlineStr">
        <is>
          <t>A CRITICA</t>
        </is>
      </c>
      <c r="E1373" t="inlineStr">
        <is>
          <t>VENEZUELANOS</t>
        </is>
      </c>
      <c r="F1373" t="inlineStr">
        <is>
          <t>POLICIA</t>
        </is>
      </c>
      <c r="G1373" t="inlineStr">
        <is>
          <t>MARCOS LIMA</t>
        </is>
      </c>
      <c r="H1373" t="inlineStr">
        <is>
          <t>HOMEM É PRESO POR SUSPEITA DE EXTORSÃO AO SE PASSAR POR GAROTO DE PROGRAMA</t>
        </is>
      </c>
      <c r="I1373" t="inlineStr">
        <is>
          <t>SEGUNDO DENÚNCIAS, DIEGO FELIPE MOREIRA FERREIRA CONHECIA PESSOAS POR MEIO DE UM APLICATIVO DE RELACIONAMENTOS, MAS, DEPOIS DE MANTER RELAÇÕES SEXUAIS, DIZIA QUE ERA GAROTO DE PROGRAMA E COBRAVA</t>
        </is>
      </c>
      <c r="J1373" t="inlineStr"/>
      <c r="K1373" t="n">
        <v>0</v>
      </c>
      <c r="L1373" t="n">
        <v>1</v>
      </c>
      <c r="M1373" t="n">
        <v>0</v>
      </c>
      <c r="N1373" t="n">
        <v>0</v>
      </c>
      <c r="O1373" t="n">
        <v>0</v>
      </c>
      <c r="P1373">
        <f>HYPERLINK("https://www.acritica.com/policia/homem-e-preso-por-suspeita-de-extors-o-ao-se-passar-por-garoto-de-programa-1.61072", "URL")</f>
        <v/>
      </c>
      <c r="Q1373">
        <f>HYPERLINK("https://raw.githubusercontent.com/marcosmapl/dataset_imigrantes/main/materias_filtered/a_critica/venezuelanos/2019/07_ago/html/1.61072_1063.html", "HTML")</f>
        <v/>
      </c>
      <c r="R1373">
        <f>HYPERLINK("https://raw.githubusercontent.com/marcosmapl/dataset_imigrantes/main/materias_filtered/a_critica/venezuelanos/2019/07_ago/txt/1.61072_1063.txt", "TXT")</f>
        <v/>
      </c>
    </row>
    <row r="1374">
      <c r="A1374" s="1" t="n">
        <v>1372</v>
      </c>
      <c r="B1374" t="n">
        <v>2019</v>
      </c>
      <c r="C1374" s="2" t="n">
        <v>43700.55228180555</v>
      </c>
      <c r="D1374" t="inlineStr">
        <is>
          <t>G1</t>
        </is>
      </c>
      <c r="E1374" t="inlineStr">
        <is>
          <t>VENEZUELANOS</t>
        </is>
      </c>
      <c r="F1374" t="inlineStr">
        <is>
          <t>MATO GROSSO</t>
        </is>
      </c>
      <c r="G1374" t="inlineStr">
        <is>
          <t>G1 MT</t>
        </is>
      </c>
      <c r="H1374" t="inlineStr">
        <is>
          <t>SITUAÇÃO DE CRIANÇAS VENEZUELANAS NAS VIAS DE CUIABÁ É DENUNCIADA E MPE PLANEJA ABORDAGEM NAS FAMÍLIAS</t>
        </is>
      </c>
      <c r="I1374" t="inlineStr">
        <is>
          <t>VENEZUELANOS FICAM NAS ROTATÓRIAS E AVENIDAS PEDINDO EMPREGO E DINHEIRO NA CAPITAL. DEZENAS DE DENÚNCIAS CHEGARAM À PROMOTORIA DE INFÂNCIA E JUVENTUDE, SEGUNDO O MPE.</t>
        </is>
      </c>
      <c r="J1374" t="inlineStr"/>
      <c r="K1374" t="n">
        <v>0</v>
      </c>
      <c r="L1374" t="n">
        <v>3</v>
      </c>
      <c r="M1374" t="n">
        <v>0</v>
      </c>
      <c r="N1374" t="n">
        <v>0</v>
      </c>
      <c r="O1374" t="n">
        <v>0</v>
      </c>
      <c r="P1374">
        <f>HYPERLINK("https://g1.globo.com/mt/mato-grosso/noticia/2019/08/23/situacao-de-criancas-venezuelanas-nas-vias-de-cuiaba-e-denunciada-e-mpe-planeja-abordagem-nas-familias.ghtml", "URL")</f>
        <v/>
      </c>
      <c r="Q1374">
        <f>HYPERLINK("https://raw.githubusercontent.com/marcosmapl/dataset_imigrantes/main/materias_filtered/g1/venezuelanos/2019/07_ago/html/g1_78ee9a56-2327-11ed-b24f-6dbe51e79fca_4037.html", "HTML")</f>
        <v/>
      </c>
      <c r="R1374">
        <f>HYPERLINK("https://raw.githubusercontent.com/marcosmapl/dataset_imigrantes/main/materias_filtered/g1/venezuelanos/2019/07_ago/txt/g1_78ee9a56-2327-11ed-b24f-6dbe51e79fca_4037.txt", "TXT")</f>
        <v/>
      </c>
    </row>
    <row r="1375">
      <c r="A1375" s="1" t="n">
        <v>1373</v>
      </c>
      <c r="B1375" t="n">
        <v>2019</v>
      </c>
      <c r="C1375" s="2" t="n">
        <v>43699.63454649306</v>
      </c>
      <c r="D1375" t="inlineStr">
        <is>
          <t>G1</t>
        </is>
      </c>
      <c r="E1375" t="inlineStr">
        <is>
          <t>HAITIANOS</t>
        </is>
      </c>
      <c r="F1375" t="inlineStr">
        <is>
          <t>MATO GROSSO</t>
        </is>
      </c>
      <c r="G1375" t="inlineStr">
        <is>
          <t>G1 MT</t>
        </is>
      </c>
      <c r="H1375" t="inlineStr">
        <is>
          <t>HAITIANO É PRESO AO TENTAR VENDER MOTO ROUBADA PARA A DONA DO VEÍCULO EM CUIABÁ</t>
        </is>
      </c>
      <c r="I1375" t="inlineStr">
        <is>
          <t>A DONA DO VEÍCULO FOI QUEM ACIONOU A POLÍCIA, DEPOIS DE RECONHECER O VEÍCULO EM UM ANÚNCIO NUM SITE DE VENDAS. O HAITIANO, DE 30 ANOS, FOI PRESO E DEVE RESPONDER POR RECEPTAÇÃO.</t>
        </is>
      </c>
      <c r="J1375" t="inlineStr"/>
      <c r="K1375" t="n">
        <v>0</v>
      </c>
      <c r="L1375" t="n">
        <v>1</v>
      </c>
      <c r="M1375" t="n">
        <v>0</v>
      </c>
      <c r="N1375" t="n">
        <v>0</v>
      </c>
      <c r="O1375" t="n">
        <v>0</v>
      </c>
      <c r="P1375">
        <f>HYPERLINK("https://g1.globo.com/mt/mato-grosso/noticia/2019/08/22/haitiano-e-preso-ao-tentar-vender-moto-roubada-para-a-dona-do-veiculo-em-cuiaba.ghtml", "URL")</f>
        <v/>
      </c>
      <c r="Q1375">
        <f>HYPERLINK("https://raw.githubusercontent.com/marcosmapl/dataset_imigrantes/main/materias_filtered/g1/haitianos/2019/07_ago/html/g1_5a251218-22f4-11ed-b24f-6dbe51e79fca_1883.html", "HTML")</f>
        <v/>
      </c>
      <c r="R1375">
        <f>HYPERLINK("https://raw.githubusercontent.com/marcosmapl/dataset_imigrantes/main/materias_filtered/g1/haitianos/2019/07_ago/txt/g1_5a251218-22f4-11ed-b24f-6dbe51e79fca_1883.txt", "TXT")</f>
        <v/>
      </c>
    </row>
    <row r="1376">
      <c r="A1376" s="1" t="n">
        <v>1374</v>
      </c>
      <c r="B1376" t="n">
        <v>2019</v>
      </c>
      <c r="C1376" s="2" t="n">
        <v>43699.57709034722</v>
      </c>
      <c r="D1376" t="inlineStr">
        <is>
          <t>G1</t>
        </is>
      </c>
      <c r="E1376" t="inlineStr">
        <is>
          <t>AMBOS</t>
        </is>
      </c>
      <c r="F1376" t="inlineStr">
        <is>
          <t>POLÍTICA</t>
        </is>
      </c>
      <c r="G1376" t="inlineStr">
        <is>
          <t>LUIZ FELIPE BARBIÉRI, G1 — BRASÍLIA</t>
        </is>
      </c>
      <c r="H1376" t="inlineStr">
        <is>
          <t>VENEZUELANOS SÃO QUASE 70% DOS REFUGIADOS COM CARTEIRAS DE TRABALHO EMITIDAS EM 2018</t>
        </is>
      </c>
      <c r="I1376" t="inlineStr">
        <is>
          <t>HAITIANOS CONTINUAM A LIDERAR EMPREGO FORMAL ENTRE IMIGRANTES NO BRASIL, SEGUIDOS POR VENEZUELANOS, PARAGUAIOS, ARGENTINOS E BOLIVIANOS, SEGUNDO RELATÓRIO DO MINISTÉRIO DA JUSTIÇA.</t>
        </is>
      </c>
      <c r="J1376" t="inlineStr"/>
      <c r="K1376" t="n">
        <v>0</v>
      </c>
      <c r="L1376" t="n">
        <v>2</v>
      </c>
      <c r="M1376" t="n">
        <v>1</v>
      </c>
      <c r="N1376" t="n">
        <v>0</v>
      </c>
      <c r="O1376" t="n">
        <v>4</v>
      </c>
      <c r="P1376">
        <f>HYPERLINK("https://g1.globo.com/politica/politicos/noticia/2019/08/22/venezuelanos-representam-quase-70percent-das-carteiras-de-trabalho-emitidas-pelo-governo-a-refugiados-em-2018.ghtml", "URL")</f>
        <v/>
      </c>
      <c r="Q1376">
        <f>HYPERLINK("https://raw.githubusercontent.com/marcosmapl/dataset_imigrantes/main/materias_filtered/g1/ambos/2019/07_ago/html/g1_19119724-2321-11ed-b24f-6dbe51e79fca_3679.html", "HTML")</f>
        <v/>
      </c>
      <c r="R1376">
        <f>HYPERLINK("https://raw.githubusercontent.com/marcosmapl/dataset_imigrantes/main/materias_filtered/g1/ambos/2019/07_ago/txt/g1_19119724-2321-11ed-b24f-6dbe51e79fca_3679.txt", "TXT")</f>
        <v/>
      </c>
    </row>
    <row r="1377">
      <c r="A1377" s="1" t="n">
        <v>1375</v>
      </c>
      <c r="B1377" t="n">
        <v>2019</v>
      </c>
      <c r="C1377" s="2" t="n">
        <v>43698.74375</v>
      </c>
      <c r="D1377" t="inlineStr">
        <is>
          <t>A CRITICA</t>
        </is>
      </c>
      <c r="E1377" t="inlineStr">
        <is>
          <t>VENEZUELANOS</t>
        </is>
      </c>
      <c r="F1377" t="inlineStr">
        <is>
          <t>POLICIA</t>
        </is>
      </c>
      <c r="G1377" t="inlineStr">
        <is>
          <t>AMANDA GUIMARÃES</t>
        </is>
      </c>
      <c r="H1377" t="inlineStr">
        <is>
          <t>CONFUSÃO EM ABRIGO NO COROADO TERMINA COM VENEZUELANO E PM FERIDOS</t>
        </is>
      </c>
      <c r="I1377" t="inlineStr">
        <is>
          <t>UM VENEZUELANO CHEGOU A SER ATINGIDO COM UM DISPARO DE ARMA DE FOGO DE RASPÃO NA PERNA</t>
        </is>
      </c>
      <c r="J1377" t="inlineStr"/>
      <c r="K1377" t="n">
        <v>0</v>
      </c>
      <c r="L1377" t="n">
        <v>1</v>
      </c>
      <c r="M1377" t="n">
        <v>0</v>
      </c>
      <c r="N1377" t="n">
        <v>0</v>
      </c>
      <c r="O1377" t="n">
        <v>0</v>
      </c>
      <c r="P1377">
        <f>HYPERLINK("https://www.acritica.com/policia/confus-o-em-abrigo-no-coroado-termina-com-venezuelano-e-pm-feridos-1.61203", "URL")</f>
        <v/>
      </c>
      <c r="Q1377">
        <f>HYPERLINK("https://raw.githubusercontent.com/marcosmapl/dataset_imigrantes/main/materias_filtered/a_critica/venezuelanos/2019/07_ago/html/1.61203_1379.html", "HTML")</f>
        <v/>
      </c>
      <c r="R1377">
        <f>HYPERLINK("https://raw.githubusercontent.com/marcosmapl/dataset_imigrantes/main/materias_filtered/a_critica/venezuelanos/2019/07_ago/txt/1.61203_1379.txt", "TXT")</f>
        <v/>
      </c>
    </row>
    <row r="1378">
      <c r="A1378" s="1" t="n">
        <v>1376</v>
      </c>
      <c r="B1378" t="n">
        <v>2019</v>
      </c>
      <c r="C1378" s="2" t="n">
        <v>43698.69364244213</v>
      </c>
      <c r="D1378" t="inlineStr">
        <is>
          <t>G1</t>
        </is>
      </c>
      <c r="E1378" t="inlineStr">
        <is>
          <t>VENEZUELANOS</t>
        </is>
      </c>
      <c r="F1378" t="inlineStr">
        <is>
          <t>AMAZONAS</t>
        </is>
      </c>
      <c r="G1378" t="inlineStr">
        <is>
          <t>G1 AM</t>
        </is>
      </c>
      <c r="H1378" t="inlineStr">
        <is>
          <t>APÓS FORÇAR POUSO EM RIO, VENEZUELANO QUE PILOTAVA HIDROAVIÃO É PRESO COM ARMAS E MUNIÇÕES NO AM</t>
        </is>
      </c>
      <c r="I1378" t="inlineStr">
        <is>
          <t>SEGUNDO A POLÍCIA, HOMEM FARIA BUSCA DE CARGA DE DROGAS NA CIDADE DE BARCELOS PARA DEPOIS TRANSPORTAR E DISTRIBUIR O ENTORPECENTE PARA OUTRAS CIDADES DO ESTADO.</t>
        </is>
      </c>
      <c r="J1378" t="inlineStr"/>
      <c r="K1378" t="n">
        <v>0</v>
      </c>
      <c r="L1378" t="n">
        <v>1</v>
      </c>
      <c r="M1378" t="n">
        <v>0</v>
      </c>
      <c r="N1378" t="n">
        <v>0</v>
      </c>
      <c r="O1378" t="n">
        <v>0</v>
      </c>
      <c r="P1378">
        <f>HYPERLINK("https://g1.globo.com/am/amazonas/noticia/2019/08/21/apos-forcar-pouso-em-rio-venezuelano-que-pilotava-hidroaviao-e-preso-com-armas-e-municoes-no-am.ghtml", "URL")</f>
        <v/>
      </c>
      <c r="Q1378">
        <f>HYPERLINK("https://raw.githubusercontent.com/marcosmapl/dataset_imigrantes/main/materias_filtered/g1/venezuelanos/2019/07_ago/html/g1_50120330-231c-11ed-b24f-6dbe51e79fca_3439.html", "HTML")</f>
        <v/>
      </c>
      <c r="R1378">
        <f>HYPERLINK("https://raw.githubusercontent.com/marcosmapl/dataset_imigrantes/main/materias_filtered/g1/venezuelanos/2019/07_ago/txt/g1_50120330-231c-11ed-b24f-6dbe51e79fca_3439.txt", "TXT")</f>
        <v/>
      </c>
    </row>
    <row r="1379">
      <c r="A1379" s="1" t="n">
        <v>1377</v>
      </c>
      <c r="B1379" t="n">
        <v>2019</v>
      </c>
      <c r="C1379" s="2" t="n">
        <v>43698.69335648148</v>
      </c>
      <c r="D1379" t="inlineStr">
        <is>
          <t>A CRITICA</t>
        </is>
      </c>
      <c r="E1379" t="inlineStr">
        <is>
          <t>VENEZUELANOS</t>
        </is>
      </c>
      <c r="F1379" t="inlineStr">
        <is>
          <t>POLICIA</t>
        </is>
      </c>
      <c r="G1379" t="inlineStr">
        <is>
          <t>PORTAL A CRÍTICA</t>
        </is>
      </c>
      <c r="H1379" t="inlineStr">
        <is>
          <t>VENEZUELANO QUE PILOTAVA AERONAVE É PRESO COM ARMAS E MUNIÇÕES NO AM</t>
        </is>
      </c>
      <c r="I1379" t="inlineStr">
        <is>
          <t>A ABORDAGEM AO SUSPEITO FOI REALIZADA APÓS A AERONAVE REALIZAR UM POUSO FORÇADO NO RIO UNINI, NAS PROXIMIDADES DE BARCELOS</t>
        </is>
      </c>
      <c r="J1379" t="inlineStr"/>
      <c r="K1379" t="n">
        <v>0</v>
      </c>
      <c r="L1379" t="n">
        <v>1</v>
      </c>
      <c r="M1379" t="n">
        <v>0</v>
      </c>
      <c r="N1379" t="n">
        <v>0</v>
      </c>
      <c r="O1379" t="n">
        <v>0</v>
      </c>
      <c r="P1379">
        <f>HYPERLINK("https://www.acritica.com/policia/venezuelano-que-pilotava-aeronave-e-preso-com-armas-e-munic-es-no-am-1.61248", "URL")</f>
        <v/>
      </c>
      <c r="Q1379">
        <f>HYPERLINK("https://raw.githubusercontent.com/marcosmapl/dataset_imigrantes/main/materias_filtered/a_critica/venezuelanos/2019/07_ago/html/1.61248_610.html", "HTML")</f>
        <v/>
      </c>
      <c r="R1379">
        <f>HYPERLINK("https://raw.githubusercontent.com/marcosmapl/dataset_imigrantes/main/materias_filtered/a_critica/venezuelanos/2019/07_ago/txt/1.61248_610.txt", "TXT")</f>
        <v/>
      </c>
    </row>
    <row r="1380">
      <c r="A1380" s="1" t="n">
        <v>1378</v>
      </c>
      <c r="B1380" t="n">
        <v>2019</v>
      </c>
      <c r="C1380" s="2" t="n">
        <v>43697.92853099537</v>
      </c>
      <c r="D1380" t="inlineStr">
        <is>
          <t>G1</t>
        </is>
      </c>
      <c r="E1380" t="inlineStr">
        <is>
          <t>VENEZUELANOS</t>
        </is>
      </c>
      <c r="F1380" t="inlineStr">
        <is>
          <t>RIO GRANDE DO SUL</t>
        </is>
      </c>
      <c r="G1380" t="inlineStr">
        <is>
          <t>JONAS CAMPOS, MATHEUS BECK, RBS TV E G1 RS</t>
        </is>
      </c>
      <c r="H1380" t="inlineStr">
        <is>
          <t>VENEZUELANA SUSPEITA DE MATAR A FILHA DE DOIS ANOS É PRESA EM SÃO LEOPOLDO</t>
        </is>
      </c>
      <c r="I1380" t="inlineStr">
        <is>
          <t>SEGUNDO A POLÍCIA, CRIANÇA MORREU POR HEMORRAGIA INTERNA APÓS PERFURAÇÃO DE ÓRGÃOS ORIGINADO DE AGRESSÕES. PADRASTO DA CRIANÇA TAMBÉM É INVESTIGADO POR PARTICIPAÇÃO NO CRIME.</t>
        </is>
      </c>
      <c r="J1380" t="inlineStr"/>
      <c r="K1380" t="n">
        <v>0</v>
      </c>
      <c r="L1380" t="n">
        <v>3</v>
      </c>
      <c r="M1380" t="n">
        <v>1</v>
      </c>
      <c r="N1380" t="n">
        <v>0</v>
      </c>
      <c r="O1380" t="n">
        <v>0</v>
      </c>
      <c r="P1380">
        <f>HYPERLINK("https://g1.globo.com/rs/rio-grande-do-sul/noticia/2019/08/20/venezuelana-suspeita-de-matar-a-filha-de-dois-anos-e-presa-em-sao-leopoldo.ghtml", "URL")</f>
        <v/>
      </c>
      <c r="Q1380">
        <f>HYPERLINK("https://raw.githubusercontent.com/marcosmapl/dataset_imigrantes/main/materias_filtered/g1/venezuelanos/2019/07_ago/html/g1_58103e6a-230a-11ed-b24f-6dbe51e79fca_2499.html", "HTML")</f>
        <v/>
      </c>
      <c r="R1380">
        <f>HYPERLINK("https://raw.githubusercontent.com/marcosmapl/dataset_imigrantes/main/materias_filtered/g1/venezuelanos/2019/07_ago/txt/g1_58103e6a-230a-11ed-b24f-6dbe51e79fca_2499.txt", "TXT")</f>
        <v/>
      </c>
    </row>
    <row r="1381">
      <c r="A1381" s="1" t="n">
        <v>1379</v>
      </c>
      <c r="B1381" t="n">
        <v>2019</v>
      </c>
      <c r="C1381" s="2" t="n">
        <v>43697.48185546296</v>
      </c>
      <c r="D1381" t="inlineStr">
        <is>
          <t>G1</t>
        </is>
      </c>
      <c r="E1381" t="inlineStr">
        <is>
          <t>VENEZUELANOS</t>
        </is>
      </c>
      <c r="F1381" t="inlineStr">
        <is>
          <t>POLÍTICA</t>
        </is>
      </c>
      <c r="G1381" t="inlineStr">
        <is>
          <t>ANA KRÜGER E GABRIEL PALMA, G1 E TV GLOBO — BRASÍLIA</t>
        </is>
      </c>
      <c r="H1381" t="inlineStr">
        <is>
          <t>GOVERNO DECIDE BARRAR ENTRADA DE FUNCIONÁRIOS VENEZUELANOS NO BRASIL</t>
        </is>
      </c>
      <c r="I1381" t="inlineStr">
        <is>
          <t>SEGUNDO PORTARIA PUBLICADA NO 'DIÁRIO OFICIAL DA UNIÃO', A MEDIDA VALE PARA 'ALTOS FUNCIONÁRIOS DO REGIME VENEZUELANO'. DECISÃO É ASSINADA POR SÉRGIO MORO E ERNESTO ARAÚJO.</t>
        </is>
      </c>
      <c r="J1381" t="inlineStr"/>
      <c r="K1381" t="n">
        <v>0</v>
      </c>
      <c r="L1381" t="n">
        <v>2</v>
      </c>
      <c r="M1381" t="n">
        <v>1</v>
      </c>
      <c r="N1381" t="n">
        <v>0</v>
      </c>
      <c r="O1381" t="n">
        <v>6</v>
      </c>
      <c r="P1381">
        <f>HYPERLINK("https://g1.globo.com/politica/noticia/2019/08/20/governo-decide-barrar-entrada-de-funcionarios-venezuelanos-no-brasil.ghtml", "URL")</f>
        <v/>
      </c>
      <c r="Q1381">
        <f>HYPERLINK("https://raw.githubusercontent.com/marcosmapl/dataset_imigrantes/main/materias_filtered/g1/venezuelanos/2019/07_ago/html/g1_8ad1ed6e-2326-11ed-b24f-6dbe51e79fca_3983.html", "HTML")</f>
        <v/>
      </c>
      <c r="R1381">
        <f>HYPERLINK("https://raw.githubusercontent.com/marcosmapl/dataset_imigrantes/main/materias_filtered/g1/venezuelanos/2019/07_ago/txt/g1_8ad1ed6e-2326-11ed-b24f-6dbe51e79fca_3983.txt", "TXT")</f>
        <v/>
      </c>
    </row>
    <row r="1382">
      <c r="A1382" s="1" t="n">
        <v>1380</v>
      </c>
      <c r="B1382" t="n">
        <v>2019</v>
      </c>
      <c r="C1382" s="2" t="n">
        <v>43697.42896990741</v>
      </c>
      <c r="D1382" t="inlineStr">
        <is>
          <t>A CRITICA</t>
        </is>
      </c>
      <c r="E1382" t="inlineStr">
        <is>
          <t>AMBOS</t>
        </is>
      </c>
      <c r="F1382" t="inlineStr">
        <is>
          <t>MANAUS</t>
        </is>
      </c>
      <c r="G1382" t="inlineStr">
        <is>
          <t>LUIZ G. MELO</t>
        </is>
      </c>
      <c r="H1382" t="inlineStr">
        <is>
          <t>CASA DE APOIO A CRIANÇAS PEDE AJUDA PARA MANTER FUNCIONAMENTO EM MANAUS</t>
        </is>
      </c>
      <c r="I1382" t="inlineStr">
        <is>
          <t>FUNCIONANDO HÁ SEIS ANOS, A CASA DE APOIO ÀS CRIANÇAS FILHAS DE MIGRANTES ESTÁ PRECISANDO DE DOAÇÕES PARA MANTER AS PORTAS ABERTAS. SAIBA COMO AJUDAR</t>
        </is>
      </c>
      <c r="J1382" t="inlineStr"/>
      <c r="K1382" t="n">
        <v>0</v>
      </c>
      <c r="L1382" t="n">
        <v>1</v>
      </c>
      <c r="M1382" t="n">
        <v>0</v>
      </c>
      <c r="N1382" t="n">
        <v>0</v>
      </c>
      <c r="O1382" t="n">
        <v>0</v>
      </c>
      <c r="P1382">
        <f>HYPERLINK("https://www.acritica.com/manaus/casa-de-apoio-a-criancas-pede-ajuda-para-manter-funcionamento-em-manaus-1.61394", "URL")</f>
        <v/>
      </c>
      <c r="Q1382">
        <f>HYPERLINK("https://raw.githubusercontent.com/marcosmapl/dataset_imigrantes/main/materias_filtered/a_critica/ambos/2019/07_ago/html/1.61394_376.html", "HTML")</f>
        <v/>
      </c>
      <c r="R1382">
        <f>HYPERLINK("https://raw.githubusercontent.com/marcosmapl/dataset_imigrantes/main/materias_filtered/a_critica/ambos/2019/07_ago/txt/1.61394_376.txt", "TXT")</f>
        <v/>
      </c>
    </row>
    <row r="1383">
      <c r="A1383" s="1" t="n">
        <v>1381</v>
      </c>
      <c r="B1383" t="n">
        <v>2019</v>
      </c>
      <c r="C1383" s="2" t="n">
        <v>43696.9218115625</v>
      </c>
      <c r="D1383" t="inlineStr">
        <is>
          <t>G1</t>
        </is>
      </c>
      <c r="E1383" t="inlineStr">
        <is>
          <t>VENEZUELANOS</t>
        </is>
      </c>
      <c r="F1383" t="inlineStr">
        <is>
          <t>MUNDO</t>
        </is>
      </c>
      <c r="G1383" t="inlineStr">
        <is>
          <t>FRANCE PRESSE</t>
        </is>
      </c>
      <c r="H1383" t="inlineStr">
        <is>
          <t>CANADÁ VAI ACEITAR PASSAPORTES VENEZUELANOS VENCIDOS</t>
        </is>
      </c>
      <c r="I1383" t="inlineStr">
        <is>
          <t>REGRA PARA OBTENÇÃO DE VISTOS NÃO MUDA, MAS CIDADÃOS DA VENEZUELA PODERÃO UTILIZAR OS DOCUMENTOS VENCIDOS PARA ENTRAR OU PERMANECER EM TERRITÓRIO CANADENSE.</t>
        </is>
      </c>
      <c r="J1383" t="inlineStr"/>
      <c r="K1383" t="n">
        <v>0</v>
      </c>
      <c r="L1383" t="n">
        <v>2</v>
      </c>
      <c r="M1383" t="n">
        <v>0</v>
      </c>
      <c r="N1383" t="n">
        <v>0</v>
      </c>
      <c r="O1383" t="n">
        <v>10</v>
      </c>
      <c r="P1383">
        <f>HYPERLINK("https://g1.globo.com/mundo/noticia/2019/08/19/canada-vai-aceitar-passaportes-venezuelanos-vencidos.ghtml", "URL")</f>
        <v/>
      </c>
      <c r="Q1383">
        <f>HYPERLINK("https://raw.githubusercontent.com/marcosmapl/dataset_imigrantes/main/materias_filtered/g1/venezuelanos/2019/07_ago/html/g1_0f783956-2327-11ed-b24f-6dbe51e79fca_4015.html", "HTML")</f>
        <v/>
      </c>
      <c r="R1383">
        <f>HYPERLINK("https://raw.githubusercontent.com/marcosmapl/dataset_imigrantes/main/materias_filtered/g1/venezuelanos/2019/07_ago/txt/g1_0f783956-2327-11ed-b24f-6dbe51e79fca_4015.txt", "TXT")</f>
        <v/>
      </c>
    </row>
    <row r="1384">
      <c r="A1384" s="1" t="n">
        <v>1382</v>
      </c>
      <c r="B1384" t="n">
        <v>2019</v>
      </c>
      <c r="C1384" s="2" t="n">
        <v>43696.82737498842</v>
      </c>
      <c r="D1384" t="inlineStr">
        <is>
          <t>G1</t>
        </is>
      </c>
      <c r="E1384" t="inlineStr">
        <is>
          <t>VENEZUELANOS</t>
        </is>
      </c>
      <c r="F1384" t="inlineStr">
        <is>
          <t>RIO GRANDE DO SUL</t>
        </is>
      </c>
      <c r="G1384" t="inlineStr">
        <is>
          <t>G1 RS</t>
        </is>
      </c>
      <c r="H1384" t="inlineStr">
        <is>
          <t>RIO GRANDE DO SUL RECEBE NOVOS GRUPOS DE IMIGRANTES VENEZUELANOS</t>
        </is>
      </c>
      <c r="I1384" t="inlineStr">
        <is>
          <t>NO TOTAL, 130 IMIGRANTES VIERAM PARA O ESTADO NO FIM DE SEMANA, CONFORME O EXÉRCITO, PARA CIDADES DO INTERIOR E DA REGIÃO METROPOLITANA DE PORTO ALEGRE. MINISTÉRIO CONFIRMA VINDA DE MAIS 10 VENEZUELANOS NA TERÇA-FEIRA (20).</t>
        </is>
      </c>
      <c r="J1384" t="inlineStr"/>
      <c r="K1384" t="n">
        <v>0</v>
      </c>
      <c r="L1384" t="n">
        <v>2</v>
      </c>
      <c r="M1384" t="n">
        <v>1</v>
      </c>
      <c r="N1384" t="n">
        <v>0</v>
      </c>
      <c r="O1384" t="n">
        <v>2</v>
      </c>
      <c r="P1384">
        <f>HYPERLINK("https://g1.globo.com/rs/rio-grande-do-sul/noticia/2019/08/19/rio-grande-do-sul-recebe-novos-grupos-de-imigrantes-venezuelanos.ghtml", "URL")</f>
        <v/>
      </c>
      <c r="Q1384">
        <f>HYPERLINK("https://raw.githubusercontent.com/marcosmapl/dataset_imigrantes/main/materias_filtered/g1/venezuelanos/2019/07_ago/html/g1_61a16f8e-2324-11ed-b24f-6dbe51e79fca_3868.html", "HTML")</f>
        <v/>
      </c>
      <c r="R1384">
        <f>HYPERLINK("https://raw.githubusercontent.com/marcosmapl/dataset_imigrantes/main/materias_filtered/g1/venezuelanos/2019/07_ago/txt/g1_61a16f8e-2324-11ed-b24f-6dbe51e79fca_3868.txt", "TXT")</f>
        <v/>
      </c>
    </row>
    <row r="1385">
      <c r="A1385" s="1" t="n">
        <v>1383</v>
      </c>
      <c r="B1385" t="n">
        <v>2019</v>
      </c>
      <c r="C1385" s="2" t="n">
        <v>43696.57579850694</v>
      </c>
      <c r="D1385" t="inlineStr">
        <is>
          <t>G1</t>
        </is>
      </c>
      <c r="E1385" t="inlineStr">
        <is>
          <t>VENEZUELANOS</t>
        </is>
      </c>
      <c r="F1385" t="inlineStr">
        <is>
          <t>AMAZONAS</t>
        </is>
      </c>
      <c r="G1385" t="inlineStr">
        <is>
          <t>G1 AM</t>
        </is>
      </c>
      <c r="H1385" t="inlineStr">
        <is>
          <t>IDOSO É BALEADO EM TENTATIVA DE HOMICÍDIO DE VENEZUELANO NA ZONA LESTE DE MANAUS, DIZ POLÍCIA</t>
        </is>
      </c>
      <c r="I1385" t="inlineStr">
        <is>
          <t>POLÍCIA DIZ QUE SUSPEITOS QUERIAM ATINGIR VENEZUELANO, QUE É EX-PRESIDIÁRIO.</t>
        </is>
      </c>
      <c r="J1385" t="inlineStr"/>
      <c r="K1385" t="n">
        <v>0</v>
      </c>
      <c r="L1385" t="n">
        <v>1</v>
      </c>
      <c r="M1385" t="n">
        <v>0</v>
      </c>
      <c r="N1385" t="n">
        <v>0</v>
      </c>
      <c r="O1385" t="n">
        <v>0</v>
      </c>
      <c r="P1385">
        <f>HYPERLINK("https://g1.globo.com/am/amazonas/noticia/2019/08/19/idoso-e-baleado-em-tentativa-de-homicidio-de-venezuelano-na-zona-leste-de-manaus-diz-policia.ghtml", "URL")</f>
        <v/>
      </c>
      <c r="Q1385">
        <f>HYPERLINK("https://raw.githubusercontent.com/marcosmapl/dataset_imigrantes/main/materias_filtered/g1/venezuelanos/2019/07_ago/html/g1_6d198ab2-2311-11ed-b24f-6dbe51e79fca_2914.html", "HTML")</f>
        <v/>
      </c>
      <c r="R1385">
        <f>HYPERLINK("https://raw.githubusercontent.com/marcosmapl/dataset_imigrantes/main/materias_filtered/g1/venezuelanos/2019/07_ago/txt/g1_6d198ab2-2311-11ed-b24f-6dbe51e79fca_2914.txt", "TXT")</f>
        <v/>
      </c>
    </row>
    <row r="1386">
      <c r="A1386" s="1" t="n">
        <v>1384</v>
      </c>
      <c r="B1386" t="n">
        <v>2019</v>
      </c>
      <c r="C1386" s="2" t="n">
        <v>43696.55208333334</v>
      </c>
      <c r="D1386" t="inlineStr">
        <is>
          <t>A CRITICA</t>
        </is>
      </c>
      <c r="E1386" t="inlineStr">
        <is>
          <t>AMBOS</t>
        </is>
      </c>
      <c r="F1386" t="inlineStr"/>
      <c r="G1386" t="inlineStr">
        <is>
          <t>SUELEN GONÇALVES</t>
        </is>
      </c>
      <c r="H1386" t="inlineStr">
        <is>
          <t>'O SUS ESTÁ CADA VEZ MAIS CARO E MAL UTILIZADO', DIZ DOUTOR EM BIOÉTICA</t>
        </is>
      </c>
      <c r="I1386" t="inlineStr">
        <is>
          <t>PLÍNIO MONTEIRO COMPARA OS MODELOS DE SISTEMAS DE SAÚDE DO BRASIL, ONDE O SERVIÇO É UM DIREITO, AO DOS ESTADOS UNIDOS, QUE O TRATA COMO MERCADORIA E ALERTA: BRASIL INVESTE ERRADO EM SAÚDE E "CAMINHA" PARA AMPLIAR MODELO MERCADOLÓGICO, PREJUDICANDO QUEM TEM MENOS RENDA</t>
        </is>
      </c>
      <c r="J1386" t="inlineStr"/>
      <c r="K1386" t="n">
        <v>0</v>
      </c>
      <c r="L1386" t="n">
        <v>1</v>
      </c>
      <c r="M1386" t="n">
        <v>0</v>
      </c>
      <c r="N1386" t="n">
        <v>0</v>
      </c>
      <c r="O1386" t="n">
        <v>0</v>
      </c>
      <c r="P1386">
        <f>HYPERLINK("https://www.acritica.com/o-sus-esta-cada-vez-mais-caro-e-mal-utilizado-diz-doutor-em-bioetica-1.61432", "URL")</f>
        <v/>
      </c>
      <c r="Q1386">
        <f>HYPERLINK("https://raw.githubusercontent.com/marcosmapl/dataset_imigrantes/main/materias_filtered/a_critica/ambos/2019/07_ago/html/1.61432_199.html", "HTML")</f>
        <v/>
      </c>
      <c r="R1386">
        <f>HYPERLINK("https://raw.githubusercontent.com/marcosmapl/dataset_imigrantes/main/materias_filtered/a_critica/ambos/2019/07_ago/txt/1.61432_199.txt", "TXT")</f>
        <v/>
      </c>
    </row>
    <row r="1387">
      <c r="A1387" s="1" t="n">
        <v>1385</v>
      </c>
      <c r="B1387" t="n">
        <v>2019</v>
      </c>
      <c r="C1387" s="2" t="n">
        <v>43696.44166666667</v>
      </c>
      <c r="D1387" t="inlineStr">
        <is>
          <t>PORTAL AMAZONIA</t>
        </is>
      </c>
      <c r="E1387" t="inlineStr">
        <is>
          <t>VENEZUELANOS</t>
        </is>
      </c>
      <c r="F1387" t="inlineStr">
        <is>
          <t>CIDADES</t>
        </is>
      </c>
      <c r="G1387" t="inlineStr">
        <is>
          <t>REDAÇÃO</t>
        </is>
      </c>
      <c r="H1387" t="inlineStr">
        <is>
          <t>ALTO COMISSÁRIO DA ONU PARA REFUGIADOS PEDE APOIO INTERNACIONAL A ACOLHIDA DE VENEZUELANOS</t>
        </is>
      </c>
      <c r="I1387" t="inlineStr">
        <is>
          <t>O ALTO COMISSÁRIO DA AGÊNCIA PARA REFUGIADOS DA ONU (ACNUR), FILIPPO GRANDI, AFIRMOU QUE VEIO AO BRASIL CONHECER A SITUAÇÃO PESSOALMENTE PARA PODER PEDIR À COMUNIDADE INTERNACIONAL MAIS RECURSOS PARA QUE OS PAÍSES DA REGIÃO TENHAM A CAPACIDADE DE ACO</t>
        </is>
      </c>
      <c r="J1387" t="inlineStr">
        <is>
          <t>ACNUR ONU, ALTO COMISSÁRIO DA ACNUR, AMAZONAS, FILIPPO GRANDI, MANAUS, ONU, PACARAIMA, RORAIMA</t>
        </is>
      </c>
      <c r="K1387" t="n">
        <v>8</v>
      </c>
      <c r="L1387" t="n">
        <v>2</v>
      </c>
      <c r="M1387" t="n">
        <v>0</v>
      </c>
      <c r="N1387" t="n">
        <v>0</v>
      </c>
      <c r="O1387" t="n">
        <v>13</v>
      </c>
      <c r="P1387">
        <f>HYPERLINK("https://portalamazonia.com/noticias/cidades/alto-comissario-da-onu-para-refugiados-pede-apoio-internacional-a-acolhida-de-venezuelanos", "URL")</f>
        <v/>
      </c>
      <c r="Q1387">
        <f>HYPERLINK("https://raw.githubusercontent.com/marcosmapl/dataset_imigrantes/main/materias_filtered/portal_amazonia/venezuelanos/2019/07_ago/html/24186.24186_1552.html", "HTML")</f>
        <v/>
      </c>
      <c r="R1387">
        <f>HYPERLINK("https://raw.githubusercontent.com/marcosmapl/dataset_imigrantes/main/materias_filtered/portal_amazonia/venezuelanos/2019/07_ago/txt/24186.24186_1552.txt", "TXT")</f>
        <v/>
      </c>
    </row>
    <row r="1388">
      <c r="A1388" s="1" t="n">
        <v>1386</v>
      </c>
      <c r="B1388" t="n">
        <v>2019</v>
      </c>
      <c r="C1388" s="2" t="n">
        <v>43694.79133101852</v>
      </c>
      <c r="D1388" t="inlineStr">
        <is>
          <t>A CRITICA</t>
        </is>
      </c>
      <c r="E1388" t="inlineStr">
        <is>
          <t>VENEZUELANOS</t>
        </is>
      </c>
      <c r="F1388" t="inlineStr">
        <is>
          <t>MANAUS</t>
        </is>
      </c>
      <c r="G1388" t="inlineStr">
        <is>
          <t>PORTAL A CRÍTICA</t>
        </is>
      </c>
      <c r="H1388" t="inlineStr">
        <is>
          <t>REFUGIADOS VENEZUELANOS RECEBEM SERVIÇOS DE SAÚDE NA RODOVIÁRIA DE MANAUS</t>
        </is>
      </c>
      <c r="I1388" t="inlineStr">
        <is>
          <t>ENTRE OS ATENDIMENTOS OFERECIDOS ESTAVAM CONSULTAS MÉDICAS, VACINAÇÕES E TESTES RÁPIDOS</t>
        </is>
      </c>
      <c r="J1388" t="inlineStr"/>
      <c r="K1388" t="n">
        <v>0</v>
      </c>
      <c r="L1388" t="n">
        <v>1</v>
      </c>
      <c r="M1388" t="n">
        <v>0</v>
      </c>
      <c r="N1388" t="n">
        <v>0</v>
      </c>
      <c r="O1388" t="n">
        <v>0</v>
      </c>
      <c r="P1388">
        <f>HYPERLINK("https://www.acritica.com/manaus/refugiados-venezuelanos-recebem-servicos-de-saude-na-rodoviaria-de-manaus-1.61521", "URL")</f>
        <v/>
      </c>
      <c r="Q1388">
        <f>HYPERLINK("https://raw.githubusercontent.com/marcosmapl/dataset_imigrantes/main/materias_filtered/a_critica/venezuelanos/2019/07_ago/html/1.61521_629.html", "HTML")</f>
        <v/>
      </c>
      <c r="R1388">
        <f>HYPERLINK("https://raw.githubusercontent.com/marcosmapl/dataset_imigrantes/main/materias_filtered/a_critica/venezuelanos/2019/07_ago/txt/1.61521_629.txt", "TXT")</f>
        <v/>
      </c>
    </row>
    <row r="1389">
      <c r="A1389" s="1" t="n">
        <v>1387</v>
      </c>
      <c r="B1389" t="n">
        <v>2019</v>
      </c>
      <c r="C1389" s="2" t="n">
        <v>43693.66129872685</v>
      </c>
      <c r="D1389" t="inlineStr">
        <is>
          <t>G1</t>
        </is>
      </c>
      <c r="E1389" t="inlineStr">
        <is>
          <t>VENEZUELANOS</t>
        </is>
      </c>
      <c r="F1389" t="inlineStr">
        <is>
          <t>RORAIMA</t>
        </is>
      </c>
      <c r="G1389" t="inlineStr">
        <is>
          <t>G1 RR — BOA VISTA</t>
        </is>
      </c>
      <c r="H1389" t="inlineStr">
        <is>
          <t>VENEZUELANO É ACHADO DECAPITADO E SEM UM DOS BRAÇOS EM TERRENO BALDIO EM BOA VISTA</t>
        </is>
      </c>
      <c r="I1389" t="inlineStr">
        <is>
          <t>VÍTIMA FOI IDENTIFICADA COMO DIEGO ANDRES PIAMO, DE 20 ANOS; ELE TAMBÉM TINHA ALGEMA NO PULSO DIREITO E ESTAVA COM AS PERNAS AMARRADAS COM UMA LONA.</t>
        </is>
      </c>
      <c r="J1389" t="inlineStr"/>
      <c r="K1389" t="n">
        <v>0</v>
      </c>
      <c r="L1389" t="n">
        <v>1</v>
      </c>
      <c r="M1389" t="n">
        <v>0</v>
      </c>
      <c r="N1389" t="n">
        <v>0</v>
      </c>
      <c r="O1389" t="n">
        <v>1</v>
      </c>
      <c r="P1389">
        <f>HYPERLINK("https://g1.globo.com/rr/roraima/noticia/2019/08/16/venezuelano-e-achado-decapitado-e-sem-um-dos-bracos-em-terreno-baldio-em-boa-vista.ghtml", "URL")</f>
        <v/>
      </c>
      <c r="Q1389">
        <f>HYPERLINK("https://raw.githubusercontent.com/marcosmapl/dataset_imigrantes/main/materias_filtered/g1/venezuelanos/2019/07_ago/html/g1_c6390bc2-232a-11ed-b24f-6dbe51e79fca_4202.html", "HTML")</f>
        <v/>
      </c>
      <c r="R1389">
        <f>HYPERLINK("https://raw.githubusercontent.com/marcosmapl/dataset_imigrantes/main/materias_filtered/g1/venezuelanos/2019/07_ago/txt/g1_c6390bc2-232a-11ed-b24f-6dbe51e79fca_4202.txt", "TXT")</f>
        <v/>
      </c>
    </row>
    <row r="1390">
      <c r="A1390" s="1" t="n">
        <v>1388</v>
      </c>
      <c r="B1390" t="n">
        <v>2019</v>
      </c>
      <c r="C1390" s="2" t="n">
        <v>43693.61041666667</v>
      </c>
      <c r="D1390" t="inlineStr">
        <is>
          <t>A CRITICA</t>
        </is>
      </c>
      <c r="E1390" t="inlineStr">
        <is>
          <t>VENEZUELANOS</t>
        </is>
      </c>
      <c r="F1390" t="inlineStr">
        <is>
          <t>MANAUS</t>
        </is>
      </c>
      <c r="G1390" t="inlineStr">
        <is>
          <t>PORTAL A CRÍTICA</t>
        </is>
      </c>
      <c r="H1390" t="inlineStr">
        <is>
          <t>DPE ABRE POSTOS DE COLETA DE ALIMENTOS PARA VENEZUELANOS ACOLHIDOS EM MANAUS</t>
        </is>
      </c>
      <c r="I1390" t="inlineStr">
        <is>
          <t>A AÇÃO VISA ARRECADAR BISCOITOS DOCES E BOLACHAS, CAFÉ, LEITE, FLOCOS DE MILHO, FARINHA DE TRIGO, MARGARINA, ÓLEO VEGETAL, FEIJÃO PRETO, PROTEÍNAS E PRODUTOS DE HIGIENE</t>
        </is>
      </c>
      <c r="J1390" t="inlineStr"/>
      <c r="K1390" t="n">
        <v>0</v>
      </c>
      <c r="L1390" t="n">
        <v>1</v>
      </c>
      <c r="M1390" t="n">
        <v>0</v>
      </c>
      <c r="N1390" t="n">
        <v>0</v>
      </c>
      <c r="O1390" t="n">
        <v>0</v>
      </c>
      <c r="P1390">
        <f>HYPERLINK("https://www.acritica.com/manaus/dpe-abre-postos-de-coleta-de-alimentos-para-venezuelanos-acolhidos-em-manaus-1.61861", "URL")</f>
        <v/>
      </c>
      <c r="Q1390">
        <f>HYPERLINK("https://raw.githubusercontent.com/marcosmapl/dataset_imigrantes/main/materias_filtered/a_critica/venezuelanos/2019/07_ago/html/1.61861_1069.html", "HTML")</f>
        <v/>
      </c>
      <c r="R1390">
        <f>HYPERLINK("https://raw.githubusercontent.com/marcosmapl/dataset_imigrantes/main/materias_filtered/a_critica/venezuelanos/2019/07_ago/txt/1.61861_1069.txt", "TXT")</f>
        <v/>
      </c>
    </row>
    <row r="1391">
      <c r="A1391" s="1" t="n">
        <v>1389</v>
      </c>
      <c r="B1391" t="n">
        <v>2019</v>
      </c>
      <c r="C1391" s="2" t="n">
        <v>43693.59956018518</v>
      </c>
      <c r="D1391" t="inlineStr">
        <is>
          <t>A CRITICA</t>
        </is>
      </c>
      <c r="E1391" t="inlineStr">
        <is>
          <t>VENEZUELANOS</t>
        </is>
      </c>
      <c r="F1391" t="inlineStr">
        <is>
          <t>MANAUS</t>
        </is>
      </c>
      <c r="G1391" t="inlineStr">
        <is>
          <t>DANIEL AMORIM</t>
        </is>
      </c>
      <c r="H1391" t="inlineStr">
        <is>
          <t>MORANDO AO RELENTO: DUAS MIL PESSOAS VIVEM EM SITUAÇÃO DE RUA EM MANAUS</t>
        </is>
      </c>
      <c r="I1391" t="inlineStr">
        <is>
          <t>QUEBRA DO VÍNCULO FAMILIAR, DESILUSÕES AMOROSAS E PRECONCEITO SÃO FATORES QUE LEVAM AO ABANDONO DO LAR</t>
        </is>
      </c>
      <c r="J1391" t="inlineStr"/>
      <c r="K1391" t="n">
        <v>0</v>
      </c>
      <c r="L1391" t="n">
        <v>1</v>
      </c>
      <c r="M1391" t="n">
        <v>0</v>
      </c>
      <c r="N1391" t="n">
        <v>0</v>
      </c>
      <c r="O1391" t="n">
        <v>0</v>
      </c>
      <c r="P1391">
        <f>HYPERLINK("https://www.acritica.com/manaus/morando-ao-relento-duas-mil-pessoas-vivem-em-situac-o-de-rua-em-manaus-1.61863", "URL")</f>
        <v/>
      </c>
      <c r="Q1391">
        <f>HYPERLINK("https://raw.githubusercontent.com/marcosmapl/dataset_imigrantes/main/materias_filtered/a_critica/venezuelanos/2019/07_ago/html/1.61863_273.html", "HTML")</f>
        <v/>
      </c>
      <c r="R1391">
        <f>HYPERLINK("https://raw.githubusercontent.com/marcosmapl/dataset_imigrantes/main/materias_filtered/a_critica/venezuelanos/2019/07_ago/txt/1.61863_273.txt", "TXT")</f>
        <v/>
      </c>
    </row>
    <row r="1392">
      <c r="A1392" s="1" t="n">
        <v>1390</v>
      </c>
      <c r="B1392" t="n">
        <v>2019</v>
      </c>
      <c r="C1392" s="2" t="n">
        <v>43692.50712962963</v>
      </c>
      <c r="D1392" t="inlineStr">
        <is>
          <t>A CRITICA</t>
        </is>
      </c>
      <c r="E1392" t="inlineStr">
        <is>
          <t>VENEZUELANOS</t>
        </is>
      </c>
      <c r="F1392" t="inlineStr"/>
      <c r="G1392" t="inlineStr">
        <is>
          <t>AGÊNCIA BRASIL</t>
        </is>
      </c>
      <c r="H1392" t="inlineStr">
        <is>
          <t>MADURO ACUSA EX-PRESIDENTE COLOMBIANO DE PLANO PARA ASSASSINÁ-LO</t>
        </is>
      </c>
      <c r="I1392" t="inlineStr">
        <is>
          <t>PARA NÍCOLAS MADURO, NA COLÔMBIA "ESTÃO ATERRORIZADOS COM A REVOLUÇÃO CHAVISTA BOLIVARIANA" E É POR ISSO PLANEJAM O ATAQUE</t>
        </is>
      </c>
      <c r="J1392" t="inlineStr"/>
      <c r="K1392" t="n">
        <v>0</v>
      </c>
      <c r="L1392" t="n">
        <v>1</v>
      </c>
      <c r="M1392" t="n">
        <v>0</v>
      </c>
      <c r="N1392" t="n">
        <v>0</v>
      </c>
      <c r="O1392" t="n">
        <v>0</v>
      </c>
      <c r="P1392">
        <f>HYPERLINK("https://www.acritica.com/maduro-acusa-ex-presidente-colombiano-de-plano-para-assassina-lo-1.61917", "URL")</f>
        <v/>
      </c>
      <c r="Q1392">
        <f>HYPERLINK("https://raw.githubusercontent.com/marcosmapl/dataset_imigrantes/main/materias_filtered/a_critica/venezuelanos/2019/07_ago/html/1.61917_997.html", "HTML")</f>
        <v/>
      </c>
      <c r="R1392">
        <f>HYPERLINK("https://raw.githubusercontent.com/marcosmapl/dataset_imigrantes/main/materias_filtered/a_critica/venezuelanos/2019/07_ago/txt/1.61917_997.txt", "TXT")</f>
        <v/>
      </c>
    </row>
    <row r="1393">
      <c r="A1393" s="1" t="n">
        <v>1391</v>
      </c>
      <c r="B1393" t="n">
        <v>2019</v>
      </c>
      <c r="C1393" s="2" t="n">
        <v>43691.61387731481</v>
      </c>
      <c r="D1393" t="inlineStr">
        <is>
          <t>A CRITICA</t>
        </is>
      </c>
      <c r="E1393" t="inlineStr">
        <is>
          <t>VENEZUELANOS</t>
        </is>
      </c>
      <c r="F1393" t="inlineStr"/>
      <c r="G1393" t="inlineStr">
        <is>
          <t>AGÊNCIA BRASIL</t>
        </is>
      </c>
      <c r="H1393" t="inlineStr">
        <is>
          <t>MINISTRO DA DEFESA NEGA POSSÍVEL GOLPE DE ESTADO NA VENEZUELA</t>
        </is>
      </c>
      <c r="I1393" t="inlineStr">
        <is>
          <t>GENERAL PADRINO LÓPEZ, ACRESCENTOU QUE OS MILITARES VÃO "DEFENDER A DEMOCRACIA" E O "PRESIDENTE NICOLÁS MADURO, ELEITO PELO POVO"</t>
        </is>
      </c>
      <c r="J1393" t="inlineStr"/>
      <c r="K1393" t="n">
        <v>0</v>
      </c>
      <c r="L1393" t="n">
        <v>1</v>
      </c>
      <c r="M1393" t="n">
        <v>0</v>
      </c>
      <c r="N1393" t="n">
        <v>0</v>
      </c>
      <c r="O1393" t="n">
        <v>0</v>
      </c>
      <c r="P1393">
        <f>HYPERLINK("https://www.acritica.com/ministro-da-defesa-nega-possivel-golpe-de-estado-na-venezuela-1.61958", "URL")</f>
        <v/>
      </c>
      <c r="Q1393">
        <f>HYPERLINK("https://raw.githubusercontent.com/marcosmapl/dataset_imigrantes/main/materias_filtered/a_critica/venezuelanos/2019/07_ago/html/1.61958_640.html", "HTML")</f>
        <v/>
      </c>
      <c r="R1393">
        <f>HYPERLINK("https://raw.githubusercontent.com/marcosmapl/dataset_imigrantes/main/materias_filtered/a_critica/venezuelanos/2019/07_ago/txt/1.61958_640.txt", "TXT")</f>
        <v/>
      </c>
    </row>
    <row r="1394">
      <c r="A1394" s="1" t="n">
        <v>1392</v>
      </c>
      <c r="B1394" t="n">
        <v>2019</v>
      </c>
      <c r="C1394" s="2" t="n">
        <v>43689.90447422454</v>
      </c>
      <c r="D1394" t="inlineStr">
        <is>
          <t>G1</t>
        </is>
      </c>
      <c r="E1394" t="inlineStr">
        <is>
          <t>HAITIANOS</t>
        </is>
      </c>
      <c r="F1394" t="inlineStr">
        <is>
          <t>RIO GRANDE DO SUL</t>
        </is>
      </c>
      <c r="G1394" t="inlineStr">
        <is>
          <t>G1 RS</t>
        </is>
      </c>
      <c r="H1394" t="inlineStr">
        <is>
          <t>VÍDEO MOSTRA SUSPEITO DE MATAR HAITIANA EM GRAVATAÍ MEXENDO NO CAIXA DO MOTEL; ASSISTA</t>
        </is>
      </c>
      <c r="I1394" t="inlineStr">
        <is>
          <t>PARA A POLÍCIA, TRATA-SE DE LATROCÍNIO. GERMANINE PAUL, DE 29 ANOS, FOI MORTA NO ÚLTIMO SÁBADO (10), ENQUANTO TRABALHAVA NA RECEPÇÃO DO LOCAL.</t>
        </is>
      </c>
      <c r="J1394" t="inlineStr"/>
      <c r="K1394" t="n">
        <v>0</v>
      </c>
      <c r="L1394" t="n">
        <v>3</v>
      </c>
      <c r="M1394" t="n">
        <v>1</v>
      </c>
      <c r="N1394" t="n">
        <v>0</v>
      </c>
      <c r="O1394" t="n">
        <v>2</v>
      </c>
      <c r="P1394">
        <f>HYPERLINK("https://g1.globo.com/rs/rio-grande-do-sul/noticia/2019/08/12/video-mostra-suspeito-de-matar-haitiana-em-gravatai-mexendo-no-caixa-do-motel-assista.ghtml", "URL")</f>
        <v/>
      </c>
      <c r="Q1394">
        <f>HYPERLINK("https://raw.githubusercontent.com/marcosmapl/dataset_imigrantes/main/materias_filtered/g1/haitianos/2019/07_ago/html/g1_541faab2-2322-11ed-b24f-6dbe51e79fca_3747.html", "HTML")</f>
        <v/>
      </c>
      <c r="R1394">
        <f>HYPERLINK("https://raw.githubusercontent.com/marcosmapl/dataset_imigrantes/main/materias_filtered/g1/haitianos/2019/07_ago/txt/g1_541faab2-2322-11ed-b24f-6dbe51e79fca_3747.txt", "TXT")</f>
        <v/>
      </c>
    </row>
    <row r="1395">
      <c r="A1395" s="1" t="n">
        <v>1393</v>
      </c>
      <c r="B1395" t="n">
        <v>2019</v>
      </c>
      <c r="C1395" s="2" t="n">
        <v>43689.81111111111</v>
      </c>
      <c r="D1395" t="inlineStr">
        <is>
          <t>PORTAL AMAZONIA</t>
        </is>
      </c>
      <c r="E1395" t="inlineStr">
        <is>
          <t>VENEZUELANOS</t>
        </is>
      </c>
      <c r="F1395" t="inlineStr">
        <is>
          <t>CIDADES</t>
        </is>
      </c>
      <c r="G1395" t="inlineStr">
        <is>
          <t>REDAÇÃO</t>
        </is>
      </c>
      <c r="H1395" t="inlineStr">
        <is>
          <t>ODS: EXEMPLOS BUSCAM DIMINUIR DESIGUALDADE SOCIAL NA AMAZÔNIA</t>
        </is>
      </c>
      <c r="I1395" t="inlineStr">
        <is>
          <t>A DESIGUALDADE SOCIAL É UM TEMA QUE SEMPRE SERÁ RECORRENTE NA SOCIEDADE. ABUSO CONTRA A MULHER, RACISMO, HOMOFOBIA, XENOFOBIA E EXPLORAÇÃO CONTRA MENORES, SÃO ALGUNS DOS EXEMPLOS QUE PODEMOS DESTACAR NESSE NICHO. PARA REVERTER ESSES QUADROS, A CÚPULA</t>
        </is>
      </c>
      <c r="J1395" t="inlineStr">
        <is>
          <t>AMAZONAS, CAMINHAO ODS, CIDADES, DESIGUALDADE, MANAUS, ODS</t>
        </is>
      </c>
      <c r="K1395" t="n">
        <v>6</v>
      </c>
      <c r="L1395" t="n">
        <v>17</v>
      </c>
      <c r="M1395" t="n">
        <v>0</v>
      </c>
      <c r="N1395" t="n">
        <v>0</v>
      </c>
      <c r="O1395" t="n">
        <v>11</v>
      </c>
      <c r="P1395">
        <f>HYPERLINK("https://portalamazonia.com/noticias/cidades/ods-exemplos-buscam-diminuir-desigualdade-social-na-amazonia", "URL")</f>
        <v/>
      </c>
      <c r="Q1395">
        <f>HYPERLINK("https://raw.githubusercontent.com/marcosmapl/dataset_imigrantes/main/materias_filtered/portal_amazonia/venezuelanos/2019/07_ago/html/24470.85154_1546.html", "HTML")</f>
        <v/>
      </c>
      <c r="R1395">
        <f>HYPERLINK("https://raw.githubusercontent.com/marcosmapl/dataset_imigrantes/main/materias_filtered/portal_amazonia/venezuelanos/2019/07_ago/txt/24470.85154_1546.txt", "TXT")</f>
        <v/>
      </c>
    </row>
    <row r="1396">
      <c r="A1396" s="1" t="n">
        <v>1394</v>
      </c>
      <c r="B1396" t="n">
        <v>2019</v>
      </c>
      <c r="C1396" s="2" t="n">
        <v>43689.0233940625</v>
      </c>
      <c r="D1396" t="inlineStr">
        <is>
          <t>G1</t>
        </is>
      </c>
      <c r="E1396" t="inlineStr">
        <is>
          <t>HAITIANOS</t>
        </is>
      </c>
      <c r="F1396" t="inlineStr">
        <is>
          <t>RIO GRANDE DO SUL</t>
        </is>
      </c>
      <c r="G1396" t="inlineStr">
        <is>
          <t>BERNARDO BORTOLOTTO, RBS TV</t>
        </is>
      </c>
      <c r="H1396" t="inlineStr">
        <is>
          <t>'ESPERO JUSTIÇA', DIZ MARIDO DE HAITIANA ENCONTRADA MORTA EM QUARTO DE MOTEL EM GRAVATAÍ</t>
        </is>
      </c>
      <c r="I1396" t="inlineStr">
        <is>
          <t>GERMANIE PAUL, DE 29 ANOS, MORAVA NO BRASIL HÁ QUATRO ANOS. HÁ APROXIMADAMENTE UM ANO E MEIO, COMEÇOU A TRABALHAR NO ESTABELECIMENTO ONDE ACABOU SENDO ASSASSINADA. POLÍCIA CIVIL INVESTIGA O CRIME.</t>
        </is>
      </c>
      <c r="J1396" t="inlineStr"/>
      <c r="K1396" t="n">
        <v>0</v>
      </c>
      <c r="L1396" t="n">
        <v>2</v>
      </c>
      <c r="M1396" t="n">
        <v>1</v>
      </c>
      <c r="N1396" t="n">
        <v>0</v>
      </c>
      <c r="O1396" t="n">
        <v>1</v>
      </c>
      <c r="P1396">
        <f>HYPERLINK("https://g1.globo.com/rs/rio-grande-do-sul/noticia/2019/08/11/espero-justica-diz-marido-de-haitiana-encontrada-morta-em-quarto-de-motel-em-gravatai.ghtml", "URL")</f>
        <v/>
      </c>
      <c r="Q1396">
        <f>HYPERLINK("https://raw.githubusercontent.com/marcosmapl/dataset_imigrantes/main/materias_filtered/g1/haitianos/2019/07_ago/html/g1_35d8c9dc-22ee-11ed-b24f-6dbe51e79fca_1702.html", "HTML")</f>
        <v/>
      </c>
      <c r="R1396">
        <f>HYPERLINK("https://raw.githubusercontent.com/marcosmapl/dataset_imigrantes/main/materias_filtered/g1/haitianos/2019/07_ago/txt/g1_35d8c9dc-22ee-11ed-b24f-6dbe51e79fca_1702.txt", "TXT")</f>
        <v/>
      </c>
    </row>
    <row r="1397">
      <c r="A1397" s="1" t="n">
        <v>1395</v>
      </c>
      <c r="B1397" t="n">
        <v>2019</v>
      </c>
      <c r="C1397" s="2" t="n">
        <v>43688.7537962963</v>
      </c>
      <c r="D1397" t="inlineStr">
        <is>
          <t>A CRITICA</t>
        </is>
      </c>
      <c r="E1397" t="inlineStr">
        <is>
          <t>VENEZUELANOS</t>
        </is>
      </c>
      <c r="F1397" t="inlineStr">
        <is>
          <t>ESPORTES</t>
        </is>
      </c>
      <c r="G1397" t="inlineStr">
        <is>
          <t>PORTAL A CRÍTICA</t>
        </is>
      </c>
      <c r="H1397" t="inlineStr">
        <is>
          <t>'PÁTIO RUN' REÚNE 3 MIL ATLETAS NESTE DOMINGO (11)</t>
        </is>
      </c>
      <c r="I1397" t="inlineStr">
        <is>
          <t>COMPETIÇÃO FOI DISPUTADA, NESTE ANO, COMO PARTE DA INAUGURAÇÃO DO NOVO PÁTIO GOURMET, LOCALIZADO NO CONJUNTO MORADA DO SOL, NA ZONA CENTRO-SUL DE MANAUS</t>
        </is>
      </c>
      <c r="J1397" t="inlineStr"/>
      <c r="K1397" t="n">
        <v>0</v>
      </c>
      <c r="L1397" t="n">
        <v>1</v>
      </c>
      <c r="M1397" t="n">
        <v>0</v>
      </c>
      <c r="N1397" t="n">
        <v>0</v>
      </c>
      <c r="O1397" t="n">
        <v>0</v>
      </c>
      <c r="P1397">
        <f>HYPERLINK("https://www.acritica.com/esportes/patio-run-reune-3-mil-atletas-neste-domingo-11-1.62943", "URL")</f>
        <v/>
      </c>
      <c r="Q1397">
        <f>HYPERLINK("https://raw.githubusercontent.com/marcosmapl/dataset_imigrantes/main/materias_filtered/a_critica/venezuelanos/2019/07_ago/html/1.62943_1135.html", "HTML")</f>
        <v/>
      </c>
      <c r="R1397">
        <f>HYPERLINK("https://raw.githubusercontent.com/marcosmapl/dataset_imigrantes/main/materias_filtered/a_critica/venezuelanos/2019/07_ago/txt/1.62943_1135.txt", "TXT")</f>
        <v/>
      </c>
    </row>
    <row r="1398">
      <c r="A1398" s="1" t="n">
        <v>1396</v>
      </c>
      <c r="B1398" t="n">
        <v>2019</v>
      </c>
      <c r="C1398" s="2" t="n">
        <v>43688.55913052084</v>
      </c>
      <c r="D1398" t="inlineStr">
        <is>
          <t>G1</t>
        </is>
      </c>
      <c r="E1398" t="inlineStr">
        <is>
          <t>VENEZUELANOS</t>
        </is>
      </c>
      <c r="F1398" t="inlineStr">
        <is>
          <t>AMAZONAS</t>
        </is>
      </c>
      <c r="G1398" t="inlineStr">
        <is>
          <t>ELIANA NASCIMENTO, G1 AM</t>
        </is>
      </c>
      <c r="H1398" t="inlineStr">
        <is>
          <t>DE CAMINHONEIRO A DONO DE LANCHE, VENEZUELANO COMEMORA PATERNIDADE LONGE DE CASA, MAS AO LADO DOS FILHOS: 'AQUI TENHO TEMPO'</t>
        </is>
      </c>
      <c r="I1398" t="inlineStr">
        <is>
          <t>EX-CAMINHONEIRO ERICK CEDELO, 49, CHEGOU EM MANAUS HÁ UM ANO. SEUS FILHOS, ALÉM DE ESTUDAREM, AJUDAM O PAI NO EMPREENDIMENTO.</t>
        </is>
      </c>
      <c r="J1398" t="inlineStr"/>
      <c r="K1398" t="n">
        <v>0</v>
      </c>
      <c r="L1398" t="n">
        <v>2</v>
      </c>
      <c r="M1398" t="n">
        <v>0</v>
      </c>
      <c r="N1398" t="n">
        <v>0</v>
      </c>
      <c r="O1398" t="n">
        <v>0</v>
      </c>
      <c r="P1398">
        <f>HYPERLINK("https://g1.globo.com/am/amazonas/noticia/2019/08/11/de-caminhoneiro-a-dono-de-lanche-venezuelano-comemora-paternidade-longe-de-casa-mas-ao-lado-dos-filhos-aqui-tenho-tempo.ghtml", "URL")</f>
        <v/>
      </c>
      <c r="Q1398">
        <f>HYPERLINK("https://raw.githubusercontent.com/marcosmapl/dataset_imigrantes/main/materias_filtered/g1/venezuelanos/2019/07_ago/html/g1_cdf05bf6-230f-11ed-b24f-6dbe51e79fca_2820.html", "HTML")</f>
        <v/>
      </c>
      <c r="R1398">
        <f>HYPERLINK("https://raw.githubusercontent.com/marcosmapl/dataset_imigrantes/main/materias_filtered/g1/venezuelanos/2019/07_ago/txt/g1_cdf05bf6-230f-11ed-b24f-6dbe51e79fca_2820.txt", "TXT")</f>
        <v/>
      </c>
    </row>
    <row r="1399">
      <c r="A1399" s="1" t="n">
        <v>1397</v>
      </c>
      <c r="B1399" t="n">
        <v>2019</v>
      </c>
      <c r="C1399" s="2" t="n">
        <v>43687.88070048611</v>
      </c>
      <c r="D1399" t="inlineStr">
        <is>
          <t>G1</t>
        </is>
      </c>
      <c r="E1399" t="inlineStr">
        <is>
          <t>VENEZUELANOS</t>
        </is>
      </c>
      <c r="F1399" t="inlineStr">
        <is>
          <t>AMAZONAS</t>
        </is>
      </c>
      <c r="G1399" t="inlineStr"/>
      <c r="H1399" t="inlineStr">
        <is>
          <t>COLOMBIANO E VENEZUELANO SÃO PRESOS COM MAIS DE 180 CÁPSULAS DE COCAÍNA NO ESTÔMAGO, NO INTERIOR DO AM</t>
        </is>
      </c>
      <c r="I1399" t="inlineStr">
        <is>
          <t>DUPLA FOI DESCOBERTA APÓS POLICIAIS SUSPEITAREM DE NÓDULOS NO ABDÔMEN DOS HOMENS. COLOMBIANO, SOZINHO, CARREGAVA MAIS DE 1,2 KG.</t>
        </is>
      </c>
      <c r="J1399" t="inlineStr"/>
      <c r="K1399" t="n">
        <v>0</v>
      </c>
      <c r="L1399" t="n">
        <v>2</v>
      </c>
      <c r="M1399" t="n">
        <v>0</v>
      </c>
      <c r="N1399" t="n">
        <v>0</v>
      </c>
      <c r="O1399" t="n">
        <v>0</v>
      </c>
      <c r="P1399">
        <f>HYPERLINK("https://g1.globo.com/am/amazonas/noticia/2019/08/10/colombiano-e-venezuelano-sao-presos-com-mais-de-180-capsulas-de-cocaina-no-estomago-no-interior-do-am.ghtml", "URL")</f>
        <v/>
      </c>
      <c r="Q1399">
        <f>HYPERLINK("https://raw.githubusercontent.com/marcosmapl/dataset_imigrantes/main/materias_filtered/g1/venezuelanos/2019/07_ago/html/g1_68bb916c-2308-11ed-b24f-6dbe51e79fca_2383.html", "HTML")</f>
        <v/>
      </c>
      <c r="R1399">
        <f>HYPERLINK("https://raw.githubusercontent.com/marcosmapl/dataset_imigrantes/main/materias_filtered/g1/venezuelanos/2019/07_ago/txt/g1_68bb916c-2308-11ed-b24f-6dbe51e79fca_2383.txt", "TXT")</f>
        <v/>
      </c>
    </row>
    <row r="1400">
      <c r="A1400" s="1" t="n">
        <v>1398</v>
      </c>
      <c r="B1400" t="n">
        <v>2019</v>
      </c>
      <c r="C1400" s="2" t="n">
        <v>43687.82694619213</v>
      </c>
      <c r="D1400" t="inlineStr">
        <is>
          <t>G1</t>
        </is>
      </c>
      <c r="E1400" t="inlineStr">
        <is>
          <t>HAITIANOS</t>
        </is>
      </c>
      <c r="F1400" t="inlineStr">
        <is>
          <t>RIO GRANDE DO SUL</t>
        </is>
      </c>
      <c r="G1400" t="inlineStr">
        <is>
          <t>G1 RS E RBS TV</t>
        </is>
      </c>
      <c r="H1400" t="inlineStr">
        <is>
          <t>HAITIANA É ENCONTRADA MORTA DENTRO DE MOTEL EM GRAVATAÍ</t>
        </is>
      </c>
      <c r="I1400" t="inlineStr">
        <is>
          <t>MULHER FOI IDENTIFICADA COMO GERMANIE PAUL, DE 29 ANOS. ELA TRABALHAVA COMO RECEPCIONISTA DO MOTEL. SEGUNDO DELEGADO, PRINCIPAL HIPÓTESE É LATROCÍNIO.</t>
        </is>
      </c>
      <c r="J1400" t="inlineStr"/>
      <c r="K1400" t="n">
        <v>0</v>
      </c>
      <c r="L1400" t="n">
        <v>1</v>
      </c>
      <c r="M1400" t="n">
        <v>0</v>
      </c>
      <c r="N1400" t="n">
        <v>0</v>
      </c>
      <c r="O1400" t="n">
        <v>0</v>
      </c>
      <c r="P1400">
        <f>HYPERLINK("https://g1.globo.com/rs/rio-grande-do-sul/noticia/2019/08/10/haitiana-e-encontrada-morta-dentro-de-motel-em-gravatai.ghtml", "URL")</f>
        <v/>
      </c>
      <c r="Q1400">
        <f>HYPERLINK("https://raw.githubusercontent.com/marcosmapl/dataset_imigrantes/main/materias_filtered/g1/haitianos/2019/07_ago/html/g1_a1f508ba-231b-11ed-b24f-6dbe51e79fca_3397.html", "HTML")</f>
        <v/>
      </c>
      <c r="R1400">
        <f>HYPERLINK("https://raw.githubusercontent.com/marcosmapl/dataset_imigrantes/main/materias_filtered/g1/haitianos/2019/07_ago/txt/g1_a1f508ba-231b-11ed-b24f-6dbe51e79fca_3397.txt", "TXT")</f>
        <v/>
      </c>
    </row>
    <row r="1401">
      <c r="A1401" s="1" t="n">
        <v>1399</v>
      </c>
      <c r="B1401" t="n">
        <v>2019</v>
      </c>
      <c r="C1401" s="2" t="n">
        <v>43686.70833333334</v>
      </c>
      <c r="D1401" t="inlineStr">
        <is>
          <t>A CRITICA</t>
        </is>
      </c>
      <c r="E1401" t="inlineStr">
        <is>
          <t>VENEZUELANOS</t>
        </is>
      </c>
      <c r="F1401" t="inlineStr">
        <is>
          <t>MANAUS</t>
        </is>
      </c>
      <c r="G1401" t="inlineStr">
        <is>
          <t>JOHNY VASCONCELOS</t>
        </is>
      </c>
      <c r="H1401" t="inlineStr">
        <is>
          <t>DESAPARECIMENTO DE ADOLESCENTE NA PONTA NEGRA AINDA É UM MISTÉRIO</t>
        </is>
      </c>
      <c r="I1401" t="inlineStr">
        <is>
          <t>PRESTES A COMPLETAR 8 MESES DE DESAPARECIDO, RAYNER VINICIUS DA SILVA GONÇALVES, 15, SAIU DE CASA PARA CAMINHAR NA PONTA NEGRA. UM DIA APÓS O SUMIÇO, VENEZUELANA ATENDEU LIGAÇÃO NO CELULAR DO JOVEM E FALOU QUE ELE TERIA MORRIDO</t>
        </is>
      </c>
      <c r="J1401" t="inlineStr"/>
      <c r="K1401" t="n">
        <v>0</v>
      </c>
      <c r="L1401" t="n">
        <v>1</v>
      </c>
      <c r="M1401" t="n">
        <v>0</v>
      </c>
      <c r="N1401" t="n">
        <v>0</v>
      </c>
      <c r="O1401" t="n">
        <v>2</v>
      </c>
      <c r="P1401">
        <f>HYPERLINK("https://www.acritica.com/manaus/desaparecimento-de-adolescente-na-ponta-negra-ainda-e-um-misterio-1.61793", "URL")</f>
        <v/>
      </c>
      <c r="Q1401">
        <f>HYPERLINK("https://raw.githubusercontent.com/marcosmapl/dataset_imigrantes/main/materias_filtered/a_critica/venezuelanos/2019/07_ago/html/1.61793_1104.html", "HTML")</f>
        <v/>
      </c>
      <c r="R1401">
        <f>HYPERLINK("https://raw.githubusercontent.com/marcosmapl/dataset_imigrantes/main/materias_filtered/a_critica/venezuelanos/2019/07_ago/txt/1.61793_1104.txt", "TXT")</f>
        <v/>
      </c>
    </row>
    <row r="1402">
      <c r="A1402" s="1" t="n">
        <v>1400</v>
      </c>
      <c r="B1402" t="n">
        <v>2019</v>
      </c>
      <c r="C1402" s="2" t="n">
        <v>43685.50144604166</v>
      </c>
      <c r="D1402" t="inlineStr">
        <is>
          <t>G1</t>
        </is>
      </c>
      <c r="E1402" t="inlineStr">
        <is>
          <t>VENEZUELANOS</t>
        </is>
      </c>
      <c r="F1402" t="inlineStr">
        <is>
          <t>MUNDO</t>
        </is>
      </c>
      <c r="G1402" t="inlineStr">
        <is>
          <t>G1</t>
        </is>
      </c>
      <c r="H1402" t="inlineStr">
        <is>
          <t>GRUPOS ARMADOS NA COLÔMBIA RECRUTAM CRIANÇAS DE FAMÍLIAS VENEZUELANAS, DIZ ONG</t>
        </is>
      </c>
      <c r="I1402" t="inlineStr">
        <is>
          <t>RELATÓRIO DA HUMAN RIGHTS WATCH REVELA SÉRIE DE HOMICÍDIOS, RECRUTAMENTO FORÇADO DE CRIANÇAS E EXPULSÃO DE FAMÍLIAS EM REGIÃO DA COLÔMBIA DISPUTADA POR TRÊS GRUPOS ARMADOS.</t>
        </is>
      </c>
      <c r="J1402" t="inlineStr"/>
      <c r="K1402" t="n">
        <v>0</v>
      </c>
      <c r="L1402" t="n">
        <v>1</v>
      </c>
      <c r="M1402" t="n">
        <v>0</v>
      </c>
      <c r="N1402" t="n">
        <v>0</v>
      </c>
      <c r="O1402" t="n">
        <v>2</v>
      </c>
      <c r="P1402">
        <f>HYPERLINK("https://g1.globo.com/mundo/noticia/2019/08/08/grupos-armados-na-colombia-recrutam-criancas-de-familias-venezuelanas-diz-ong.ghtml", "URL")</f>
        <v/>
      </c>
      <c r="Q1402">
        <f>HYPERLINK("https://raw.githubusercontent.com/marcosmapl/dataset_imigrantes/main/materias_filtered/g1/venezuelanos/2019/07_ago/html/g1_def8f3ba-231c-11ed-b24f-6dbe51e79fca_3470.html", "HTML")</f>
        <v/>
      </c>
      <c r="R1402">
        <f>HYPERLINK("https://raw.githubusercontent.com/marcosmapl/dataset_imigrantes/main/materias_filtered/g1/venezuelanos/2019/07_ago/txt/g1_def8f3ba-231c-11ed-b24f-6dbe51e79fca_3470.txt", "TXT")</f>
        <v/>
      </c>
    </row>
    <row r="1403">
      <c r="A1403" s="1" t="n">
        <v>1401</v>
      </c>
      <c r="B1403" t="n">
        <v>2019</v>
      </c>
      <c r="C1403" s="2" t="n">
        <v>43685.48304398148</v>
      </c>
      <c r="D1403" t="inlineStr">
        <is>
          <t>A CRITICA</t>
        </is>
      </c>
      <c r="E1403" t="inlineStr">
        <is>
          <t>VENEZUELANOS</t>
        </is>
      </c>
      <c r="F1403" t="inlineStr"/>
      <c r="G1403" t="inlineStr">
        <is>
          <t>AGÊNCIA BRASIL</t>
        </is>
      </c>
      <c r="H1403" t="inlineStr">
        <is>
          <t>MADURO CONVOCA PROTESTO MUNDIAL CONTRA BLOQUEIO IMPOSTO PELOS EUA</t>
        </is>
      </c>
      <c r="I1403" t="inlineStr">
        <is>
          <t>O PRESIDENTE VENEZUELANO PEDIU A MÁXIMA MOBILIZAÇÃO POPULAR, DE TODOS OS SETORES PRODUTIVOS DO PAÍS, DAS INSTITUIÇÕES DO ESTADO E DOS MILITARES PARA CONDENAR O BLOQUEIO</t>
        </is>
      </c>
      <c r="J1403" t="inlineStr"/>
      <c r="K1403" t="n">
        <v>0</v>
      </c>
      <c r="L1403" t="n">
        <v>1</v>
      </c>
      <c r="M1403" t="n">
        <v>0</v>
      </c>
      <c r="N1403" t="n">
        <v>0</v>
      </c>
      <c r="O1403" t="n">
        <v>0</v>
      </c>
      <c r="P1403">
        <f>HYPERLINK("https://www.acritica.com/maduro-convoca-protesto-mundial-contra-bloqueio-imposto-pelos-eua-1.63076", "URL")</f>
        <v/>
      </c>
      <c r="Q1403">
        <f>HYPERLINK("https://raw.githubusercontent.com/marcosmapl/dataset_imigrantes/main/materias_filtered/a_critica/venezuelanos/2019/07_ago/html/1.63076_951.html", "HTML")</f>
        <v/>
      </c>
      <c r="R1403">
        <f>HYPERLINK("https://raw.githubusercontent.com/marcosmapl/dataset_imigrantes/main/materias_filtered/a_critica/venezuelanos/2019/07_ago/txt/1.63076_951.txt", "TXT")</f>
        <v/>
      </c>
    </row>
    <row r="1404">
      <c r="A1404" s="1" t="n">
        <v>1402</v>
      </c>
      <c r="B1404" t="n">
        <v>2019</v>
      </c>
      <c r="C1404" s="2" t="n">
        <v>43684.83819444444</v>
      </c>
      <c r="D1404" t="inlineStr">
        <is>
          <t>PORTAL AMAZONIA</t>
        </is>
      </c>
      <c r="E1404" t="inlineStr">
        <is>
          <t>VENEZUELANOS</t>
        </is>
      </c>
      <c r="F1404" t="inlineStr">
        <is>
          <t>CIDADES</t>
        </is>
      </c>
      <c r="G1404" t="inlineStr">
        <is>
          <t>REDAÇÃO</t>
        </is>
      </c>
      <c r="H1404" t="inlineStr">
        <is>
          <t>MOSCA DA CARAMBOLA PREJUDICA EXPORTAÇÃO DE FRUTAS EM RORAIMA</t>
        </is>
      </c>
      <c r="I1404" t="inlineStr">
        <is>
          <t>SETE MUNICÍPIOS DE RORAIMA ESTÃO EM QUARENTENA POR CAUSA DA MOSCA DA CARAMBOLA E PRODUTORES DE FRUTAS DO ESTADO ESTÃO IMPEDIDOS DE EXPORTAR SEUS PRODUTOS PORQUE DUAS BARREIRAS FITOSSANITÁRIAS ESTÃO INATIVAS. ESSAS ESTRUTURAS AJUDAM A CONTROLAR A PASS</t>
        </is>
      </c>
      <c r="J1404" t="inlineStr">
        <is>
          <t>FRUTOS AMAZONICOS, MOSCA DA CARAMBOLA, MOSCAS DE FRUTAS, RORAIMA</t>
        </is>
      </c>
      <c r="K1404" t="n">
        <v>4</v>
      </c>
      <c r="L1404" t="n">
        <v>3</v>
      </c>
      <c r="M1404" t="n">
        <v>0</v>
      </c>
      <c r="N1404" t="n">
        <v>0</v>
      </c>
      <c r="O1404" t="n">
        <v>9</v>
      </c>
      <c r="P1404">
        <f>HYPERLINK("https://portalamazonia.com/noticias/cidades/mosca-da-carambola-prejudica-exportacao-de-frutas-em-roraima", "URL")</f>
        <v/>
      </c>
      <c r="Q1404">
        <f>HYPERLINK("https://raw.githubusercontent.com/marcosmapl/dataset_imigrantes/main/materias_filtered/portal_amazonia/venezuelanos/2019/07_ago/html/24432.24432_1439.html", "HTML")</f>
        <v/>
      </c>
      <c r="R1404">
        <f>HYPERLINK("https://raw.githubusercontent.com/marcosmapl/dataset_imigrantes/main/materias_filtered/portal_amazonia/venezuelanos/2019/07_ago/txt/24432.24432_1439.txt", "TXT")</f>
        <v/>
      </c>
    </row>
    <row r="1405">
      <c r="A1405" s="1" t="n">
        <v>1403</v>
      </c>
      <c r="B1405" t="n">
        <v>2019</v>
      </c>
      <c r="C1405" s="2" t="n">
        <v>43683.8375</v>
      </c>
      <c r="D1405" t="inlineStr">
        <is>
          <t>A CRITICA</t>
        </is>
      </c>
      <c r="E1405" t="inlineStr">
        <is>
          <t>VENEZUELANOS</t>
        </is>
      </c>
      <c r="F1405" t="inlineStr">
        <is>
          <t>MANAUS</t>
        </is>
      </c>
      <c r="G1405" t="inlineStr">
        <is>
          <t>PORTAL A CRÍTICA</t>
        </is>
      </c>
      <c r="H1405" t="inlineStr">
        <is>
          <t>MINISTÉRIOS DA CIDADANIA E DEFESA DISCUTEM PLANO MIGRATÓRIO PARA VENEZUELANOS EM MANAUS</t>
        </is>
      </c>
      <c r="I1405" t="inlineStr">
        <is>
          <t>REPRESENTANTES DOS MINISTÉRIOS SE REUNIRAM COM ÓRGÃOS DO GOVERNO PARA ORGANIZAR INTERIORIZAÇÃO DE MIGRANTES</t>
        </is>
      </c>
      <c r="J1405" t="inlineStr"/>
      <c r="K1405" t="n">
        <v>0</v>
      </c>
      <c r="L1405" t="n">
        <v>1</v>
      </c>
      <c r="M1405" t="n">
        <v>0</v>
      </c>
      <c r="N1405" t="n">
        <v>0</v>
      </c>
      <c r="O1405" t="n">
        <v>0</v>
      </c>
      <c r="P1405">
        <f>HYPERLINK("https://www.acritica.com/manaus/ministerios-da-cidadania-e-defesa-discutem-plano-migratorio-para-venezuelanos-em-manaus-1.62131", "URL")</f>
        <v/>
      </c>
      <c r="Q1405">
        <f>HYPERLINK("https://raw.githubusercontent.com/marcosmapl/dataset_imigrantes/main/materias_filtered/a_critica/venezuelanos/2019/07_ago/html/1.62131_331.html", "HTML")</f>
        <v/>
      </c>
      <c r="R1405">
        <f>HYPERLINK("https://raw.githubusercontent.com/marcosmapl/dataset_imigrantes/main/materias_filtered/a_critica/venezuelanos/2019/07_ago/txt/1.62131_331.txt", "TXT")</f>
        <v/>
      </c>
    </row>
    <row r="1406">
      <c r="A1406" s="1" t="n">
        <v>1404</v>
      </c>
      <c r="B1406" t="n">
        <v>2019</v>
      </c>
      <c r="C1406" s="2" t="n">
        <v>43683.8008449074</v>
      </c>
      <c r="D1406" t="inlineStr">
        <is>
          <t>A CRITICA</t>
        </is>
      </c>
      <c r="E1406" t="inlineStr">
        <is>
          <t>VENEZUELANOS</t>
        </is>
      </c>
      <c r="F1406" t="inlineStr"/>
      <c r="G1406" t="inlineStr">
        <is>
          <t>PORTAL A CRÍTICA</t>
        </is>
      </c>
      <c r="H1406" t="inlineStr">
        <is>
          <t>MADURO CHAMA DE 'TERRORISMO ECONÔMICO' NOVO BLOQUEIO DOS EUA</t>
        </is>
      </c>
      <c r="I1406" t="inlineStr">
        <is>
          <t>DECLARAÇÃO DO PRESIDENTE DA VENEZUELA É RETALIAÇÃO AO BLOQUEIO ECONÔMICO ANUNCIADO POR DONALD TRUMP NESSA SEGUNDA (5)</t>
        </is>
      </c>
      <c r="J1406" t="inlineStr"/>
      <c r="K1406" t="n">
        <v>0</v>
      </c>
      <c r="L1406" t="n">
        <v>1</v>
      </c>
      <c r="M1406" t="n">
        <v>0</v>
      </c>
      <c r="N1406" t="n">
        <v>0</v>
      </c>
      <c r="O1406" t="n">
        <v>0</v>
      </c>
      <c r="P1406">
        <f>HYPERLINK("https://www.acritica.com/maduro-chama-de-terrorismo-economico-novo-bloqueio-dos-eua-1.62139", "URL")</f>
        <v/>
      </c>
      <c r="Q1406">
        <f>HYPERLINK("https://raw.githubusercontent.com/marcosmapl/dataset_imigrantes/main/materias_filtered/a_critica/venezuelanos/2019/07_ago/html/1.62139_931.html", "HTML")</f>
        <v/>
      </c>
      <c r="R1406">
        <f>HYPERLINK("https://raw.githubusercontent.com/marcosmapl/dataset_imigrantes/main/materias_filtered/a_critica/venezuelanos/2019/07_ago/txt/1.62139_931.txt", "TXT")</f>
        <v/>
      </c>
    </row>
    <row r="1407">
      <c r="A1407" s="1" t="n">
        <v>1405</v>
      </c>
      <c r="B1407" t="n">
        <v>2019</v>
      </c>
      <c r="C1407" s="2" t="n">
        <v>43683.75125</v>
      </c>
      <c r="D1407" t="inlineStr">
        <is>
          <t>A CRITICA</t>
        </is>
      </c>
      <c r="E1407" t="inlineStr">
        <is>
          <t>VENEZUELANOS</t>
        </is>
      </c>
      <c r="F1407" t="inlineStr">
        <is>
          <t>MANAUS</t>
        </is>
      </c>
      <c r="G1407" t="inlineStr">
        <is>
          <t>AMANDA GUIMARÃES</t>
        </is>
      </c>
      <c r="H1407" t="inlineStr">
        <is>
          <t>VENEZUELANA QUE ACUSOU PADRE DE ESTUPRO É INDICIADA POR DENUNCIAÇÃO CALUNIOSA</t>
        </is>
      </c>
      <c r="I1407" t="inlineStr">
        <is>
          <t>SEGUNDO A POLÍCIA CIVIL, EXAMES E CONVERSAS NÃO APONTARAM OS CRIMES DE ESTUPRO, MAS SIM QUE A IMIGRANTE E O PADRE MANTINHAM UM RELACIONAMENTO AMOROSO. O PAI DA VENEZUELANA TAMBÉM FOI INDICIADO</t>
        </is>
      </c>
      <c r="J1407" t="inlineStr"/>
      <c r="K1407" t="n">
        <v>0</v>
      </c>
      <c r="L1407" t="n">
        <v>1</v>
      </c>
      <c r="M1407" t="n">
        <v>0</v>
      </c>
      <c r="N1407" t="n">
        <v>0</v>
      </c>
      <c r="O1407" t="n">
        <v>2</v>
      </c>
      <c r="P1407">
        <f>HYPERLINK("https://www.acritica.com/manaus/venezuelana-que-acusou-padre-de-estupro-e-indiciada-por-denunciac-o-caluniosa-1.63139", "URL")</f>
        <v/>
      </c>
      <c r="Q1407">
        <f>HYPERLINK("https://raw.githubusercontent.com/marcosmapl/dataset_imigrantes/main/materias_filtered/a_critica/venezuelanos/2019/07_ago/html/1.63139_402.html", "HTML")</f>
        <v/>
      </c>
      <c r="R1407">
        <f>HYPERLINK("https://raw.githubusercontent.com/marcosmapl/dataset_imigrantes/main/materias_filtered/a_critica/venezuelanos/2019/07_ago/txt/1.63139_402.txt", "TXT")</f>
        <v/>
      </c>
    </row>
    <row r="1408">
      <c r="A1408" s="1" t="n">
        <v>1406</v>
      </c>
      <c r="B1408" t="n">
        <v>2019</v>
      </c>
      <c r="C1408" s="2" t="n">
        <v>43683.54940972223</v>
      </c>
      <c r="D1408" t="inlineStr">
        <is>
          <t>A CRITICA</t>
        </is>
      </c>
      <c r="E1408" t="inlineStr">
        <is>
          <t>VENEZUELANOS</t>
        </is>
      </c>
      <c r="F1408" t="inlineStr"/>
      <c r="G1408" t="inlineStr">
        <is>
          <t>PORTAL A CRÍTICA</t>
        </is>
      </c>
      <c r="H1408" t="inlineStr">
        <is>
          <t>TRUMP AUMENTA PRESSÃO E CONGELA TODOS OS BENS DO GOVERNO DA VENEZUELA</t>
        </is>
      </c>
      <c r="I1408" t="inlineStr">
        <is>
          <t>PAÍSES COMO CUBA, IRÃ E CORÉIA DO NORTE JÁ SOFREM COM O BLOQUEIO ECONÔMICO PROMOVIDO PELOS EUA, QUE AGORA ATINGE A VENEZUELA. MADURO DIZ QUE 'VAI PARA A BATALHA'</t>
        </is>
      </c>
      <c r="J1408" t="inlineStr"/>
      <c r="K1408" t="n">
        <v>0</v>
      </c>
      <c r="L1408" t="n">
        <v>1</v>
      </c>
      <c r="M1408" t="n">
        <v>0</v>
      </c>
      <c r="N1408" t="n">
        <v>0</v>
      </c>
      <c r="O1408" t="n">
        <v>0</v>
      </c>
      <c r="P1408">
        <f>HYPERLINK("https://www.acritica.com/trump-aumenta-press-o-e-congela-todos-os-bens-do-governo-da-venezuela-1.63131", "URL")</f>
        <v/>
      </c>
      <c r="Q1408">
        <f>HYPERLINK("https://raw.githubusercontent.com/marcosmapl/dataset_imigrantes/main/materias_filtered/a_critica/venezuelanos/2019/07_ago/html/1.63131_48.html", "HTML")</f>
        <v/>
      </c>
      <c r="R1408">
        <f>HYPERLINK("https://raw.githubusercontent.com/marcosmapl/dataset_imigrantes/main/materias_filtered/a_critica/venezuelanos/2019/07_ago/txt/1.63131_48.txt", "TXT")</f>
        <v/>
      </c>
    </row>
    <row r="1409">
      <c r="A1409" s="1" t="n">
        <v>1407</v>
      </c>
      <c r="B1409" t="n">
        <v>2019</v>
      </c>
      <c r="C1409" s="2" t="n">
        <v>43682.9050553125</v>
      </c>
      <c r="D1409" t="inlineStr">
        <is>
          <t>G1</t>
        </is>
      </c>
      <c r="E1409" t="inlineStr">
        <is>
          <t>VENEZUELANOS</t>
        </is>
      </c>
      <c r="F1409" t="inlineStr">
        <is>
          <t>MUNDO</t>
        </is>
      </c>
      <c r="G1409" t="inlineStr">
        <is>
          <t>REUTERS</t>
        </is>
      </c>
      <c r="H1409" t="inlineStr">
        <is>
          <t>COLÔMBIA VAI CONCEDER CIDADANIA A FILHOS DE IMIGRANTES DA VENEZUELA</t>
        </is>
      </c>
      <c r="I1409" t="inlineStr">
        <is>
          <t>MAIS DE 24 MIL CRIANÇAS SERÃO CONTEMPLADAS PELA MEDIDA, QUE VAI VIGORAR POR DOIS ANOS E VALE PARA CRIANÇAS VENEZUELANAS NASCIDAS NA COLÔMBIA DESDE AGOSTO DE 2015.</t>
        </is>
      </c>
      <c r="J1409" t="inlineStr"/>
      <c r="K1409" t="n">
        <v>0</v>
      </c>
      <c r="L1409" t="n">
        <v>1</v>
      </c>
      <c r="M1409" t="n">
        <v>0</v>
      </c>
      <c r="N1409" t="n">
        <v>0</v>
      </c>
      <c r="O1409" t="n">
        <v>4</v>
      </c>
      <c r="P1409">
        <f>HYPERLINK("https://g1.globo.com/mundo/noticia/2019/08/05/colombia-vai-conceder-cidadania-a-filhos-de-imigrantes-da-venezuela.ghtml", "URL")</f>
        <v/>
      </c>
      <c r="Q1409">
        <f>HYPERLINK("https://raw.githubusercontent.com/marcosmapl/dataset_imigrantes/main/materias_filtered/g1/venezuelanos/2019/07_ago/html/g1_0560882a-2317-11ed-b24f-6dbe51e79fca_3183.html", "HTML")</f>
        <v/>
      </c>
      <c r="R1409">
        <f>HYPERLINK("https://raw.githubusercontent.com/marcosmapl/dataset_imigrantes/main/materias_filtered/g1/venezuelanos/2019/07_ago/txt/g1_0560882a-2317-11ed-b24f-6dbe51e79fca_3183.txt", "TXT")</f>
        <v/>
      </c>
    </row>
    <row r="1410">
      <c r="A1410" s="1" t="n">
        <v>1408</v>
      </c>
      <c r="B1410" t="n">
        <v>2019</v>
      </c>
      <c r="C1410" s="2" t="n">
        <v>43682.81790003472</v>
      </c>
      <c r="D1410" t="inlineStr">
        <is>
          <t>G1</t>
        </is>
      </c>
      <c r="E1410" t="inlineStr">
        <is>
          <t>VENEZUELANOS</t>
        </is>
      </c>
      <c r="F1410" t="inlineStr">
        <is>
          <t>RORAIMA</t>
        </is>
      </c>
      <c r="G1410" t="inlineStr">
        <is>
          <t>EMILY COSTA, G1 RR — BOA VISTA</t>
        </is>
      </c>
      <c r="H1410" t="inlineStr">
        <is>
          <t>POLÍCIA INVESTIGA BANDO SUSPEITO DE TRAFICAR CRIANÇAS VENEZUELANAS EM RR</t>
        </is>
      </c>
      <c r="I1410" t="inlineStr">
        <is>
          <t>BRASILEIRO FOI PRESO EM JUNHO APÓS TENTAR SEQUESTRAR MENINA EM RODOVIÁRIA; ELE TAMBÉM FOI DENUNCIADO POR TENTAR LEVAR GAROTO EM MAIO. POLÍCIA FALOU A RESPEITO DE CASO APÓS G1 CONTAR RELATOS DE VENEZUELANAS QUE RECEBERAM PROPOSTAS PARA VENDER FILHOS.</t>
        </is>
      </c>
      <c r="J1410" t="inlineStr"/>
      <c r="K1410" t="n">
        <v>0</v>
      </c>
      <c r="L1410" t="n">
        <v>1</v>
      </c>
      <c r="M1410" t="n">
        <v>0</v>
      </c>
      <c r="N1410" t="n">
        <v>0</v>
      </c>
      <c r="O1410" t="n">
        <v>4</v>
      </c>
      <c r="P1410">
        <f>HYPERLINK("https://g1.globo.com/rr/roraima/noticia/2019/08/05/policia-investiga-bando-suspeito-de-traficar-criancas-venezuelanas-em-rr.ghtml", "URL")</f>
        <v/>
      </c>
      <c r="Q1410">
        <f>HYPERLINK("https://raw.githubusercontent.com/marcosmapl/dataset_imigrantes/main/materias_filtered/g1/venezuelanos/2019/07_ago/html/g1_5ccf18ba-2308-11ed-b24f-6dbe51e79fca_2381.html", "HTML")</f>
        <v/>
      </c>
      <c r="R1410">
        <f>HYPERLINK("https://raw.githubusercontent.com/marcosmapl/dataset_imigrantes/main/materias_filtered/g1/venezuelanos/2019/07_ago/txt/g1_5ccf18ba-2308-11ed-b24f-6dbe51e79fca_2381.txt", "TXT")</f>
        <v/>
      </c>
    </row>
    <row r="1411">
      <c r="A1411" s="1" t="n">
        <v>1409</v>
      </c>
      <c r="B1411" t="n">
        <v>2019</v>
      </c>
      <c r="C1411" s="2" t="n">
        <v>43681.84160755787</v>
      </c>
      <c r="D1411" t="inlineStr">
        <is>
          <t>G1</t>
        </is>
      </c>
      <c r="E1411" t="inlineStr">
        <is>
          <t>VENEZUELANOS</t>
        </is>
      </c>
      <c r="F1411" t="inlineStr">
        <is>
          <t>RORAIMA</t>
        </is>
      </c>
      <c r="G1411" t="inlineStr">
        <is>
          <t>G1 RR — BOA VISTA</t>
        </is>
      </c>
      <c r="H1411" t="inlineStr">
        <is>
          <t>VOCÊ VIU? VENEZUELANAS EM RR SÃO ASSEDIADAS PARA VENDER BEBÊS, PRESO APÓS FOTO COM SELFIE, CONCURSO DA PREFEITURA E MAIS</t>
        </is>
      </c>
      <c r="I1411" t="inlineStr">
        <is>
          <t>VEJA NOTÍCIAS MAIS LIDAS NO G1 RORAIMA ENTRE 28 DE JULHO E 3 DE AGOSTO.</t>
        </is>
      </c>
      <c r="J1411" t="inlineStr"/>
      <c r="K1411" t="n">
        <v>0</v>
      </c>
      <c r="L1411" t="n">
        <v>3</v>
      </c>
      <c r="M1411" t="n">
        <v>1</v>
      </c>
      <c r="N1411" t="n">
        <v>0</v>
      </c>
      <c r="O1411" t="n">
        <v>17</v>
      </c>
      <c r="P1411">
        <f>HYPERLINK("https://g1.globo.com/rr/roraima/noticia/2019/08/04/voce-viu-venezuelanas-em-rr-sao-assediadas-para-vender-bebes-concurso-da-prefeitura-e-mais.ghtml", "URL")</f>
        <v/>
      </c>
      <c r="Q1411">
        <f>HYPERLINK("https://raw.githubusercontent.com/marcosmapl/dataset_imigrantes/main/materias_filtered/g1/venezuelanos/2019/07_ago/html/g1_72ac6fa0-2323-11ed-b24f-6dbe51e79fca_3808.html", "HTML")</f>
        <v/>
      </c>
      <c r="R1411">
        <f>HYPERLINK("https://raw.githubusercontent.com/marcosmapl/dataset_imigrantes/main/materias_filtered/g1/venezuelanos/2019/07_ago/txt/g1_72ac6fa0-2323-11ed-b24f-6dbe51e79fca_3808.txt", "TXT")</f>
        <v/>
      </c>
    </row>
    <row r="1412">
      <c r="A1412" s="1" t="n">
        <v>1410</v>
      </c>
      <c r="B1412" t="n">
        <v>2019</v>
      </c>
      <c r="C1412" s="2" t="n">
        <v>43681.65469907408</v>
      </c>
      <c r="D1412" t="inlineStr">
        <is>
          <t>A CRITICA</t>
        </is>
      </c>
      <c r="E1412" t="inlineStr">
        <is>
          <t>VENEZUELANOS</t>
        </is>
      </c>
      <c r="F1412" t="inlineStr">
        <is>
          <t>POLICIA</t>
        </is>
      </c>
      <c r="G1412" t="inlineStr">
        <is>
          <t>JOHNY VASCONCELOS</t>
        </is>
      </c>
      <c r="H1412" t="inlineStr">
        <is>
          <t>ADOLESCENTE VENEZUELANO É MORTO VÍTIMA DE ARMA DE FOGO NO SÃO LÁZARO</t>
        </is>
      </c>
      <c r="I1412" t="inlineStr">
        <is>
          <t>SEGUNDO A POLÍCIA, CERCA DE QUATRO PESSOAS QUE ESTAVAM EM DOIS VEÍCULOS SE APROXIMARAM DO VENEZUELANO E FIZERAM VÁRIOS DISPAROS. UMA ADOLESCENTE E UM HOMEM DE 58 ANOS TAMBÉM FICARAM FERIDOS</t>
        </is>
      </c>
      <c r="J1412" t="inlineStr"/>
      <c r="K1412" t="n">
        <v>0</v>
      </c>
      <c r="L1412" t="n">
        <v>1</v>
      </c>
      <c r="M1412" t="n">
        <v>0</v>
      </c>
      <c r="N1412" t="n">
        <v>0</v>
      </c>
      <c r="O1412" t="n">
        <v>0</v>
      </c>
      <c r="P1412">
        <f>HYPERLINK("https://www.acritica.com/policia/adolescente-venezuelano-e-morto-vitima-de-arma-de-fogo-no-s-o-lazaro-1.62216", "URL")</f>
        <v/>
      </c>
      <c r="Q1412">
        <f>HYPERLINK("https://raw.githubusercontent.com/marcosmapl/dataset_imigrantes/main/materias_filtered/a_critica/venezuelanos/2019/07_ago/html/1.62216_1007.html", "HTML")</f>
        <v/>
      </c>
      <c r="R1412">
        <f>HYPERLINK("https://raw.githubusercontent.com/marcosmapl/dataset_imigrantes/main/materias_filtered/a_critica/venezuelanos/2019/07_ago/txt/1.62216_1007.txt", "TXT")</f>
        <v/>
      </c>
    </row>
    <row r="1413">
      <c r="A1413" s="1" t="n">
        <v>1411</v>
      </c>
      <c r="B1413" t="n">
        <v>2019</v>
      </c>
      <c r="C1413" s="2" t="n">
        <v>43680.75347222222</v>
      </c>
      <c r="D1413" t="inlineStr">
        <is>
          <t>A CRITICA</t>
        </is>
      </c>
      <c r="E1413" t="inlineStr">
        <is>
          <t>VENEZUELANOS</t>
        </is>
      </c>
      <c r="F1413" t="inlineStr"/>
      <c r="G1413" t="inlineStr">
        <is>
          <t>AFP</t>
        </is>
      </c>
      <c r="H1413" t="inlineStr">
        <is>
          <t>PRESIDENTE DE CUBA CRITICA 'SUBMISSÃO' DE BOLSONARO AOS ESTADOS UNIDOS</t>
        </is>
      </c>
      <c r="I1413" t="inlineStr">
        <is>
          <t>O GOVERNANTE CUBANO UTILIZOU O TWITTER PARA DIZER QUE O PRESIDENTE BOLSONARO TINHA 'VOLTADO A MENTIR E QUE É VERGONHOSA A SUA SUBMISSÃO AOS EUA'</t>
        </is>
      </c>
      <c r="J1413" t="inlineStr"/>
      <c r="K1413" t="n">
        <v>0</v>
      </c>
      <c r="L1413" t="n">
        <v>1</v>
      </c>
      <c r="M1413" t="n">
        <v>0</v>
      </c>
      <c r="N1413" t="n">
        <v>0</v>
      </c>
      <c r="O1413" t="n">
        <v>0</v>
      </c>
      <c r="P1413">
        <f>HYPERLINK("https://www.acritica.com/presidente-de-cuba-critica-submiss-o-de-bolsonaro-aos-estados-unidos-1.62259", "URL")</f>
        <v/>
      </c>
      <c r="Q1413">
        <f>HYPERLINK("https://raw.githubusercontent.com/marcosmapl/dataset_imigrantes/main/materias_filtered/a_critica/venezuelanos/2019/07_ago/html/1.62259_650.html", "HTML")</f>
        <v/>
      </c>
      <c r="R1413">
        <f>HYPERLINK("https://raw.githubusercontent.com/marcosmapl/dataset_imigrantes/main/materias_filtered/a_critica/venezuelanos/2019/07_ago/txt/1.62259_650.txt", "TXT")</f>
        <v/>
      </c>
    </row>
    <row r="1414">
      <c r="A1414" s="1" t="n">
        <v>1412</v>
      </c>
      <c r="B1414" t="n">
        <v>2019</v>
      </c>
      <c r="C1414" s="2" t="n">
        <v>43680.56878506944</v>
      </c>
      <c r="D1414" t="inlineStr">
        <is>
          <t>G1</t>
        </is>
      </c>
      <c r="E1414" t="inlineStr">
        <is>
          <t>AMBOS</t>
        </is>
      </c>
      <c r="F1414" t="inlineStr">
        <is>
          <t>RONDÔNIA</t>
        </is>
      </c>
      <c r="G1414" t="inlineStr">
        <is>
          <t>PEDRO BENTES E MAYARA SUBTIL, G1 RO</t>
        </is>
      </c>
      <c r="H1414" t="inlineStr">
        <is>
          <t>IMIGRANTES EM RO: VENEZUELANOS LUTAM CONTRA O DESEMPREGO EM PORTO VELHO</t>
        </is>
      </c>
      <c r="I1414" t="inlineStr">
        <is>
          <t>SEGUNDO A CÁRITAS, APENAS 35 VENEZUELANOS ASSISTIDOS CONSEGUIRAM TRABALHO SEM CARTEIRA ASSINADA NA CIDADE. HAITIANOS OCUPAM 29 VAGAS EM EMPRESA DE COLETA DE LIXO NA CAPITAL.</t>
        </is>
      </c>
      <c r="J1414" t="inlineStr"/>
      <c r="K1414" t="n">
        <v>0</v>
      </c>
      <c r="L1414" t="n">
        <v>2</v>
      </c>
      <c r="M1414" t="n">
        <v>0</v>
      </c>
      <c r="N1414" t="n">
        <v>0</v>
      </c>
      <c r="O1414" t="n">
        <v>2</v>
      </c>
      <c r="P1414">
        <f>HYPERLINK("https://g1.globo.com/ro/rondonia/noticia/2019/08/03/imigrantes-em-ro-venezuelanos-lutam-contra-o-desemprego-em-porto-velho.ghtml", "URL")</f>
        <v/>
      </c>
      <c r="Q1414">
        <f>HYPERLINK("https://raw.githubusercontent.com/marcosmapl/dataset_imigrantes/main/materias_filtered/g1/ambos/2019/07_ago/html/g1_7abd5dd4-231f-11ed-b24f-6dbe51e79fca_3625.html", "HTML")</f>
        <v/>
      </c>
      <c r="R1414">
        <f>HYPERLINK("https://raw.githubusercontent.com/marcosmapl/dataset_imigrantes/main/materias_filtered/g1/ambos/2019/07_ago/txt/g1_7abd5dd4-231f-11ed-b24f-6dbe51e79fca_3625.txt", "TXT")</f>
        <v/>
      </c>
    </row>
    <row r="1415">
      <c r="A1415" s="1" t="n">
        <v>1413</v>
      </c>
      <c r="B1415" t="n">
        <v>2019</v>
      </c>
      <c r="C1415" s="2" t="n">
        <v>43679.6</v>
      </c>
      <c r="D1415" t="inlineStr">
        <is>
          <t>A CRITICA</t>
        </is>
      </c>
      <c r="E1415" t="inlineStr">
        <is>
          <t>VENEZUELANOS</t>
        </is>
      </c>
      <c r="F1415" t="inlineStr">
        <is>
          <t>ESPORTES</t>
        </is>
      </c>
      <c r="G1415" t="inlineStr">
        <is>
          <t>PORTAL A CRÍTICA</t>
        </is>
      </c>
      <c r="H1415" t="inlineStr">
        <is>
          <t>COPA SOLIDÁRIA INICIA NESTE DOMINGO COM PRÉ-TORNEIO NA ARENA AMADEU TEIXEIRA</t>
        </is>
      </c>
      <c r="I1415" t="inlineStr">
        <is>
          <t>CAMPEONATO TEM A FINALIDADE DE ARRECADAR MANTIMENTOS PARA 14 INSTITUIÇÕES DE CARIDADE DE MANAUS</t>
        </is>
      </c>
      <c r="J1415" t="inlineStr"/>
      <c r="K1415" t="n">
        <v>0</v>
      </c>
      <c r="L1415" t="n">
        <v>1</v>
      </c>
      <c r="M1415" t="n">
        <v>0</v>
      </c>
      <c r="N1415" t="n">
        <v>0</v>
      </c>
      <c r="O1415" t="n">
        <v>0</v>
      </c>
      <c r="P1415">
        <f>HYPERLINK("https://www.acritica.com/esportes/copa-solidaria-inicia-neste-domingo-com-pre-torneio-na-arena-amadeu-teixeira-1.63224", "URL")</f>
        <v/>
      </c>
      <c r="Q1415">
        <f>HYPERLINK("https://raw.githubusercontent.com/marcosmapl/dataset_imigrantes/main/materias_filtered/a_critica/venezuelanos/2019/07_ago/html/1.63224_1012.html", "HTML")</f>
        <v/>
      </c>
      <c r="R1415">
        <f>HYPERLINK("https://raw.githubusercontent.com/marcosmapl/dataset_imigrantes/main/materias_filtered/a_critica/venezuelanos/2019/07_ago/txt/1.63224_1012.txt", "TXT")</f>
        <v/>
      </c>
    </row>
    <row r="1416">
      <c r="A1416" s="1" t="n">
        <v>1414</v>
      </c>
      <c r="B1416" t="n">
        <v>2019</v>
      </c>
      <c r="C1416" s="2" t="n">
        <v>43679.4583743287</v>
      </c>
      <c r="D1416" t="inlineStr">
        <is>
          <t>G1</t>
        </is>
      </c>
      <c r="E1416" t="inlineStr">
        <is>
          <t>VENEZUELANOS</t>
        </is>
      </c>
      <c r="F1416" t="inlineStr">
        <is>
          <t>RONDÔNIA</t>
        </is>
      </c>
      <c r="G1416" t="inlineStr">
        <is>
          <t>MAYARA SUBTIL, G1 RO</t>
        </is>
      </c>
      <c r="H1416" t="inlineStr">
        <is>
          <t>IMIGRANTES EM RO: AS HISTÓRIAS DE VENEZUELANOS QUE TRANSFORMARAM A CRISE EM RECOMEÇO</t>
        </is>
      </c>
      <c r="I1416" t="inlineStr">
        <is>
          <t>G1 CONVERSOU COM 4 PESSOAS QUE, AO CONTRÁRIO DE ESTAREM NO ESTADO 'DE PASSAGEM', FAZEM O POSSÍVEL PARA RECONSTRUIR SUAS VIDAS EM TERRITÓRIO RONDONIENSE.</t>
        </is>
      </c>
      <c r="J1416" t="inlineStr"/>
      <c r="K1416" t="n">
        <v>0</v>
      </c>
      <c r="L1416" t="n">
        <v>2</v>
      </c>
      <c r="M1416" t="n">
        <v>0</v>
      </c>
      <c r="N1416" t="n">
        <v>0</v>
      </c>
      <c r="O1416" t="n">
        <v>4</v>
      </c>
      <c r="P1416">
        <f>HYPERLINK("https://g1.globo.com/ro/rondonia/noticia/2019/08/02/imigrantes-em-ro-a-historia-de-venezuelanos-que-transformaram-a-crise-em-recomeco.ghtml", "URL")</f>
        <v/>
      </c>
      <c r="Q1416">
        <f>HYPERLINK("https://raw.githubusercontent.com/marcosmapl/dataset_imigrantes/main/materias_filtered/g1/venezuelanos/2019/07_ago/html/g1_424739d0-2323-11ed-b24f-6dbe51e79fca_3795.html", "HTML")</f>
        <v/>
      </c>
      <c r="R1416">
        <f>HYPERLINK("https://raw.githubusercontent.com/marcosmapl/dataset_imigrantes/main/materias_filtered/g1/venezuelanos/2019/07_ago/txt/g1_424739d0-2323-11ed-b24f-6dbe51e79fca_3795.txt", "TXT")</f>
        <v/>
      </c>
    </row>
    <row r="1417">
      <c r="A1417" s="1" t="n">
        <v>1415</v>
      </c>
      <c r="B1417" t="n">
        <v>2019</v>
      </c>
      <c r="C1417" s="2" t="n">
        <v>43678.63381944445</v>
      </c>
      <c r="D1417" t="inlineStr">
        <is>
          <t>A CRITICA</t>
        </is>
      </c>
      <c r="E1417" t="inlineStr">
        <is>
          <t>VENEZUELANOS</t>
        </is>
      </c>
      <c r="F1417" t="inlineStr"/>
      <c r="G1417" t="inlineStr">
        <is>
          <t>AGÊNCIA BRASIL</t>
        </is>
      </c>
      <c r="H1417" t="inlineStr">
        <is>
          <t>EUA TÊM PLANO PARA CRESCIMENTO ECONÔMICO DA VENEZUELA, DIZ SECRETÁRIO</t>
        </is>
      </c>
      <c r="I1417" t="inlineStr">
        <is>
          <t>A DECLARAÇÃO FOI FEITA A UMA PLATEIA DE EMPRESÁRIOS REUNIDOS EM BRASÍLIA, NO FÓRUM ANUAL DE LIDERANÇA EM INFRAESTRUTURA DA AMÉRICA LATINA</t>
        </is>
      </c>
      <c r="J1417" t="inlineStr"/>
      <c r="K1417" t="n">
        <v>0</v>
      </c>
      <c r="L1417" t="n">
        <v>1</v>
      </c>
      <c r="M1417" t="n">
        <v>0</v>
      </c>
      <c r="N1417" t="n">
        <v>0</v>
      </c>
      <c r="O1417" t="n">
        <v>0</v>
      </c>
      <c r="P1417">
        <f>HYPERLINK("https://www.acritica.com/eua-tem-plano-para-crescimento-economico-da-venezuela-diz-secretario-1.62347", "URL")</f>
        <v/>
      </c>
      <c r="Q1417">
        <f>HYPERLINK("https://raw.githubusercontent.com/marcosmapl/dataset_imigrantes/main/materias_filtered/a_critica/venezuelanos/2019/07_ago/html/1.62347_528.html", "HTML")</f>
        <v/>
      </c>
      <c r="R1417">
        <f>HYPERLINK("https://raw.githubusercontent.com/marcosmapl/dataset_imigrantes/main/materias_filtered/a_critica/venezuelanos/2019/07_ago/txt/1.62347_528.txt", "TXT")</f>
        <v/>
      </c>
    </row>
    <row r="1418">
      <c r="A1418" s="1" t="n">
        <v>1416</v>
      </c>
      <c r="B1418" t="n">
        <v>2019</v>
      </c>
      <c r="C1418" s="2" t="n">
        <v>43678.40747534722</v>
      </c>
      <c r="D1418" t="inlineStr">
        <is>
          <t>G1</t>
        </is>
      </c>
      <c r="E1418" t="inlineStr">
        <is>
          <t>VENEZUELANOS</t>
        </is>
      </c>
      <c r="F1418" t="inlineStr">
        <is>
          <t>MUNDO</t>
        </is>
      </c>
      <c r="G1418" t="inlineStr">
        <is>
          <t>FRANCE PRESSE</t>
        </is>
      </c>
      <c r="H1418" t="inlineStr">
        <is>
          <t>SERVIÇO DE IMIGRAÇÃO DOS EUA INCLUI MINISTRO VENEZUELANO NA LISTA DE MAIS PROCURADOS</t>
        </is>
      </c>
      <c r="I1418" t="inlineStr">
        <is>
          <t>SE FOR PRESO E EXTRADITADO, TARECK EL AISSAMI PODE SER CONDENADO A ATÉ 30 ANOS DE PRISÃO.</t>
        </is>
      </c>
      <c r="J1418" t="inlineStr"/>
      <c r="K1418" t="n">
        <v>0</v>
      </c>
      <c r="L1418" t="n">
        <v>1</v>
      </c>
      <c r="M1418" t="n">
        <v>0</v>
      </c>
      <c r="N1418" t="n">
        <v>0</v>
      </c>
      <c r="O1418" t="n">
        <v>4</v>
      </c>
      <c r="P1418">
        <f>HYPERLINK("https://g1.globo.com/mundo/noticia/2019/08/01/servico-de-imigracao-dos-eua-inclui-ministro-venezuelano-na-lista-de-mais-procurados.ghtml", "URL")</f>
        <v/>
      </c>
      <c r="Q1418">
        <f>HYPERLINK("https://raw.githubusercontent.com/marcosmapl/dataset_imigrantes/main/materias_filtered/g1/venezuelanos/2019/07_ago/html/g1_371f7936-2310-11ed-b24f-6dbe51e79fca_2846.html", "HTML")</f>
        <v/>
      </c>
      <c r="R1418">
        <f>HYPERLINK("https://raw.githubusercontent.com/marcosmapl/dataset_imigrantes/main/materias_filtered/g1/venezuelanos/2019/07_ago/txt/g1_371f7936-2310-11ed-b24f-6dbe51e79fca_2846.txt", "TXT")</f>
        <v/>
      </c>
    </row>
    <row r="1419">
      <c r="A1419" s="1" t="n">
        <v>1417</v>
      </c>
      <c r="B1419" t="n">
        <v>2019</v>
      </c>
      <c r="C1419" s="2" t="n">
        <v>43678.37518355324</v>
      </c>
      <c r="D1419" t="inlineStr">
        <is>
          <t>G1</t>
        </is>
      </c>
      <c r="E1419" t="inlineStr">
        <is>
          <t>VENEZUELANOS</t>
        </is>
      </c>
      <c r="F1419" t="inlineStr">
        <is>
          <t>RORAIMA</t>
        </is>
      </c>
      <c r="G1419" t="inlineStr">
        <is>
          <t>EMILY COSTA, G1 RR — BOA VISTA</t>
        </is>
      </c>
      <c r="H1419" t="inlineStr">
        <is>
          <t>MÃES VENEZUELANAS DENUNCIAM ASSÉDIO PARA VENDER BEBÊS EM RORAIMA</t>
        </is>
      </c>
      <c r="I1419" t="inlineStr">
        <is>
          <t>EM 2 MESES, G1 OUVIU RELATOS DE 3 MULHERES; SEGUNDO ELAS, OFERTAS VARIAM ENTRE R$ 200 E R$ 6 MIL. MPF E MPRR RECEBERAM DENÚNCIAS, E PF INVESTIGA; EM 2018, HOMEM DE BANGLADESH E BRASILEIRA FORAM PRESOS AO TENTAR REGISTRAR RECÉM-NASCIDA APÓS OFERECER R$ 2 MIL.</t>
        </is>
      </c>
      <c r="J1419" t="inlineStr"/>
      <c r="K1419" t="n">
        <v>0</v>
      </c>
      <c r="L1419" t="n">
        <v>1</v>
      </c>
      <c r="M1419" t="n">
        <v>1</v>
      </c>
      <c r="N1419" t="n">
        <v>0</v>
      </c>
      <c r="O1419" t="n">
        <v>9</v>
      </c>
      <c r="P1419">
        <f>HYPERLINK("https://g1.globo.com/rr/roraima/noticia/2019/08/01/maes-venezuelanas-denunciam-assedio-para-vender-bebes-em-roraima.ghtml", "URL")</f>
        <v/>
      </c>
      <c r="Q1419">
        <f>HYPERLINK("https://raw.githubusercontent.com/marcosmapl/dataset_imigrantes/main/materias_filtered/g1/venezuelanos/2019/07_ago/html/g1_0c69dfce-2324-11ed-b24f-6dbe51e79fca_3845.html", "HTML")</f>
        <v/>
      </c>
      <c r="R1419">
        <f>HYPERLINK("https://raw.githubusercontent.com/marcosmapl/dataset_imigrantes/main/materias_filtered/g1/venezuelanos/2019/07_ago/txt/g1_0c69dfce-2324-11ed-b24f-6dbe51e79fca_3845.txt", "TXT")</f>
        <v/>
      </c>
    </row>
    <row r="1420">
      <c r="A1420" s="1" t="n">
        <v>1418</v>
      </c>
      <c r="B1420" t="n">
        <v>2019</v>
      </c>
      <c r="C1420" s="2" t="n">
        <v>43677.43914351852</v>
      </c>
      <c r="D1420" t="inlineStr">
        <is>
          <t>A CRITICA</t>
        </is>
      </c>
      <c r="E1420" t="inlineStr">
        <is>
          <t>VENEZUELANOS</t>
        </is>
      </c>
      <c r="F1420" t="inlineStr">
        <is>
          <t>OPINIAO</t>
        </is>
      </c>
      <c r="G1420" t="inlineStr"/>
      <c r="H1420" t="inlineStr">
        <is>
          <t>O DRAMA DO TRÁFICO DE PESSOAS</t>
        </is>
      </c>
      <c r="I1420" t="inlineStr"/>
      <c r="J1420" t="inlineStr"/>
      <c r="K1420" t="n">
        <v>0</v>
      </c>
      <c r="L1420" t="n">
        <v>1</v>
      </c>
      <c r="M1420" t="n">
        <v>0</v>
      </c>
      <c r="N1420" t="n">
        <v>0</v>
      </c>
      <c r="O1420" t="n">
        <v>0</v>
      </c>
      <c r="P1420">
        <f>HYPERLINK("https://www.acritica.com/opiniao/o-drama-do-trafico-de-pessoas-1.227068", "URL")</f>
        <v/>
      </c>
      <c r="Q1420">
        <f>HYPERLINK("https://raw.githubusercontent.com/marcosmapl/dataset_imigrantes/main/materias_filtered/a_critica/venezuelanos/2019/06_jul/html/1.227068_488.html", "HTML")</f>
        <v/>
      </c>
      <c r="R1420">
        <f>HYPERLINK("https://raw.githubusercontent.com/marcosmapl/dataset_imigrantes/main/materias_filtered/a_critica/venezuelanos/2019/06_jul/txt/1.227068_488.txt", "TXT")</f>
        <v/>
      </c>
    </row>
    <row r="1421">
      <c r="A1421" s="1" t="n">
        <v>1419</v>
      </c>
      <c r="B1421" t="n">
        <v>2019</v>
      </c>
      <c r="C1421" s="2" t="n">
        <v>43677.04662366898</v>
      </c>
      <c r="D1421" t="inlineStr">
        <is>
          <t>G1</t>
        </is>
      </c>
      <c r="E1421" t="inlineStr">
        <is>
          <t>HAITIANOS</t>
        </is>
      </c>
      <c r="F1421" t="inlineStr">
        <is>
          <t>AMAZONAS</t>
        </is>
      </c>
      <c r="G1421" t="inlineStr">
        <is>
          <t>G1 AM</t>
        </is>
      </c>
      <c r="H1421" t="inlineStr">
        <is>
          <t>'ESTOU COM MEDO DE VOLTAR A TRABALHAR', DIZ SORVETEIRO HAITIANO ESPANCADO POR HOMEM INCOMODADO COM BUZINA DE CARRINHO, EM MANAUS</t>
        </is>
      </c>
      <c r="I1421" t="inlineStr">
        <is>
          <t>SUSPEITO PRESTOU DEPOIMENTO NO INÍCIO DA TARDE DE SEGUNDA-FEIRA (29) E FOI LIBERADO PARA RESPONDER PELO CRIME DE LESÃO CORPORAL EM LIBERDADE.</t>
        </is>
      </c>
      <c r="J1421" t="inlineStr"/>
      <c r="K1421" t="n">
        <v>0</v>
      </c>
      <c r="L1421" t="n">
        <v>2</v>
      </c>
      <c r="M1421" t="n">
        <v>2</v>
      </c>
      <c r="N1421" t="n">
        <v>0</v>
      </c>
      <c r="O1421" t="n">
        <v>1</v>
      </c>
      <c r="P1421">
        <f>HYPERLINK("https://g1.globo.com/am/amazonas/noticia/2019/07/30/haitiano-agredido-por-homem-passa-por-exame-de-corpo-de-delito-em-manaus.ghtml", "URL")</f>
        <v/>
      </c>
      <c r="Q1421">
        <f>HYPERLINK("https://raw.githubusercontent.com/marcosmapl/dataset_imigrantes/main/materias_filtered/g1/haitianos/2019/06_jul/html/g1_8c778a60-22f5-11ed-b24f-6dbe51e79fca_1957.html", "HTML")</f>
        <v/>
      </c>
      <c r="R1421">
        <f>HYPERLINK("https://raw.githubusercontent.com/marcosmapl/dataset_imigrantes/main/materias_filtered/g1/haitianos/2019/06_jul/txt/g1_8c778a60-22f5-11ed-b24f-6dbe51e79fca_1957.txt", "TXT")</f>
        <v/>
      </c>
    </row>
    <row r="1422">
      <c r="A1422" s="1" t="n">
        <v>1420</v>
      </c>
      <c r="B1422" t="n">
        <v>2019</v>
      </c>
      <c r="C1422" s="2" t="n">
        <v>43676.55426328703</v>
      </c>
      <c r="D1422" t="inlineStr">
        <is>
          <t>G1</t>
        </is>
      </c>
      <c r="E1422" t="inlineStr">
        <is>
          <t>VENEZUELANOS</t>
        </is>
      </c>
      <c r="F1422" t="inlineStr">
        <is>
          <t>RORAIMA</t>
        </is>
      </c>
      <c r="G1422" t="inlineStr">
        <is>
          <t>EMILY COSTA, G1 RR — BOA VISTA</t>
        </is>
      </c>
      <c r="H1422" t="inlineStr">
        <is>
          <t>JUSTIÇA MANDA SOLTAR VENEZUELANO PRESO POR ASSASSINATO COMETIDO POR BRASILEIRO EM RR</t>
        </is>
      </c>
      <c r="I1422" t="inlineStr">
        <is>
          <t>YORBIN MOISES PONCE DIAS, 31, FICOU 45 DIAS NA PENITENCIÁRIA AGRÍCOLA DE MONTE CRISTO. BRASILEIRO QUE MATOU EMPRESÁRIO FOI SOLTO NO ÚLTIMO DIA 17.</t>
        </is>
      </c>
      <c r="J1422" t="inlineStr"/>
      <c r="K1422" t="n">
        <v>0</v>
      </c>
      <c r="L1422" t="n">
        <v>0</v>
      </c>
      <c r="M1422" t="n">
        <v>0</v>
      </c>
      <c r="N1422" t="n">
        <v>0</v>
      </c>
      <c r="O1422" t="n">
        <v>4</v>
      </c>
      <c r="P1422">
        <f>HYPERLINK("https://g1.globo.com/rr/roraima/noticia/2019/07/30/justica-manda-soltar-venezuelano-preso-por-assassinato-cometido-por-brasileiro-em-rr.ghtml", "URL")</f>
        <v/>
      </c>
      <c r="Q1422">
        <f>HYPERLINK("https://raw.githubusercontent.com/marcosmapl/dataset_imigrantes/main/materias_filtered/g1/venezuelanos/2019/06_jul/html/g1_1de3416a-230f-11ed-b24f-6dbe51e79fca_2779.html", "HTML")</f>
        <v/>
      </c>
      <c r="R1422">
        <f>HYPERLINK("https://raw.githubusercontent.com/marcosmapl/dataset_imigrantes/main/materias_filtered/g1/venezuelanos/2019/06_jul/txt/g1_1de3416a-230f-11ed-b24f-6dbe51e79fca_2779.txt", "TXT")</f>
        <v/>
      </c>
    </row>
    <row r="1423">
      <c r="A1423" s="1" t="n">
        <v>1421</v>
      </c>
      <c r="B1423" t="n">
        <v>2019</v>
      </c>
      <c r="C1423" s="2" t="n">
        <v>43676.55138888889</v>
      </c>
      <c r="D1423" t="inlineStr">
        <is>
          <t>A CRITICA</t>
        </is>
      </c>
      <c r="E1423" t="inlineStr">
        <is>
          <t>VENEZUELANOS</t>
        </is>
      </c>
      <c r="F1423" t="inlineStr">
        <is>
          <t>ESPORTES</t>
        </is>
      </c>
      <c r="G1423" t="inlineStr">
        <is>
          <t>AGÊNCIA BRASIL</t>
        </is>
      </c>
      <c r="H1423" t="inlineStr">
        <is>
          <t>EM DIA DE MUITAS MEDALHAS NO PAN, TAEKWONDO BRASILEIRO FAZ HISTÓRIA</t>
        </is>
      </c>
      <c r="I1423" t="inlineStr">
        <is>
          <t>ATÉ AGORA, O BRASIL CONQUISTOU 25 MEDALHAS EM LIMA; 7 SÃO DO TAEKWONDO</t>
        </is>
      </c>
      <c r="J1423" t="inlineStr"/>
      <c r="K1423" t="n">
        <v>0</v>
      </c>
      <c r="L1423" t="n">
        <v>1</v>
      </c>
      <c r="M1423" t="n">
        <v>0</v>
      </c>
      <c r="N1423" t="n">
        <v>0</v>
      </c>
      <c r="O1423" t="n">
        <v>14</v>
      </c>
      <c r="P1423">
        <f>HYPERLINK("https://www.acritica.com/esportes/em-dia-de-muitas-medalhas-no-pan-taekwondo-brasileiro-faz-historia-1.62404", "URL")</f>
        <v/>
      </c>
      <c r="Q1423">
        <f>HYPERLINK("https://raw.githubusercontent.com/marcosmapl/dataset_imigrantes/main/materias_filtered/a_critica/venezuelanos/2019/06_jul/html/1.62404_823.html", "HTML")</f>
        <v/>
      </c>
      <c r="R1423">
        <f>HYPERLINK("https://raw.githubusercontent.com/marcosmapl/dataset_imigrantes/main/materias_filtered/a_critica/venezuelanos/2019/06_jul/txt/1.62404_823.txt", "TXT")</f>
        <v/>
      </c>
    </row>
    <row r="1424">
      <c r="A1424" s="1" t="n">
        <v>1422</v>
      </c>
      <c r="B1424" t="n">
        <v>2019</v>
      </c>
      <c r="C1424" s="2" t="n">
        <v>43675.66861026621</v>
      </c>
      <c r="D1424" t="inlineStr">
        <is>
          <t>G1</t>
        </is>
      </c>
      <c r="E1424" t="inlineStr">
        <is>
          <t>HAITIANOS</t>
        </is>
      </c>
      <c r="F1424" t="inlineStr">
        <is>
          <t>AMAZONAS</t>
        </is>
      </c>
      <c r="G1424" t="inlineStr">
        <is>
          <t>ISABELLA PINA, G1 AM</t>
        </is>
      </c>
      <c r="H1424" t="inlineStr">
        <is>
          <t>SORVETEIRO HAITIANO É ESPANCADO POR HOMEM INCOMODADO COM BUZINA DE CARRINHO; VÍDEO MOSTRA FUGA</t>
        </is>
      </c>
      <c r="I1424" t="inlineStr">
        <is>
          <t>CASO ACONTECEU NA ZONA SUL DE MANAUS. AGRESSOR FOI DETIDO E PRESTA ESCLARECIMENTOS À POLÍCIA.</t>
        </is>
      </c>
      <c r="J1424" t="inlineStr"/>
      <c r="K1424" t="n">
        <v>0</v>
      </c>
      <c r="L1424" t="n">
        <v>2</v>
      </c>
      <c r="M1424" t="n">
        <v>1</v>
      </c>
      <c r="N1424" t="n">
        <v>0</v>
      </c>
      <c r="O1424" t="n">
        <v>0</v>
      </c>
      <c r="P1424">
        <f>HYPERLINK("https://g1.globo.com/am/amazonas/noticia/2019/07/29/sorveteiro-haitiano-e-internado-apos-ser-espancado-por-homem-incomodado-com-buzina-de-carrinho-video-mostra-fuga.ghtml", "URL")</f>
        <v/>
      </c>
      <c r="Q1424">
        <f>HYPERLINK("https://raw.githubusercontent.com/marcosmapl/dataset_imigrantes/main/materias_filtered/g1/haitianos/2019/06_jul/html/g1_f2433514-22f6-11ed-b24f-6dbe51e79fca_2049.html", "HTML")</f>
        <v/>
      </c>
      <c r="R1424">
        <f>HYPERLINK("https://raw.githubusercontent.com/marcosmapl/dataset_imigrantes/main/materias_filtered/g1/haitianos/2019/06_jul/txt/g1_f2433514-22f6-11ed-b24f-6dbe51e79fca_2049.txt", "TXT")</f>
        <v/>
      </c>
    </row>
    <row r="1425">
      <c r="A1425" s="1" t="n">
        <v>1423</v>
      </c>
      <c r="B1425" t="n">
        <v>2019</v>
      </c>
      <c r="C1425" s="2" t="n">
        <v>43674.87793981482</v>
      </c>
      <c r="D1425" t="inlineStr">
        <is>
          <t>A CRITICA</t>
        </is>
      </c>
      <c r="E1425" t="inlineStr">
        <is>
          <t>VENEZUELANOS</t>
        </is>
      </c>
      <c r="F1425" t="inlineStr"/>
      <c r="G1425" t="inlineStr">
        <is>
          <t>REUTERS</t>
        </is>
      </c>
      <c r="H1425" t="inlineStr">
        <is>
          <t>É 'PROVÁVEL' QUE EUA ENTRE NA VENEZUELA, DIZ N° 2 DO PARTIDO GOVERNISTA VENEZUELANO</t>
        </is>
      </c>
      <c r="I1425" t="inlineStr">
        <is>
          <t>ESTADOS UNIDOS E A MAIORIA DAS DEMOCRACIAS OCIDENTAIS RECONHECEM GUAIDÓ COMO O LÍDER DE DIREITO DA VENEZUELA E NÃO MADURO</t>
        </is>
      </c>
      <c r="J1425" t="inlineStr"/>
      <c r="K1425" t="n">
        <v>0</v>
      </c>
      <c r="L1425" t="n">
        <v>1</v>
      </c>
      <c r="M1425" t="n">
        <v>0</v>
      </c>
      <c r="N1425" t="n">
        <v>0</v>
      </c>
      <c r="O1425" t="n">
        <v>0</v>
      </c>
      <c r="P1425">
        <f>HYPERLINK("https://www.acritica.com/e-provavel-que-eua-entre-na-venezuela-diz-n-2-do-partido-governista-venezuelano-1.63600", "URL")</f>
        <v/>
      </c>
      <c r="Q1425">
        <f>HYPERLINK("https://raw.githubusercontent.com/marcosmapl/dataset_imigrantes/main/materias_filtered/a_critica/venezuelanos/2019/06_jul/html/1.63600_1363.html", "HTML")</f>
        <v/>
      </c>
      <c r="R1425">
        <f>HYPERLINK("https://raw.githubusercontent.com/marcosmapl/dataset_imigrantes/main/materias_filtered/a_critica/venezuelanos/2019/06_jul/txt/1.63600_1363.txt", "TXT")</f>
        <v/>
      </c>
    </row>
    <row r="1426">
      <c r="A1426" s="1" t="n">
        <v>1424</v>
      </c>
      <c r="B1426" t="n">
        <v>2019</v>
      </c>
      <c r="C1426" s="2" t="n">
        <v>43674.60814989583</v>
      </c>
      <c r="D1426" t="inlineStr">
        <is>
          <t>G1</t>
        </is>
      </c>
      <c r="E1426" t="inlineStr">
        <is>
          <t>VENEZUELANOS</t>
        </is>
      </c>
      <c r="F1426" t="inlineStr">
        <is>
          <t>POP &amp; ARTE</t>
        </is>
      </c>
      <c r="G1426" t="inlineStr">
        <is>
          <t>G1</t>
        </is>
      </c>
      <c r="H1426" t="inlineStr">
        <is>
          <t>MORRE O ARTISTA VENEZUELANO CARLOS CRUZ-DÍEZ AOS 95 ANOS, EM PARIS</t>
        </is>
      </c>
      <c r="I1426" t="inlineStr">
        <is>
          <t>ELE ERA CONSIDERADO O MAIOR ARTISTA CINÉTICO AINDA VIVO. O 'CINETISMO' FOI UM MOVIMENTO DAS ARTES PLÁSTICAS QUE NASCEU NA DÉCADA DE 1950, NA FRANÇA, ROMPENDO COM A TRADIÇÃO ESTÁTICA DAS OBRAS.</t>
        </is>
      </c>
      <c r="J1426" t="inlineStr"/>
      <c r="K1426" t="n">
        <v>0</v>
      </c>
      <c r="L1426" t="n">
        <v>2</v>
      </c>
      <c r="M1426" t="n">
        <v>0</v>
      </c>
      <c r="N1426" t="n">
        <v>0</v>
      </c>
      <c r="O1426" t="n">
        <v>0</v>
      </c>
      <c r="P1426">
        <f>HYPERLINK("https://g1.globo.com/pop-arte/noticia/2019/07/28/morre-o-artista-venezuelano-carlos-cruz-diez-aos-95-anos-em-paris.ghtml", "URL")</f>
        <v/>
      </c>
      <c r="Q1426">
        <f>HYPERLINK("https://raw.githubusercontent.com/marcosmapl/dataset_imigrantes/main/materias_filtered/g1/venezuelanos/2019/06_jul/html/g1_80cedb66-2307-11ed-b24f-6dbe51e79fca_2322.html", "HTML")</f>
        <v/>
      </c>
      <c r="R1426">
        <f>HYPERLINK("https://raw.githubusercontent.com/marcosmapl/dataset_imigrantes/main/materias_filtered/g1/venezuelanos/2019/06_jul/txt/g1_80cedb66-2307-11ed-b24f-6dbe51e79fca_2322.txt", "TXT")</f>
        <v/>
      </c>
    </row>
    <row r="1427">
      <c r="A1427" s="1" t="n">
        <v>1425</v>
      </c>
      <c r="B1427" t="n">
        <v>2019</v>
      </c>
      <c r="C1427" s="2" t="n">
        <v>43672.52594907407</v>
      </c>
      <c r="D1427" t="inlineStr">
        <is>
          <t>A CRITICA</t>
        </is>
      </c>
      <c r="E1427" t="inlineStr">
        <is>
          <t>VENEZUELANOS</t>
        </is>
      </c>
      <c r="F1427" t="inlineStr">
        <is>
          <t>MANAUS</t>
        </is>
      </c>
      <c r="G1427" t="inlineStr">
        <is>
          <t>PORTAL A CRÍTICA</t>
        </is>
      </c>
      <c r="H1427" t="inlineStr">
        <is>
          <t>GOVERNO DO AM CEDE IMÓVEIS PARA OPERAÇÃO DE REORDENAÇÃO DE REFUGIADOS</t>
        </is>
      </c>
      <c r="I1427" t="inlineStr">
        <is>
          <t>A ASSINATURA DO TERMO DE AFETAÇÃO DOS ESPAÇOS OCORREU NESTA SEMANA PELAS REPRESENTANTES DA SEAD E SEJUSC. UM DOS IMÓVEIS É UM GALPÃO QUE FAZ PARTE DO COMPLEXO TERMINAL RODOVIÁRIO</t>
        </is>
      </c>
      <c r="J1427" t="inlineStr"/>
      <c r="K1427" t="n">
        <v>0</v>
      </c>
      <c r="L1427" t="n">
        <v>1</v>
      </c>
      <c r="M1427" t="n">
        <v>0</v>
      </c>
      <c r="N1427" t="n">
        <v>0</v>
      </c>
      <c r="O1427" t="n">
        <v>0</v>
      </c>
      <c r="P1427">
        <f>HYPERLINK("https://www.acritica.com/manaus/governo-do-am-cede-imoveis-para-operac-o-de-reordenac-o-de-refugiados-1.62434", "URL")</f>
        <v/>
      </c>
      <c r="Q1427">
        <f>HYPERLINK("https://raw.githubusercontent.com/marcosmapl/dataset_imigrantes/main/materias_filtered/a_critica/venezuelanos/2019/06_jul/html/1.62434_313.html", "HTML")</f>
        <v/>
      </c>
      <c r="R1427">
        <f>HYPERLINK("https://raw.githubusercontent.com/marcosmapl/dataset_imigrantes/main/materias_filtered/a_critica/venezuelanos/2019/06_jul/txt/1.62434_313.txt", "TXT")</f>
        <v/>
      </c>
    </row>
    <row r="1428">
      <c r="A1428" s="1" t="n">
        <v>1426</v>
      </c>
      <c r="B1428" t="n">
        <v>2019</v>
      </c>
      <c r="C1428" s="2" t="n">
        <v>43672.41484570602</v>
      </c>
      <c r="D1428" t="inlineStr">
        <is>
          <t>G1</t>
        </is>
      </c>
      <c r="E1428" t="inlineStr">
        <is>
          <t>VENEZUELANOS</t>
        </is>
      </c>
      <c r="F1428" t="inlineStr">
        <is>
          <t>BAURU E MARÍLIA</t>
        </is>
      </c>
      <c r="G1428" t="inlineStr">
        <is>
          <t>G1 BAURU E MARÍLIA</t>
        </is>
      </c>
      <c r="H1428" t="inlineStr">
        <is>
          <t>PROJETO QUE ACOLHE VENEZUELANOS CHEGA AO CENTRO-OESTE PAULISTA</t>
        </is>
      </c>
      <c r="I1428" t="inlineStr">
        <is>
          <t>FAMÍLIA DA VENEZUELA MUDOU-SE PARA O INTERIOR PAULISTA COM O APOIO DO GOVERNO FEDERAL E DE UMA UNIVERSIDADE EM ASSIS (SP).</t>
        </is>
      </c>
      <c r="J1428" t="inlineStr"/>
      <c r="K1428" t="n">
        <v>0</v>
      </c>
      <c r="L1428" t="n">
        <v>3</v>
      </c>
      <c r="M1428" t="n">
        <v>1</v>
      </c>
      <c r="N1428" t="n">
        <v>0</v>
      </c>
      <c r="O1428" t="n">
        <v>1</v>
      </c>
      <c r="P1428">
        <f>HYPERLINK("https://g1.globo.com/sp/bauru-marilia/noticia/2019/07/26/projeto-que-acolhe-venezuelanos-chega-ao-centro-oeste-paulista.ghtml", "URL")</f>
        <v/>
      </c>
      <c r="Q1428">
        <f>HYPERLINK("https://raw.githubusercontent.com/marcosmapl/dataset_imigrantes/main/materias_filtered/g1/venezuelanos/2019/06_jul/html/g1_f705b0f0-230e-11ed-b24f-6dbe51e79fca_2769.html", "HTML")</f>
        <v/>
      </c>
      <c r="R1428">
        <f>HYPERLINK("https://raw.githubusercontent.com/marcosmapl/dataset_imigrantes/main/materias_filtered/g1/venezuelanos/2019/06_jul/txt/g1_f705b0f0-230e-11ed-b24f-6dbe51e79fca_2769.txt", "TXT")</f>
        <v/>
      </c>
    </row>
    <row r="1429">
      <c r="A1429" s="1" t="n">
        <v>1427</v>
      </c>
      <c r="B1429" t="n">
        <v>2019</v>
      </c>
      <c r="C1429" s="2" t="n">
        <v>43671.57548254629</v>
      </c>
      <c r="D1429" t="inlineStr">
        <is>
          <t>G1</t>
        </is>
      </c>
      <c r="E1429" t="inlineStr">
        <is>
          <t>VENEZUELANOS</t>
        </is>
      </c>
      <c r="F1429" t="inlineStr">
        <is>
          <t>POLÍTICA</t>
        </is>
      </c>
      <c r="G1429" t="inlineStr">
        <is>
          <t>LUIZ FELIPE BARBIÉRI, G1 — BRASÍLIA</t>
        </is>
      </c>
      <c r="H1429" t="inlineStr">
        <is>
          <t>PEDIDOS DE REFÚGIO DE VENEZUELANOS AO BRASIL CRESCEM 245% EM UM ANO</t>
        </is>
      </c>
      <c r="I1429" t="inlineStr">
        <is>
          <t>SOLICITAÇÕES PASSARAM DE 17.685 EM 2017 PARA 61.681 EM 2018. DOS PEDIDOS DE REFÚGIO QUE TRAMITAM NO BRASIL, 52% SÃO DO PAÍS VIZINHO.</t>
        </is>
      </c>
      <c r="J1429" t="inlineStr"/>
      <c r="K1429" t="n">
        <v>0</v>
      </c>
      <c r="L1429" t="n">
        <v>3</v>
      </c>
      <c r="M1429" t="n">
        <v>1</v>
      </c>
      <c r="N1429" t="n">
        <v>0</v>
      </c>
      <c r="O1429" t="n">
        <v>7</v>
      </c>
      <c r="P1429">
        <f>HYPERLINK("https://g1.globo.com/politica/noticia/2019/07/25/pedidos-de-refugio-de-venezuelanos-ao-brasil-cresce-245percent-em-um-ano.ghtml", "URL")</f>
        <v/>
      </c>
      <c r="Q1429">
        <f>HYPERLINK("https://raw.githubusercontent.com/marcosmapl/dataset_imigrantes/main/materias_filtered/g1/venezuelanos/2019/06_jul/html/g1_764f6196-2321-11ed-b24f-6dbe51e79fca_3701.html", "HTML")</f>
        <v/>
      </c>
      <c r="R1429">
        <f>HYPERLINK("https://raw.githubusercontent.com/marcosmapl/dataset_imigrantes/main/materias_filtered/g1/venezuelanos/2019/06_jul/txt/g1_764f6196-2321-11ed-b24f-6dbe51e79fca_3701.txt", "TXT")</f>
        <v/>
      </c>
    </row>
    <row r="1430">
      <c r="A1430" s="1" t="n">
        <v>1428</v>
      </c>
      <c r="B1430" t="n">
        <v>2019</v>
      </c>
      <c r="C1430" s="2" t="n">
        <v>43671.54767987269</v>
      </c>
      <c r="D1430" t="inlineStr">
        <is>
          <t>G1</t>
        </is>
      </c>
      <c r="E1430" t="inlineStr">
        <is>
          <t>VENEZUELANOS</t>
        </is>
      </c>
      <c r="F1430" t="inlineStr">
        <is>
          <t>MATO GROSSO</t>
        </is>
      </c>
      <c r="G1430" t="inlineStr">
        <is>
          <t>G1 MT</t>
        </is>
      </c>
      <c r="H1430" t="inlineStr">
        <is>
          <t>VENEZUELANO É PRESO EM MT SUSPEITO DE ESTUPRAR AS ENTEADAS DE 9 E 10 ANOS</t>
        </is>
      </c>
      <c r="I1430" t="inlineStr">
        <is>
          <t>ELE ERA INVESTIGADO NA CIDADE PELOS CRIMES DE ESTUPRO DE VULNERÁVEL PEDOFILIA CONTRA AS DUAS CRIANÇAS, QUE SÃO IRMÃS.</t>
        </is>
      </c>
      <c r="J1430" t="inlineStr"/>
      <c r="K1430" t="n">
        <v>0</v>
      </c>
      <c r="L1430" t="n">
        <v>2</v>
      </c>
      <c r="M1430" t="n">
        <v>0</v>
      </c>
      <c r="N1430" t="n">
        <v>0</v>
      </c>
      <c r="O1430" t="n">
        <v>0</v>
      </c>
      <c r="P1430">
        <f>HYPERLINK("https://g1.globo.com/mt/mato-grosso/noticia/2019/07/25/venezuelano-e-preso-em-mt-suspeito-de-estuprar-as-enteadas-de-9-e-10-anos.ghtml", "URL")</f>
        <v/>
      </c>
      <c r="Q1430">
        <f>HYPERLINK("https://raw.githubusercontent.com/marcosmapl/dataset_imigrantes/main/materias_filtered/g1/venezuelanos/2019/06_jul/html/g1_76a6b6a0-2329-11ed-b24f-6dbe51e79fca_4118.html", "HTML")</f>
        <v/>
      </c>
      <c r="R1430">
        <f>HYPERLINK("https://raw.githubusercontent.com/marcosmapl/dataset_imigrantes/main/materias_filtered/g1/venezuelanos/2019/06_jul/txt/g1_76a6b6a0-2329-11ed-b24f-6dbe51e79fca_4118.txt", "TXT")</f>
        <v/>
      </c>
    </row>
    <row r="1431">
      <c r="A1431" s="1" t="n">
        <v>1429</v>
      </c>
      <c r="B1431" t="n">
        <v>2019</v>
      </c>
      <c r="C1431" s="2" t="n">
        <v>43670.54233480324</v>
      </c>
      <c r="D1431" t="inlineStr">
        <is>
          <t>G1</t>
        </is>
      </c>
      <c r="E1431" t="inlineStr">
        <is>
          <t>VENEZUELANOS</t>
        </is>
      </c>
      <c r="F1431" t="inlineStr">
        <is>
          <t>RORAIMA</t>
        </is>
      </c>
      <c r="G1431" t="inlineStr">
        <is>
          <t>G1 RR — BOA VISTA</t>
        </is>
      </c>
      <c r="H1431" t="inlineStr">
        <is>
          <t>MUTIRÃO OFERECE EMISSÃO DE CARTEIRAS DE TRABALHO A VENEZUELANOS EM RR</t>
        </is>
      </c>
      <c r="I1431" t="inlineStr">
        <is>
          <t>EMISSÕES COMEÇARAM NA SEGUNDA (22) E TERMINAM NESTA QUARTA (24).</t>
        </is>
      </c>
      <c r="J1431" t="inlineStr"/>
      <c r="K1431" t="n">
        <v>0</v>
      </c>
      <c r="L1431" t="n">
        <v>0</v>
      </c>
      <c r="M1431" t="n">
        <v>0</v>
      </c>
      <c r="N1431" t="n">
        <v>0</v>
      </c>
      <c r="O1431" t="n">
        <v>1</v>
      </c>
      <c r="P1431">
        <f>HYPERLINK("https://g1.globo.com/rr/roraima/noticia/2019/07/24/mutirao-oferece-emissao-de-carteiras-de-trabalho-a-venezuelanos-em-rr.ghtml", "URL")</f>
        <v/>
      </c>
      <c r="Q1431">
        <f>HYPERLINK("https://raw.githubusercontent.com/marcosmapl/dataset_imigrantes/main/materias_filtered/g1/venezuelanos/2019/06_jul/html/g1_4da23b38-2312-11ed-b24f-6dbe51e79fca_2960.html", "HTML")</f>
        <v/>
      </c>
      <c r="R1431">
        <f>HYPERLINK("https://raw.githubusercontent.com/marcosmapl/dataset_imigrantes/main/materias_filtered/g1/venezuelanos/2019/06_jul/txt/g1_4da23b38-2312-11ed-b24f-6dbe51e79fca_2960.txt", "TXT")</f>
        <v/>
      </c>
    </row>
    <row r="1432">
      <c r="A1432" s="1" t="n">
        <v>1430</v>
      </c>
      <c r="B1432" t="n">
        <v>2019</v>
      </c>
      <c r="C1432" s="2" t="n">
        <v>43669.95243701389</v>
      </c>
      <c r="D1432" t="inlineStr">
        <is>
          <t>G1</t>
        </is>
      </c>
      <c r="E1432" t="inlineStr">
        <is>
          <t>VENEZUELANOS</t>
        </is>
      </c>
      <c r="F1432" t="inlineStr">
        <is>
          <t>CENTRO-OESTE</t>
        </is>
      </c>
      <c r="G1432" t="inlineStr">
        <is>
          <t>MG2</t>
        </is>
      </c>
      <c r="H1432" t="inlineStr">
        <is>
          <t>INSTITUIÇÃO EM ITAÚNA ACOLHE REFUGIADOS VENEZUELANOS</t>
        </is>
      </c>
      <c r="I1432" t="inlineStr">
        <is>
          <t>COMUNIDADE BOM PASTOR PRECISOU IMPROVISAR QUARTOS E DOAÇÕES, MAS PRECISA DE MAIS AJUDA PARA MANTER O LOCAL.</t>
        </is>
      </c>
      <c r="J1432" t="inlineStr"/>
      <c r="K1432" t="n">
        <v>0</v>
      </c>
      <c r="L1432" t="n">
        <v>2</v>
      </c>
      <c r="M1432" t="n">
        <v>1</v>
      </c>
      <c r="N1432" t="n">
        <v>0</v>
      </c>
      <c r="O1432" t="n">
        <v>0</v>
      </c>
      <c r="P1432">
        <f>HYPERLINK("https://g1.globo.com/mg/centro-oeste/noticia/2019/07/23/instituicao-em-itauna-acolhe-refugiados-venezuelanos.ghtml", "URL")</f>
        <v/>
      </c>
      <c r="Q1432">
        <f>HYPERLINK("https://raw.githubusercontent.com/marcosmapl/dataset_imigrantes/main/materias_filtered/g1/venezuelanos/2019/06_jul/html/g1_8e554ff8-2326-11ed-b24f-6dbe51e79fca_3984.html", "HTML")</f>
        <v/>
      </c>
      <c r="R1432">
        <f>HYPERLINK("https://raw.githubusercontent.com/marcosmapl/dataset_imigrantes/main/materias_filtered/g1/venezuelanos/2019/06_jul/txt/g1_8e554ff8-2326-11ed-b24f-6dbe51e79fca_3984.txt", "TXT")</f>
        <v/>
      </c>
    </row>
    <row r="1433">
      <c r="A1433" s="1" t="n">
        <v>1431</v>
      </c>
      <c r="B1433" t="n">
        <v>2019</v>
      </c>
      <c r="C1433" s="2" t="n">
        <v>43669.61903935186</v>
      </c>
      <c r="D1433" t="inlineStr">
        <is>
          <t>A CRITICA</t>
        </is>
      </c>
      <c r="E1433" t="inlineStr">
        <is>
          <t>VENEZUELANOS</t>
        </is>
      </c>
      <c r="F1433" t="inlineStr"/>
      <c r="G1433" t="inlineStr">
        <is>
          <t>REUTERS</t>
        </is>
      </c>
      <c r="H1433" t="inlineStr">
        <is>
          <t>BRASIL E MÉXICO PUXAM A ECONOMIA NA AMÉRICA LATINA PARA BAIXO, DIZ FMI</t>
        </is>
      </c>
      <c r="I1433" t="inlineStr">
        <is>
          <t>COM O PIOR RESULTADO ECONÔMICO DOS ÚLTIMOS TRÊS ANOS, O BRASIL E O MÉXICO DESACELERAM A ECONOMIA NA AMÉRICA LATINA, CONFORME DADOS DO FUNDO MONETÁRIO INTERNACIONAL (FMI), PUBLICADOS HOJE (23)</t>
        </is>
      </c>
      <c r="J1433" t="inlineStr"/>
      <c r="K1433" t="n">
        <v>0</v>
      </c>
      <c r="L1433" t="n">
        <v>1</v>
      </c>
      <c r="M1433" t="n">
        <v>0</v>
      </c>
      <c r="N1433" t="n">
        <v>0</v>
      </c>
      <c r="O1433" t="n">
        <v>0</v>
      </c>
      <c r="P1433">
        <f>HYPERLINK("https://www.acritica.com/brasil-e-mexico-puxam-a-economia-na-america-latina-para-baixo-diz-fmi-1.63789", "URL")</f>
        <v/>
      </c>
      <c r="Q1433">
        <f>HYPERLINK("https://raw.githubusercontent.com/marcosmapl/dataset_imigrantes/main/materias_filtered/a_critica/venezuelanos/2019/06_jul/html/1.63789_637.html", "HTML")</f>
        <v/>
      </c>
      <c r="R1433">
        <f>HYPERLINK("https://raw.githubusercontent.com/marcosmapl/dataset_imigrantes/main/materias_filtered/a_critica/venezuelanos/2019/06_jul/txt/1.63789_637.txt", "TXT")</f>
        <v/>
      </c>
    </row>
    <row r="1434">
      <c r="A1434" s="1" t="n">
        <v>1432</v>
      </c>
      <c r="B1434" t="n">
        <v>2019</v>
      </c>
      <c r="C1434" s="2" t="n">
        <v>43669.47438657407</v>
      </c>
      <c r="D1434" t="inlineStr">
        <is>
          <t>A CRITICA</t>
        </is>
      </c>
      <c r="E1434" t="inlineStr">
        <is>
          <t>VENEZUELANOS</t>
        </is>
      </c>
      <c r="F1434" t="inlineStr"/>
      <c r="G1434" t="inlineStr">
        <is>
          <t>AGÊNCIA BRASIL</t>
        </is>
      </c>
      <c r="H1434" t="inlineStr">
        <is>
          <t>APAGÃO ATINGE VENEZUELA; GOVERNO FALA EM 'ATAQUE ELETROMAGNÉTICO'</t>
        </is>
      </c>
      <c r="I1434" t="inlineStr">
        <is>
          <t>EM NOTA, O GOVERNO DA VENEZUELA DISSE QUE OS PRIMEIROS INDÍCIOS DE INVESTIGAÇÃO APONTAM PARA UM 'ATAQUE ELETROMAGNÉTICO' QUE ATINGIU O O SISTEMA DE GERAÇÃO HIDRELÉTRICA DE GUAYANA</t>
        </is>
      </c>
      <c r="J1434" t="inlineStr"/>
      <c r="K1434" t="n">
        <v>0</v>
      </c>
      <c r="L1434" t="n">
        <v>1</v>
      </c>
      <c r="M1434" t="n">
        <v>0</v>
      </c>
      <c r="N1434" t="n">
        <v>0</v>
      </c>
      <c r="O1434" t="n">
        <v>0</v>
      </c>
      <c r="P1434">
        <f>HYPERLINK("https://www.acritica.com/apag-o-atinge-venezuela-governo-fala-em-ataque-eletromagnetico-1.63823", "URL")</f>
        <v/>
      </c>
      <c r="Q1434">
        <f>HYPERLINK("https://raw.githubusercontent.com/marcosmapl/dataset_imigrantes/main/materias_filtered/a_critica/venezuelanos/2019/06_jul/html/1.63823_740.html", "HTML")</f>
        <v/>
      </c>
      <c r="R1434">
        <f>HYPERLINK("https://raw.githubusercontent.com/marcosmapl/dataset_imigrantes/main/materias_filtered/a_critica/venezuelanos/2019/06_jul/txt/1.63823_740.txt", "TXT")</f>
        <v/>
      </c>
    </row>
    <row r="1435">
      <c r="A1435" s="1" t="n">
        <v>1433</v>
      </c>
      <c r="B1435" t="n">
        <v>2019</v>
      </c>
      <c r="C1435" s="2" t="n">
        <v>43668.43694444445</v>
      </c>
      <c r="D1435" t="inlineStr">
        <is>
          <t>A CRITICA</t>
        </is>
      </c>
      <c r="E1435" t="inlineStr">
        <is>
          <t>VENEZUELANOS</t>
        </is>
      </c>
      <c r="F1435" t="inlineStr">
        <is>
          <t>MANAUS</t>
        </is>
      </c>
      <c r="G1435" t="inlineStr">
        <is>
          <t>DANIEL AMORIM</t>
        </is>
      </c>
      <c r="H1435" t="inlineStr">
        <is>
          <t>ABRIGO DE REFUGIADOS VENEZUELANOS ESTÁ EM SITUAÇÃO PRECÁRIA EM MANAUS</t>
        </is>
      </c>
      <c r="I1435" t="inlineStr">
        <is>
          <t>FOSSAS ENTUPIDAS, FORNECIMENTO INSUFICIENTE DE ENERGIA ELÉTRICA E FALTA DE ÁGUA SÃO ALGUNS DOS PROBLEMAS ENCONTRADOS NA CASA DE ACOLHIMENTO ALFREDO NASCIMENTO II, DE RESPONSABILIDADE DA PREFEITURA DE MANAUS</t>
        </is>
      </c>
      <c r="J1435" t="inlineStr"/>
      <c r="K1435" t="n">
        <v>0</v>
      </c>
      <c r="L1435" t="n">
        <v>1</v>
      </c>
      <c r="M1435" t="n">
        <v>0</v>
      </c>
      <c r="N1435" t="n">
        <v>0</v>
      </c>
      <c r="O1435" t="n">
        <v>0</v>
      </c>
      <c r="P1435">
        <f>HYPERLINK("https://www.acritica.com/manaus/abrigo-de-refugiados-venezuelanos-esta-em-situac-o-precaria-em-manaus-1.62659", "URL")</f>
        <v/>
      </c>
      <c r="Q1435">
        <f>HYPERLINK("https://raw.githubusercontent.com/marcosmapl/dataset_imigrantes/main/materias_filtered/a_critica/venezuelanos/2019/06_jul/html/1.62659_445.html", "HTML")</f>
        <v/>
      </c>
      <c r="R1435">
        <f>HYPERLINK("https://raw.githubusercontent.com/marcosmapl/dataset_imigrantes/main/materias_filtered/a_critica/venezuelanos/2019/06_jul/txt/1.62659_445.txt", "TXT")</f>
        <v/>
      </c>
    </row>
    <row r="1436">
      <c r="A1436" s="1" t="n">
        <v>1434</v>
      </c>
      <c r="B1436" t="n">
        <v>2019</v>
      </c>
      <c r="C1436" s="2" t="n">
        <v>43667.90642181713</v>
      </c>
      <c r="D1436" t="inlineStr">
        <is>
          <t>G1</t>
        </is>
      </c>
      <c r="E1436" t="inlineStr">
        <is>
          <t>VENEZUELANOS</t>
        </is>
      </c>
      <c r="F1436" t="inlineStr">
        <is>
          <t>MUNDO</t>
        </is>
      </c>
      <c r="G1436" t="inlineStr">
        <is>
          <t>DEUTSCHE WELLE</t>
        </is>
      </c>
      <c r="H1436" t="inlineStr">
        <is>
          <t>EUA DIZEM QUE CAÇA VENEZUELANO "SEGUIU DE FORMA AGRESSIVA" AVIÃO AMERICANO</t>
        </is>
      </c>
      <c r="I1436" t="inlineStr">
        <is>
          <t>SEGUNDO FORÇA AÉREA AMERICANA, O AVIÃO ESTAVA REALIZANDO UMA MISSÃO RECONHECIDA E APROVADA EM ESPAÇO AÉREO INTERNACIONAL SOBRE O MAR DO CARIBE. VENEZUELA AFIRMA QUE AVIÃO  NÃO INFORMOU SUA PRESENÇA E POR ISSO TERIA SIDO INTERCEPTADO E DEPOIS ESCOLTADO PARA FORA DO ESPAÇO AÉREO VENEZUELANO.</t>
        </is>
      </c>
      <c r="J1436" t="inlineStr"/>
      <c r="K1436" t="n">
        <v>0</v>
      </c>
      <c r="L1436" t="n">
        <v>1</v>
      </c>
      <c r="M1436" t="n">
        <v>0</v>
      </c>
      <c r="N1436" t="n">
        <v>0</v>
      </c>
      <c r="O1436" t="n">
        <v>2</v>
      </c>
      <c r="P1436">
        <f>HYPERLINK("https://g1.globo.com/mundo/noticia/2019/07/21/eua-dizem-que-caca-venezuelano-seguiu-de-forma-agressiva-aviao-americano.ghtml", "URL")</f>
        <v/>
      </c>
      <c r="Q1436">
        <f>HYPERLINK("https://raw.githubusercontent.com/marcosmapl/dataset_imigrantes/main/materias_filtered/g1/venezuelanos/2019/06_jul/html/g1_dc22bef4-230e-11ed-b24f-6dbe51e79fca_2762.html", "HTML")</f>
        <v/>
      </c>
      <c r="R1436">
        <f>HYPERLINK("https://raw.githubusercontent.com/marcosmapl/dataset_imigrantes/main/materias_filtered/g1/venezuelanos/2019/06_jul/txt/g1_dc22bef4-230e-11ed-b24f-6dbe51e79fca_2762.txt", "TXT")</f>
        <v/>
      </c>
    </row>
    <row r="1437">
      <c r="A1437" s="1" t="n">
        <v>1435</v>
      </c>
      <c r="B1437" t="n">
        <v>2019</v>
      </c>
      <c r="C1437" s="2" t="n">
        <v>43665.61865140047</v>
      </c>
      <c r="D1437" t="inlineStr">
        <is>
          <t>G1</t>
        </is>
      </c>
      <c r="E1437" t="inlineStr">
        <is>
          <t>VENEZUELANOS</t>
        </is>
      </c>
      <c r="F1437" t="inlineStr">
        <is>
          <t>MUNDO</t>
        </is>
      </c>
      <c r="G1437" t="inlineStr">
        <is>
          <t>FRANCE PRESSE</t>
        </is>
      </c>
      <c r="H1437" t="inlineStr">
        <is>
          <t>VICE-PRESIDENTE DO PARLAMENTO VENEZUELANO FAZ GREVE DE FOME HÁ NOVE DIAS, DIZ GUAIDÓ</t>
        </is>
      </c>
      <c r="I1437" t="inlineStr">
        <is>
          <t>O TRIBUNAL SUPREMO DE JUSTIÇA, DE ORIENTAÇÃO GOVERNISTA, ABRIU PROCESSO PENAIS CONTRA ZAMBRANO E OUTROS 14 LEGISLADORES PELO LEVANTE FRUSTRADO.</t>
        </is>
      </c>
      <c r="J1437" t="inlineStr"/>
      <c r="K1437" t="n">
        <v>0</v>
      </c>
      <c r="L1437" t="n">
        <v>1</v>
      </c>
      <c r="M1437" t="n">
        <v>0</v>
      </c>
      <c r="N1437" t="n">
        <v>0</v>
      </c>
      <c r="O1437" t="n">
        <v>2</v>
      </c>
      <c r="P1437">
        <f>HYPERLINK("https://g1.globo.com/mundo/noticia/2019/07/19/vice-presidente-do-parlamento-venezuelano-faz-greve-de-fome-ha-nove-dias-diz-guaido.ghtml", "URL")</f>
        <v/>
      </c>
      <c r="Q1437">
        <f>HYPERLINK("https://raw.githubusercontent.com/marcosmapl/dataset_imigrantes/main/materias_filtered/g1/venezuelanos/2019/06_jul/html/g1_1af2fd9a-2320-11ed-b24f-6dbe51e79fca_3663.html", "HTML")</f>
        <v/>
      </c>
      <c r="R1437">
        <f>HYPERLINK("https://raw.githubusercontent.com/marcosmapl/dataset_imigrantes/main/materias_filtered/g1/venezuelanos/2019/06_jul/txt/g1_1af2fd9a-2320-11ed-b24f-6dbe51e79fca_3663.txt", "TXT")</f>
        <v/>
      </c>
    </row>
    <row r="1438">
      <c r="A1438" s="1" t="n">
        <v>1436</v>
      </c>
      <c r="B1438" t="n">
        <v>2019</v>
      </c>
      <c r="C1438" s="2" t="n">
        <v>43663.50199074074</v>
      </c>
      <c r="D1438" t="inlineStr">
        <is>
          <t>A CRITICA</t>
        </is>
      </c>
      <c r="E1438" t="inlineStr">
        <is>
          <t>VENEZUELANOS</t>
        </is>
      </c>
      <c r="F1438" t="inlineStr"/>
      <c r="G1438" t="inlineStr">
        <is>
          <t>REUTERS</t>
        </is>
      </c>
      <c r="H1438" t="inlineStr">
        <is>
          <t>TRUMP PLANEJA DIRECIONAR US$40 MILHÕES PARA APOIAR OPOSIÇÃO DA VENEZUELA</t>
        </is>
      </c>
      <c r="I1438" t="inlineStr">
        <is>
          <t>O DINHEIRO SERÁ USADO PARA SALÁRIOS, VIAGENS, EQUIPAMENTOS E TREINAMENTO PARA A ADMINISTRAÇÃO DE UM ORÇAMENTO GOVERNAMENTAL E OUTRAS NECESSIDADES DA OPOSIÇÃO VENEZUELANA</t>
        </is>
      </c>
      <c r="J1438" t="inlineStr"/>
      <c r="K1438" t="n">
        <v>0</v>
      </c>
      <c r="L1438" t="n">
        <v>1</v>
      </c>
      <c r="M1438" t="n">
        <v>0</v>
      </c>
      <c r="N1438" t="n">
        <v>0</v>
      </c>
      <c r="O1438" t="n">
        <v>0</v>
      </c>
      <c r="P1438">
        <f>HYPERLINK("https://www.acritica.com/trump-planeja-direcionar-us-40-milh-es-para-apoiar-oposic-o-da-venezuela-1.64008", "URL")</f>
        <v/>
      </c>
      <c r="Q1438">
        <f>HYPERLINK("https://raw.githubusercontent.com/marcosmapl/dataset_imigrantes/main/materias_filtered/a_critica/venezuelanos/2019/06_jul/html/1.64008_1283.html", "HTML")</f>
        <v/>
      </c>
      <c r="R1438">
        <f>HYPERLINK("https://raw.githubusercontent.com/marcosmapl/dataset_imigrantes/main/materias_filtered/a_critica/venezuelanos/2019/06_jul/txt/1.64008_1283.txt", "TXT")</f>
        <v/>
      </c>
    </row>
    <row r="1439">
      <c r="A1439" s="1" t="n">
        <v>1437</v>
      </c>
      <c r="B1439" t="n">
        <v>2019</v>
      </c>
      <c r="C1439" s="2" t="n">
        <v>43661.54799768519</v>
      </c>
      <c r="D1439" t="inlineStr">
        <is>
          <t>A CRITICA</t>
        </is>
      </c>
      <c r="E1439" t="inlineStr">
        <is>
          <t>VENEZUELANOS</t>
        </is>
      </c>
      <c r="F1439" t="inlineStr"/>
      <c r="G1439" t="inlineStr">
        <is>
          <t>AFP</t>
        </is>
      </c>
      <c r="H1439" t="inlineStr">
        <is>
          <t>PAPA PEDE POR ACORDO PARA ACABAR COM A CRISE NA VENEZUELA</t>
        </is>
      </c>
      <c r="I1439" t="inlineStr">
        <is>
          <t>O PAPA FRANCISCO PEDIU NESTE DOMINGO (14) AO GOVERNO E À OPOSIÇÃO PARA CHEGAR "O MAIS RÁPIDO POSSÍVEL" A UM ACORDO PARA ENCERRAR A GRAVE CRISE DO PAÍS. NEGOCIAÇÕES ACONTECEM NESTA SEMANA EM BARBADOS</t>
        </is>
      </c>
      <c r="J1439" t="inlineStr"/>
      <c r="K1439" t="n">
        <v>0</v>
      </c>
      <c r="L1439" t="n">
        <v>1</v>
      </c>
      <c r="M1439" t="n">
        <v>0</v>
      </c>
      <c r="N1439" t="n">
        <v>0</v>
      </c>
      <c r="O1439" t="n">
        <v>0</v>
      </c>
      <c r="P1439">
        <f>HYPERLINK("https://www.acritica.com/papa-pede-por-acordo-para-acabar-com-a-crise-na-venezuela-1.64206", "URL")</f>
        <v/>
      </c>
      <c r="Q1439">
        <f>HYPERLINK("https://raw.githubusercontent.com/marcosmapl/dataset_imigrantes/main/materias_filtered/a_critica/venezuelanos/2019/06_jul/html/1.64206_1184.html", "HTML")</f>
        <v/>
      </c>
      <c r="R1439">
        <f>HYPERLINK("https://raw.githubusercontent.com/marcosmapl/dataset_imigrantes/main/materias_filtered/a_critica/venezuelanos/2019/06_jul/txt/1.64206_1184.txt", "TXT")</f>
        <v/>
      </c>
    </row>
    <row r="1440">
      <c r="A1440" s="1" t="n">
        <v>1438</v>
      </c>
      <c r="B1440" t="n">
        <v>2019</v>
      </c>
      <c r="C1440" s="2" t="n">
        <v>43659.76658564815</v>
      </c>
      <c r="D1440" t="inlineStr">
        <is>
          <t>A CRITICA</t>
        </is>
      </c>
      <c r="E1440" t="inlineStr">
        <is>
          <t>AMBOS</t>
        </is>
      </c>
      <c r="F1440" t="inlineStr">
        <is>
          <t>MANAUS</t>
        </is>
      </c>
      <c r="G1440" t="inlineStr">
        <is>
          <t>LUIZ G. MELO</t>
        </is>
      </c>
      <c r="H1440" t="inlineStr">
        <is>
          <t>EM RODA DE CONVERSA, CÁRITAS DE MANAUS DEFENDE DIREITOS PARA MAIS POBRES</t>
        </is>
      </c>
      <c r="I1440" t="inlineStr">
        <is>
          <t>PARTICIPARAM DA RODA DE CONVERSA AS LIDERANÇAS DOS MAIS DIVERSOS MOVIMENTOS SOCIAIS QUE ATUAM EM MANAUS. O TEMA DA REUNIÃO FOI "DIREITO A CIDADE PARA TODOS E TODAS"</t>
        </is>
      </c>
      <c r="J1440" t="inlineStr"/>
      <c r="K1440" t="n">
        <v>0</v>
      </c>
      <c r="L1440" t="n">
        <v>1</v>
      </c>
      <c r="M1440" t="n">
        <v>0</v>
      </c>
      <c r="N1440" t="n">
        <v>0</v>
      </c>
      <c r="O1440" t="n">
        <v>0</v>
      </c>
      <c r="P1440">
        <f>HYPERLINK("https://www.acritica.com/manaus/em-roda-de-conversa-caritas-de-manaus-defende-direitos-para-mais-pobres-1.64312", "URL")</f>
        <v/>
      </c>
      <c r="Q1440">
        <f>HYPERLINK("https://raw.githubusercontent.com/marcosmapl/dataset_imigrantes/main/materias_filtered/a_critica/ambos/2019/06_jul/html/1.64312_575.html", "HTML")</f>
        <v/>
      </c>
      <c r="R1440">
        <f>HYPERLINK("https://raw.githubusercontent.com/marcosmapl/dataset_imigrantes/main/materias_filtered/a_critica/ambos/2019/06_jul/txt/1.64312_575.txt", "TXT")</f>
        <v/>
      </c>
    </row>
    <row r="1441">
      <c r="A1441" s="1" t="n">
        <v>1439</v>
      </c>
      <c r="B1441" t="n">
        <v>2019</v>
      </c>
      <c r="C1441" s="2" t="n">
        <v>43659.67821829861</v>
      </c>
      <c r="D1441" t="inlineStr">
        <is>
          <t>G1</t>
        </is>
      </c>
      <c r="E1441" t="inlineStr">
        <is>
          <t>HAITIANOS</t>
        </is>
      </c>
      <c r="F1441" t="inlineStr">
        <is>
          <t>ACRE</t>
        </is>
      </c>
      <c r="G1441" t="inlineStr">
        <is>
          <t>ALINE NASCIMENTO E IRYÁ RODRIGUES, G1 AC — RIO BRANCO</t>
        </is>
      </c>
      <c r="H1441" t="inlineStr">
        <is>
          <t>GOVERNO ACHA SUPOSTO PAI DE MENINO GUIANENSE DE 2 ANOS DEIXADO PELA MÃE EM PRAÇA NO AC</t>
        </is>
      </c>
      <c r="I1441" t="inlineStr">
        <is>
          <t>CRIANÇA ESTÁ NO ABRIGO DE BRASILEIA DESDE ABRIL DESTE ANO. SUPOSTO PAI CHEGOU AO ACRE NESTE SÁBADO (13) PARA PEDIR A GUARDA DO MENINO.</t>
        </is>
      </c>
      <c r="J1441" t="inlineStr"/>
      <c r="K1441" t="n">
        <v>0</v>
      </c>
      <c r="L1441" t="n">
        <v>2</v>
      </c>
      <c r="M1441" t="n">
        <v>0</v>
      </c>
      <c r="N1441" t="n">
        <v>0</v>
      </c>
      <c r="O1441" t="n">
        <v>0</v>
      </c>
      <c r="P1441">
        <f>HYPERLINK("https://g1.globo.com/ac/acre/noticia/2019/07/13/governo-acha-suposto-pai-de-menino-guianense-de-2-anos-deixado-pela-mae-em-praca-no-ac.ghtml", "URL")</f>
        <v/>
      </c>
      <c r="Q1441">
        <f>HYPERLINK("https://raw.githubusercontent.com/marcosmapl/dataset_imigrantes/main/materias_filtered/g1/haitianos/2019/06_jul/html/g1_32b967c4-232b-11ed-b24f-6dbe51e79fca_4229.html", "HTML")</f>
        <v/>
      </c>
      <c r="R1441">
        <f>HYPERLINK("https://raw.githubusercontent.com/marcosmapl/dataset_imigrantes/main/materias_filtered/g1/haitianos/2019/06_jul/txt/g1_32b967c4-232b-11ed-b24f-6dbe51e79fca_4229.txt", "TXT")</f>
        <v/>
      </c>
    </row>
    <row r="1442">
      <c r="A1442" s="1" t="n">
        <v>1440</v>
      </c>
      <c r="B1442" t="n">
        <v>2019</v>
      </c>
      <c r="C1442" s="2" t="n">
        <v>43658.82758190973</v>
      </c>
      <c r="D1442" t="inlineStr">
        <is>
          <t>G1</t>
        </is>
      </c>
      <c r="E1442" t="inlineStr">
        <is>
          <t>VENEZUELANOS</t>
        </is>
      </c>
      <c r="F1442" t="inlineStr">
        <is>
          <t>PERNAMBUCO</t>
        </is>
      </c>
      <c r="G1442" t="inlineStr">
        <is>
          <t>G1 PE</t>
        </is>
      </c>
      <c r="H1442" t="inlineStr">
        <is>
          <t>NOVO GRUPO DE REFUGIADOS VENEZUELANOS CHEGA A PERNAMBUCO</t>
        </is>
      </c>
      <c r="I1442" t="inlineStr">
        <is>
          <t>SEGUNDO GOVERNO ESTADUAL, 26 PESSOAS FORAM ACOLHIDAS E SEGUIRAM PARA CARPINA, NA ZONA DA MATA NORTE. DESDE JULHO DE 2018, ESTADO RECEBEU 343 IMIGRANTES DA VENEZUELA.</t>
        </is>
      </c>
      <c r="J1442" t="inlineStr"/>
      <c r="K1442" t="n">
        <v>0</v>
      </c>
      <c r="L1442" t="n">
        <v>1</v>
      </c>
      <c r="M1442" t="n">
        <v>0</v>
      </c>
      <c r="N1442" t="n">
        <v>0</v>
      </c>
      <c r="O1442" t="n">
        <v>22</v>
      </c>
      <c r="P1442">
        <f>HYPERLINK("https://g1.globo.com/pe/pernambuco/noticia/2019/07/12/novo-grupo-de-refugiados-venezuelanos-chega-a-pernambuco.ghtml", "URL")</f>
        <v/>
      </c>
      <c r="Q1442">
        <f>HYPERLINK("https://raw.githubusercontent.com/marcosmapl/dataset_imigrantes/main/materias_filtered/g1/venezuelanos/2019/06_jul/html/g1_8349c1a2-230d-11ed-b24f-6dbe51e79fca_2693.html", "HTML")</f>
        <v/>
      </c>
      <c r="R1442">
        <f>HYPERLINK("https://raw.githubusercontent.com/marcosmapl/dataset_imigrantes/main/materias_filtered/g1/venezuelanos/2019/06_jul/txt/g1_8349c1a2-230d-11ed-b24f-6dbe51e79fca_2693.txt", "TXT")</f>
        <v/>
      </c>
    </row>
    <row r="1443">
      <c r="A1443" s="1" t="n">
        <v>1441</v>
      </c>
      <c r="B1443" t="n">
        <v>2019</v>
      </c>
      <c r="C1443" s="2" t="n">
        <v>43657.59444444445</v>
      </c>
      <c r="D1443" t="inlineStr">
        <is>
          <t>A CRITICA</t>
        </is>
      </c>
      <c r="E1443" t="inlineStr">
        <is>
          <t>VENEZUELANOS</t>
        </is>
      </c>
      <c r="F1443" t="inlineStr">
        <is>
          <t>MANAUS</t>
        </is>
      </c>
      <c r="G1443" t="inlineStr">
        <is>
          <t>AMANDA GUIMARÃES</t>
        </is>
      </c>
      <c r="H1443" t="inlineStr">
        <is>
          <t>IMIGRANTE VENEZUELANA QUE ACUSA PADRE DE ESTUPRO ESTÁ GRÁVIDA, DIZ PAI</t>
        </is>
      </c>
      <c r="I1443" t="inlineStr">
        <is>
          <t>O PAI DA MULHER DE 29 ANOS QUE DENUNCIOU O PADRE DE TRÊS CASOS DE ESTUPRO AFIRMOU QUE A MULHER ESTÁ GRÁVIDA DE 6 SEMANAS. SEGUNDO ELE, O SACERDOTE É PAI DA CRIANÇA</t>
        </is>
      </c>
      <c r="J1443" t="inlineStr"/>
      <c r="K1443" t="n">
        <v>0</v>
      </c>
      <c r="L1443" t="n">
        <v>1</v>
      </c>
      <c r="M1443" t="n">
        <v>0</v>
      </c>
      <c r="N1443" t="n">
        <v>0</v>
      </c>
      <c r="O1443" t="n">
        <v>3</v>
      </c>
      <c r="P1443">
        <f>HYPERLINK("https://www.acritica.com/manaus/imigrante-venezuelana-que-acusa-padre-de-estupro-esta-gravida-diz-pai-1.64480", "URL")</f>
        <v/>
      </c>
      <c r="Q1443">
        <f>HYPERLINK("https://raw.githubusercontent.com/marcosmapl/dataset_imigrantes/main/materias_filtered/a_critica/venezuelanos/2019/06_jul/html/1.64480_1352.html", "HTML")</f>
        <v/>
      </c>
      <c r="R1443">
        <f>HYPERLINK("https://raw.githubusercontent.com/marcosmapl/dataset_imigrantes/main/materias_filtered/a_critica/venezuelanos/2019/06_jul/txt/1.64480_1352.txt", "TXT")</f>
        <v/>
      </c>
    </row>
    <row r="1444">
      <c r="A1444" s="1" t="n">
        <v>1442</v>
      </c>
      <c r="B1444" t="n">
        <v>2019</v>
      </c>
      <c r="C1444" s="2" t="n">
        <v>43656.375</v>
      </c>
      <c r="D1444" t="inlineStr">
        <is>
          <t>A CRITICA</t>
        </is>
      </c>
      <c r="E1444" t="inlineStr">
        <is>
          <t>VENEZUELANOS</t>
        </is>
      </c>
      <c r="F1444" t="inlineStr">
        <is>
          <t>MANAUS</t>
        </is>
      </c>
      <c r="G1444" t="inlineStr">
        <is>
          <t>PEDRO SOUSA</t>
        </is>
      </c>
      <c r="H1444" t="inlineStr">
        <is>
          <t>PADRE APROVEITOU ESTADO DE SAÚDE DE VENEZUELANA PARA ESTUPRÁ-LA, DIZ PAI</t>
        </is>
      </c>
      <c r="I1444" t="inlineStr">
        <is>
          <t>SEGUNDO O PAI DA VÍTIMA, ERA IMPOSSÍVEL A REFUGIADA TER CONSENTIDO A RELAÇÃO SEXUAL JÁ QUE ELA SE ENCONTRAVA INCAPACITADA E SOB FORTE EFEITO DE MEDICAMENTOS</t>
        </is>
      </c>
      <c r="J1444" t="inlineStr"/>
      <c r="K1444" t="n">
        <v>0</v>
      </c>
      <c r="L1444" t="n">
        <v>1</v>
      </c>
      <c r="M1444" t="n">
        <v>0</v>
      </c>
      <c r="N1444" t="n">
        <v>0</v>
      </c>
      <c r="O1444" t="n">
        <v>3</v>
      </c>
      <c r="P1444">
        <f>HYPERLINK("https://www.acritica.com/manaus/padre-aproveitou-estado-de-saude-de-venezuelana-para-estupra-la-diz-pai-1.64600", "URL")</f>
        <v/>
      </c>
      <c r="Q1444">
        <f>HYPERLINK("https://raw.githubusercontent.com/marcosmapl/dataset_imigrantes/main/materias_filtered/a_critica/venezuelanos/2019/06_jul/html/1.64600_1085.html", "HTML")</f>
        <v/>
      </c>
      <c r="R1444">
        <f>HYPERLINK("https://raw.githubusercontent.com/marcosmapl/dataset_imigrantes/main/materias_filtered/a_critica/venezuelanos/2019/06_jul/txt/1.64600_1085.txt", "TXT")</f>
        <v/>
      </c>
    </row>
    <row r="1445">
      <c r="A1445" s="1" t="n">
        <v>1443</v>
      </c>
      <c r="B1445" t="n">
        <v>2019</v>
      </c>
      <c r="C1445" s="2" t="n">
        <v>43655.51903664352</v>
      </c>
      <c r="D1445" t="inlineStr">
        <is>
          <t>G1</t>
        </is>
      </c>
      <c r="E1445" t="inlineStr">
        <is>
          <t>VENEZUELANOS</t>
        </is>
      </c>
      <c r="F1445" t="inlineStr">
        <is>
          <t>AMAZONAS</t>
        </is>
      </c>
      <c r="G1445" t="inlineStr">
        <is>
          <t>ELIANA NASCIMENTO, G1 AM</t>
        </is>
      </c>
      <c r="H1445" t="inlineStr">
        <is>
          <t>VENEZUELANO É BALEADO EM TENTATIVA DE ASSALTO EM MANAUS</t>
        </is>
      </c>
      <c r="I1445" t="inlineStr">
        <is>
          <t>MORADORES INFORMARAM QUE O RAPAZ TERIA REAGIDO AO ASSALTO E FOI BALEADO NA PERNA ESQUERDA.</t>
        </is>
      </c>
      <c r="J1445" t="inlineStr"/>
      <c r="K1445" t="n">
        <v>0</v>
      </c>
      <c r="L1445" t="n">
        <v>0</v>
      </c>
      <c r="M1445" t="n">
        <v>0</v>
      </c>
      <c r="N1445" t="n">
        <v>0</v>
      </c>
      <c r="O1445" t="n">
        <v>0</v>
      </c>
      <c r="P1445">
        <f>HYPERLINK("https://g1.globo.com/am/amazonas/noticia/2019/07/09/venezuelano-e-baleado-em-tentativa-de-assalto-em-manaus.ghtml", "URL")</f>
        <v/>
      </c>
      <c r="Q1445">
        <f>HYPERLINK("https://raw.githubusercontent.com/marcosmapl/dataset_imigrantes/main/materias_filtered/g1/venezuelanos/2019/06_jul/html/g1_3ceb1e2c-2321-11ed-b24f-6dbe51e79fca_3687.html", "HTML")</f>
        <v/>
      </c>
      <c r="R1445">
        <f>HYPERLINK("https://raw.githubusercontent.com/marcosmapl/dataset_imigrantes/main/materias_filtered/g1/venezuelanos/2019/06_jul/txt/g1_3ceb1e2c-2321-11ed-b24f-6dbe51e79fca_3687.txt", "TXT")</f>
        <v/>
      </c>
    </row>
    <row r="1446">
      <c r="A1446" s="1" t="n">
        <v>1444</v>
      </c>
      <c r="B1446" t="n">
        <v>2019</v>
      </c>
      <c r="C1446" s="2" t="n">
        <v>43655.50787923611</v>
      </c>
      <c r="D1446" t="inlineStr">
        <is>
          <t>G1</t>
        </is>
      </c>
      <c r="E1446" t="inlineStr">
        <is>
          <t>VENEZUELANOS</t>
        </is>
      </c>
      <c r="F1446" t="inlineStr">
        <is>
          <t>ACRE</t>
        </is>
      </c>
      <c r="G1446" t="inlineStr">
        <is>
          <t>ALCINETE GADELHA, G1 AC — RIO BRANCO</t>
        </is>
      </c>
      <c r="H1446" t="inlineStr">
        <is>
          <t>NO ACRE, VENEZUELANO FATURA R$ 50 POR DIA COM MALABARISMO: 'DÁ PARA COMER E PAGAR O ALUGUEL'</t>
        </is>
      </c>
      <c r="I1446" t="inlineStr">
        <is>
          <t>GARÇOM NO PAÍS DE ORIGEM, FRANCISCO ALEJANDRO FLORES, DE 23 ANOS, VEIO PARA O BRASIL EM 2016, AFUGENTADO PELA CRISE E APÓS PERDER A MÃE PARA O CÂNCER.</t>
        </is>
      </c>
      <c r="J1446" t="inlineStr"/>
      <c r="K1446" t="n">
        <v>0</v>
      </c>
      <c r="L1446" t="n">
        <v>2</v>
      </c>
      <c r="M1446" t="n">
        <v>0</v>
      </c>
      <c r="N1446" t="n">
        <v>0</v>
      </c>
      <c r="O1446" t="n">
        <v>0</v>
      </c>
      <c r="P1446">
        <f>HYPERLINK("https://g1.globo.com/ac/acre/noticia/2019/07/09/no-acre-venezuelano-fatura-r-50-por-dia-com-malabarismo-da-para-comer-e-pagar-o-aluguel.ghtml", "URL")</f>
        <v/>
      </c>
      <c r="Q1446">
        <f>HYPERLINK("https://raw.githubusercontent.com/marcosmapl/dataset_imigrantes/main/materias_filtered/g1/venezuelanos/2019/06_jul/html/g1_dff2fb2a-2309-11ed-b24f-6dbe51e79fca_2470.html", "HTML")</f>
        <v/>
      </c>
      <c r="R1446">
        <f>HYPERLINK("https://raw.githubusercontent.com/marcosmapl/dataset_imigrantes/main/materias_filtered/g1/venezuelanos/2019/06_jul/txt/g1_dff2fb2a-2309-11ed-b24f-6dbe51e79fca_2470.txt", "TXT")</f>
        <v/>
      </c>
    </row>
    <row r="1447">
      <c r="A1447" s="1" t="n">
        <v>1445</v>
      </c>
      <c r="B1447" t="n">
        <v>2019</v>
      </c>
      <c r="C1447" s="2" t="n">
        <v>43654.89994212963</v>
      </c>
      <c r="D1447" t="inlineStr">
        <is>
          <t>A CRITICA</t>
        </is>
      </c>
      <c r="E1447" t="inlineStr">
        <is>
          <t>VENEZUELANOS</t>
        </is>
      </c>
      <c r="F1447" t="inlineStr">
        <is>
          <t>MANAUS</t>
        </is>
      </c>
      <c r="G1447" t="inlineStr">
        <is>
          <t>MARCOS LIMA</t>
        </is>
      </c>
      <c r="H1447" t="inlineStr">
        <is>
          <t>PADRE NEGA ESTUPRO E DIZ QUE TINHA RELAÇÃO AMOROSA COM VENEZUELANA QUE O ACUSA</t>
        </is>
      </c>
      <c r="I1447" t="inlineStr">
        <is>
          <t>ACUSADO DE ESTUPRAR UMA IMIGRANTE, O PADRE DE 60 ANOS COMPARECEU AO 5º DIP PARA PRESTAR DEPOIMENTO NESTA SEGUNDA-FEIRA (8)</t>
        </is>
      </c>
      <c r="J1447" t="inlineStr"/>
      <c r="K1447" t="n">
        <v>0</v>
      </c>
      <c r="L1447" t="n">
        <v>1</v>
      </c>
      <c r="M1447" t="n">
        <v>0</v>
      </c>
      <c r="N1447" t="n">
        <v>0</v>
      </c>
      <c r="O1447" t="n">
        <v>2</v>
      </c>
      <c r="P1447">
        <f>HYPERLINK("https://www.acritica.com/manaus/padre-nega-estupro-e-diz-que-tinha-relac-o-amorosa-com-venezuelana-que-o-acusa-1.64668", "URL")</f>
        <v/>
      </c>
      <c r="Q1447">
        <f>HYPERLINK("https://raw.githubusercontent.com/marcosmapl/dataset_imigrantes/main/materias_filtered/a_critica/venezuelanos/2019/06_jul/html/1.64668_1296.html", "HTML")</f>
        <v/>
      </c>
      <c r="R1447">
        <f>HYPERLINK("https://raw.githubusercontent.com/marcosmapl/dataset_imigrantes/main/materias_filtered/a_critica/venezuelanos/2019/06_jul/txt/1.64668_1296.txt", "TXT")</f>
        <v/>
      </c>
    </row>
    <row r="1448">
      <c r="A1448" s="1" t="n">
        <v>1446</v>
      </c>
      <c r="B1448" t="n">
        <v>2019</v>
      </c>
      <c r="C1448" s="2" t="n">
        <v>43652.825</v>
      </c>
      <c r="D1448" t="inlineStr">
        <is>
          <t>PORTAL AMAZONIA</t>
        </is>
      </c>
      <c r="E1448" t="inlineStr">
        <is>
          <t>VENEZUELANOS</t>
        </is>
      </c>
      <c r="F1448" t="inlineStr">
        <is>
          <t>CIDADES</t>
        </is>
      </c>
      <c r="G1448" t="inlineStr">
        <is>
          <t>REDAÇÃO</t>
        </is>
      </c>
      <c r="H1448" t="inlineStr">
        <is>
          <t>ACRE REGISTRA 14,6°C E TEM MADRUGADA MAIS FRIA DO ANO, APONTA SIPAM</t>
        </is>
      </c>
      <c r="I1448" t="inlineStr">
        <is>
          <t>O ACRE TEVE A MADRUGADA MAIS FRIA JÁ REGISTRADA EM 2019 NESTE SÁBADO (6), SEGUNDO O SISTEMA DE PROTEÇÃO DA AMAZÔNIA (SIPAM). A TEMPERATURA FOI REGISTRADA PELO INSTITUTO NACIONAL DE METEOROLOGIA (INMET) E BATEU O RECORDE DESTE ANO. O LESTE E O SUL DO</t>
        </is>
      </c>
      <c r="J1448" t="inlineStr">
        <is>
          <t>ACRE, CLIMA, FRIO, RIO BRANCO, SIPAM</t>
        </is>
      </c>
      <c r="K1448" t="n">
        <v>5</v>
      </c>
      <c r="L1448" t="n">
        <v>2</v>
      </c>
      <c r="M1448" t="n">
        <v>0</v>
      </c>
      <c r="N1448" t="n">
        <v>0</v>
      </c>
      <c r="O1448" t="n">
        <v>10</v>
      </c>
      <c r="P1448">
        <f>HYPERLINK("https://portalamazonia.com/noticias/cidades/acre-registra-14-6-c-e-tem-madrugada-mais-fria-do-ano-aponta-sipam", "URL")</f>
        <v/>
      </c>
      <c r="Q1448">
        <f>HYPERLINK("https://raw.githubusercontent.com/marcosmapl/dataset_imigrantes/main/materias_filtered/portal_amazonia/venezuelanos/2019/06_jul/html/22113.22113_1389.html", "HTML")</f>
        <v/>
      </c>
      <c r="R1448">
        <f>HYPERLINK("https://raw.githubusercontent.com/marcosmapl/dataset_imigrantes/main/materias_filtered/portal_amazonia/venezuelanos/2019/06_jul/txt/22113.22113_1389.txt", "TXT")</f>
        <v/>
      </c>
    </row>
    <row r="1449">
      <c r="A1449" s="1" t="n">
        <v>1447</v>
      </c>
      <c r="B1449" t="n">
        <v>2019</v>
      </c>
      <c r="C1449" s="2" t="n">
        <v>43652.0122337963</v>
      </c>
      <c r="D1449" t="inlineStr">
        <is>
          <t>A CRITICA</t>
        </is>
      </c>
      <c r="E1449" t="inlineStr">
        <is>
          <t>VENEZUELANOS</t>
        </is>
      </c>
      <c r="F1449" t="inlineStr"/>
      <c r="G1449" t="inlineStr">
        <is>
          <t>REUTERS</t>
        </is>
      </c>
      <c r="H1449" t="inlineStr">
        <is>
          <t>EM DIA DA INDEPENDÊNCIA DA VENEZUELA, MADURO PEDE DIÁLOGO E GUAIDÓ CRITICA DITADURA</t>
        </is>
      </c>
      <c r="I1449" t="inlineStr">
        <is>
          <t>MADURO REITEROU APOIO A UM PROCESSO DE NEGOCIAÇÃO MEDIADO PELA NORUEGA ENTRE O SEU GOVERNO SOCIALISTA E GUAIDÓ, LÍDER DA ASSEMBLÉIA NACIONAL, CONTROLADA PELA OPOSIÇÃO</t>
        </is>
      </c>
      <c r="J1449" t="inlineStr"/>
      <c r="K1449" t="n">
        <v>0</v>
      </c>
      <c r="L1449" t="n">
        <v>1</v>
      </c>
      <c r="M1449" t="n">
        <v>0</v>
      </c>
      <c r="N1449" t="n">
        <v>0</v>
      </c>
      <c r="O1449" t="n">
        <v>0</v>
      </c>
      <c r="P1449">
        <f>HYPERLINK("https://www.acritica.com/em-dia-da-independencia-da-venezuela-maduro-pede-dialogo-e-guaido-critica-ditadura-1.64839", "URL")</f>
        <v/>
      </c>
      <c r="Q1449">
        <f>HYPERLINK("https://raw.githubusercontent.com/marcosmapl/dataset_imigrantes/main/materias_filtered/a_critica/venezuelanos/2019/06_jul/html/1.64839_379.html", "HTML")</f>
        <v/>
      </c>
      <c r="R1449">
        <f>HYPERLINK("https://raw.githubusercontent.com/marcosmapl/dataset_imigrantes/main/materias_filtered/a_critica/venezuelanos/2019/06_jul/txt/1.64839_379.txt", "TXT")</f>
        <v/>
      </c>
    </row>
    <row r="1450">
      <c r="A1450" s="1" t="n">
        <v>1448</v>
      </c>
      <c r="B1450" t="n">
        <v>2019</v>
      </c>
      <c r="C1450" s="2" t="n">
        <v>43651.66666666666</v>
      </c>
      <c r="D1450" t="inlineStr">
        <is>
          <t>A CRITICA</t>
        </is>
      </c>
      <c r="E1450" t="inlineStr">
        <is>
          <t>VENEZUELANOS</t>
        </is>
      </c>
      <c r="F1450" t="inlineStr">
        <is>
          <t>MANAUS</t>
        </is>
      </c>
      <c r="G1450" t="inlineStr">
        <is>
          <t>AMANDA GUIMARÃES</t>
        </is>
      </c>
      <c r="H1450" t="inlineStr">
        <is>
          <t>PADRE DENUNCIADO POR ESTUPROS É SUSPENSO DE ATIVIDADES NA ARQUIDIOCESE</t>
        </is>
      </c>
      <c r="I1450" t="inlineStr">
        <is>
          <t>POR CONTA DA MEDIDA, O PADRE NÃO PODE ATUAR, TEMPORARIAMENTE, NO CARGO ECLESIÁSTICO. A VENEZUELANA DENUNCIOU O SACERDOTE NA ÚLTIMA QUARTA-FEIRA (3)</t>
        </is>
      </c>
      <c r="J1450" t="inlineStr"/>
      <c r="K1450" t="n">
        <v>0</v>
      </c>
      <c r="L1450" t="n">
        <v>1</v>
      </c>
      <c r="M1450" t="n">
        <v>0</v>
      </c>
      <c r="N1450" t="n">
        <v>0</v>
      </c>
      <c r="O1450" t="n">
        <v>1</v>
      </c>
      <c r="P1450">
        <f>HYPERLINK("https://www.acritica.com/manaus/padre-denunciado-por-estupros-e-suspenso-de-atividades-na-arquidiocese-1.64873", "URL")</f>
        <v/>
      </c>
      <c r="Q1450">
        <f>HYPERLINK("https://raw.githubusercontent.com/marcosmapl/dataset_imigrantes/main/materias_filtered/a_critica/venezuelanos/2019/06_jul/html/1.64873_479.html", "HTML")</f>
        <v/>
      </c>
      <c r="R1450">
        <f>HYPERLINK("https://raw.githubusercontent.com/marcosmapl/dataset_imigrantes/main/materias_filtered/a_critica/venezuelanos/2019/06_jul/txt/1.64873_479.txt", "TXT")</f>
        <v/>
      </c>
    </row>
    <row r="1451">
      <c r="A1451" s="1" t="n">
        <v>1449</v>
      </c>
      <c r="B1451" t="n">
        <v>2019</v>
      </c>
      <c r="C1451" s="2" t="n">
        <v>43651.63680555556</v>
      </c>
      <c r="D1451" t="inlineStr">
        <is>
          <t>A CRITICA</t>
        </is>
      </c>
      <c r="E1451" t="inlineStr">
        <is>
          <t>VENEZUELANOS</t>
        </is>
      </c>
      <c r="F1451" t="inlineStr">
        <is>
          <t>MANAUS</t>
        </is>
      </c>
      <c r="G1451" t="inlineStr">
        <is>
          <t>AMANDA GUIMARÃES</t>
        </is>
      </c>
      <c r="H1451" t="inlineStr">
        <is>
          <t>VENEZUELANA COM CÂNCER DENUNCIA PADRE EM MANAUS POR ESTUPROS</t>
        </is>
      </c>
      <c r="I1451" t="inlineStr">
        <is>
          <t>DENUNCIANTE ALEGA QUE DURANTE OS CRIMES, O SACERDOTE DIZIA QUE ELA SERIA CURADA DA DOENÇA E QUE ELE GRITAVA NA HORA DE EJACULAR: “DEUS TE AMA!”</t>
        </is>
      </c>
      <c r="J1451" t="inlineStr"/>
      <c r="K1451" t="n">
        <v>0</v>
      </c>
      <c r="L1451" t="n">
        <v>1</v>
      </c>
      <c r="M1451" t="n">
        <v>0</v>
      </c>
      <c r="N1451" t="n">
        <v>0</v>
      </c>
      <c r="O1451" t="n">
        <v>1</v>
      </c>
      <c r="P1451">
        <f>HYPERLINK("https://www.acritica.com/manaus/venezuelana-com-cancer-denuncia-padre-em-manaus-por-estupros-1.64879", "URL")</f>
        <v/>
      </c>
      <c r="Q1451">
        <f>HYPERLINK("https://raw.githubusercontent.com/marcosmapl/dataset_imigrantes/main/materias_filtered/a_critica/venezuelanos/2019/06_jul/html/1.64879_248.html", "HTML")</f>
        <v/>
      </c>
      <c r="R1451">
        <f>HYPERLINK("https://raw.githubusercontent.com/marcosmapl/dataset_imigrantes/main/materias_filtered/a_critica/venezuelanos/2019/06_jul/txt/1.64879_248.txt", "TXT")</f>
        <v/>
      </c>
    </row>
    <row r="1452">
      <c r="A1452" s="1" t="n">
        <v>1450</v>
      </c>
      <c r="B1452" t="n">
        <v>2019</v>
      </c>
      <c r="C1452" s="2" t="n">
        <v>43651.48341435185</v>
      </c>
      <c r="D1452" t="inlineStr">
        <is>
          <t>A CRITICA</t>
        </is>
      </c>
      <c r="E1452" t="inlineStr">
        <is>
          <t>VENEZUELANOS</t>
        </is>
      </c>
      <c r="F1452" t="inlineStr">
        <is>
          <t>ESPORTES</t>
        </is>
      </c>
      <c r="G1452" t="inlineStr">
        <is>
          <t>GABRIEL FERREIRA</t>
        </is>
      </c>
      <c r="H1452" t="inlineStr">
        <is>
          <t>SELEÇÃO AMAZONENSE DE NATAÇÃO PARTICIPA DE TORNEIO NORTE-NORDESTE NO PARÁ</t>
        </is>
      </c>
      <c r="I1452" t="inlineStr">
        <is>
          <t>CERCA DE 42 ATLETAS FAZEM PARTE DA DELEGAÇÃO, DIVIDIDOS NAS CATEGORIAS INFANTIL, JUVENIL, JUNIOR E SÊNIOR</t>
        </is>
      </c>
      <c r="J1452" t="inlineStr"/>
      <c r="K1452" t="n">
        <v>0</v>
      </c>
      <c r="L1452" t="n">
        <v>1</v>
      </c>
      <c r="M1452" t="n">
        <v>0</v>
      </c>
      <c r="N1452" t="n">
        <v>0</v>
      </c>
      <c r="O1452" t="n">
        <v>0</v>
      </c>
      <c r="P1452">
        <f>HYPERLINK("https://www.acritica.com/esportes/selec-o-amazonense-de-natac-o-participa-de-torneio-norte-nordeste-no-para-1.64911", "URL")</f>
        <v/>
      </c>
      <c r="Q1452">
        <f>HYPERLINK("https://raw.githubusercontent.com/marcosmapl/dataset_imigrantes/main/materias_filtered/a_critica/venezuelanos/2019/06_jul/html/1.64911_811.html", "HTML")</f>
        <v/>
      </c>
      <c r="R1452">
        <f>HYPERLINK("https://raw.githubusercontent.com/marcosmapl/dataset_imigrantes/main/materias_filtered/a_critica/venezuelanos/2019/06_jul/txt/1.64911_811.txt", "TXT")</f>
        <v/>
      </c>
    </row>
    <row r="1453">
      <c r="A1453" s="1" t="n">
        <v>1451</v>
      </c>
      <c r="B1453" t="n">
        <v>2019</v>
      </c>
      <c r="C1453" s="2" t="n">
        <v>43651.45568096065</v>
      </c>
      <c r="D1453" t="inlineStr">
        <is>
          <t>G1</t>
        </is>
      </c>
      <c r="E1453" t="inlineStr">
        <is>
          <t>HAITIANOS</t>
        </is>
      </c>
      <c r="F1453" t="inlineStr">
        <is>
          <t>MUNDO</t>
        </is>
      </c>
      <c r="G1453" t="inlineStr">
        <is>
          <t>ANDRÉ SHALDERS, BBC</t>
        </is>
      </c>
      <c r="H1453" t="inlineStr">
        <is>
          <t>A REDE DE FALSÁRIOS QUE EXPLORA IMIGRANTES HAITIANOS NO BRASIL</t>
        </is>
      </c>
      <c r="I1453" t="inlineStr">
        <is>
          <t>PF INVESTIGA REDE DE 'DESPACHANTES' QUE VENDE CERTIDÕES FALSAS A IMIGRANTES HAITIANOS, QUE PRECISAM DE DOCUMENTO - QUE LEVA ATÉ SEIS MESES PARA SER EMITIDO POR CONSULADO HAITIANO - PARA REGULARIZAR SITUAÇÃO NO BRASIL.</t>
        </is>
      </c>
      <c r="J1453" t="inlineStr"/>
      <c r="K1453" t="n">
        <v>0</v>
      </c>
      <c r="L1453" t="n">
        <v>1</v>
      </c>
      <c r="M1453" t="n">
        <v>0</v>
      </c>
      <c r="N1453" t="n">
        <v>0</v>
      </c>
      <c r="O1453" t="n">
        <v>1</v>
      </c>
      <c r="P1453">
        <f>HYPERLINK("https://g1.globo.com/mundo/noticia/2019/07/05/a-rede-de-falsarios-que-explora-imigrantes-haitianos-no-brasil.ghtml", "URL")</f>
        <v/>
      </c>
      <c r="Q1453">
        <f>HYPERLINK("https://raw.githubusercontent.com/marcosmapl/dataset_imigrantes/main/materias_filtered/g1/haitianos/2019/06_jul/html/g1_933c89b8-22fa-11ed-b24f-6dbe51e79fca_2229.html", "HTML")</f>
        <v/>
      </c>
      <c r="R1453">
        <f>HYPERLINK("https://raw.githubusercontent.com/marcosmapl/dataset_imigrantes/main/materias_filtered/g1/haitianos/2019/06_jul/txt/g1_933c89b8-22fa-11ed-b24f-6dbe51e79fca_2229.txt", "TXT")</f>
        <v/>
      </c>
    </row>
    <row r="1454">
      <c r="A1454" s="1" t="n">
        <v>1452</v>
      </c>
      <c r="B1454" t="n">
        <v>2019</v>
      </c>
      <c r="C1454" s="2" t="n">
        <v>43649.6228090162</v>
      </c>
      <c r="D1454" t="inlineStr">
        <is>
          <t>G1</t>
        </is>
      </c>
      <c r="E1454" t="inlineStr">
        <is>
          <t>HAITIANOS</t>
        </is>
      </c>
      <c r="F1454" t="inlineStr">
        <is>
          <t>MUNDO</t>
        </is>
      </c>
      <c r="G1454" t="inlineStr">
        <is>
          <t>G1</t>
        </is>
      </c>
      <c r="H1454" t="inlineStr">
        <is>
          <t>MENINA BRASILEIRA DE 2 ANOS DESAPARECE EM RIO ENTRE EUA E MÉXICO</t>
        </is>
      </c>
      <c r="I1454" t="inlineStr">
        <is>
          <t>A MÃE, HAITIANA, CRUZOU DO MÉXICO PARA OS EUA, FOI DETIDA E AFIRMOU QUE A FILHA DE 2 ANOS HAVIA DESAPARECIDO NA TRAVESSIA.</t>
        </is>
      </c>
      <c r="J1454" t="inlineStr"/>
      <c r="K1454" t="n">
        <v>0</v>
      </c>
      <c r="L1454" t="n">
        <v>3</v>
      </c>
      <c r="M1454" t="n">
        <v>1</v>
      </c>
      <c r="N1454" t="n">
        <v>0</v>
      </c>
      <c r="O1454" t="n">
        <v>1</v>
      </c>
      <c r="P1454">
        <f>HYPERLINK("https://g1.globo.com/mundo/noticia/2019/07/03/menina-de-2-anos-desapareceu-em-rio-entre-eua-e-mexico.ghtml", "URL")</f>
        <v/>
      </c>
      <c r="Q1454">
        <f>HYPERLINK("https://raw.githubusercontent.com/marcosmapl/dataset_imigrantes/main/materias_filtered/g1/haitianos/2019/06_jul/html/g1_aeeb8466-231d-11ed-b24f-6dbe51e79fca_3515.html", "HTML")</f>
        <v/>
      </c>
      <c r="R1454">
        <f>HYPERLINK("https://raw.githubusercontent.com/marcosmapl/dataset_imigrantes/main/materias_filtered/g1/haitianos/2019/06_jul/txt/g1_aeeb8466-231d-11ed-b24f-6dbe51e79fca_3515.txt", "TXT")</f>
        <v/>
      </c>
    </row>
    <row r="1455">
      <c r="A1455" s="1" t="n">
        <v>1453</v>
      </c>
      <c r="B1455" t="n">
        <v>2019</v>
      </c>
      <c r="C1455" s="2" t="n">
        <v>43649.54009259259</v>
      </c>
      <c r="D1455" t="inlineStr">
        <is>
          <t>A CRITICA</t>
        </is>
      </c>
      <c r="E1455" t="inlineStr">
        <is>
          <t>VENEZUELANOS</t>
        </is>
      </c>
      <c r="F1455" t="inlineStr"/>
      <c r="G1455" t="inlineStr">
        <is>
          <t>AGÊNCIA BRASIL</t>
        </is>
      </c>
      <c r="H1455" t="inlineStr">
        <is>
          <t>GUAIDÓ DIZ QUE 'NUNCA' SERÁ UM BOM MOMENTO PARA NEGOCIAR COM MADURO</t>
        </is>
      </c>
      <c r="I1455" t="inlineStr">
        <is>
          <t>GUAIDÓ E MADURO HAVIAM ENVIADO REPRESENTANTES A OSLO EM MAIO, PARA DISCUSSÕES INCENTIVADAS PELO GOVERNO DA NORUEGA, MAS AS PARTES NÃO CONSEGUIRAM CHEGAR A QUALQUER TIPO DE ACORDO</t>
        </is>
      </c>
      <c r="J1455" t="inlineStr"/>
      <c r="K1455" t="n">
        <v>0</v>
      </c>
      <c r="L1455" t="n">
        <v>1</v>
      </c>
      <c r="M1455" t="n">
        <v>0</v>
      </c>
      <c r="N1455" t="n">
        <v>0</v>
      </c>
      <c r="O1455" t="n">
        <v>0</v>
      </c>
      <c r="P1455">
        <f>HYPERLINK("https://www.acritica.com/guaido-diz-que-nunca-sera-um-bom-momento-para-negociar-com-maduro-1.65053", "URL")</f>
        <v/>
      </c>
      <c r="Q1455">
        <f>HYPERLINK("https://raw.githubusercontent.com/marcosmapl/dataset_imigrantes/main/materias_filtered/a_critica/venezuelanos/2019/06_jul/html/1.65053_977.html", "HTML")</f>
        <v/>
      </c>
      <c r="R1455">
        <f>HYPERLINK("https://raw.githubusercontent.com/marcosmapl/dataset_imigrantes/main/materias_filtered/a_critica/venezuelanos/2019/06_jul/txt/1.65053_977.txt", "TXT")</f>
        <v/>
      </c>
    </row>
    <row r="1456">
      <c r="A1456" s="1" t="n">
        <v>1454</v>
      </c>
      <c r="B1456" t="n">
        <v>2019</v>
      </c>
      <c r="C1456" s="2" t="n">
        <v>43648.64862268518</v>
      </c>
      <c r="D1456" t="inlineStr">
        <is>
          <t>A CRITICA</t>
        </is>
      </c>
      <c r="E1456" t="inlineStr">
        <is>
          <t>VENEZUELANOS</t>
        </is>
      </c>
      <c r="F1456" t="inlineStr"/>
      <c r="G1456" t="inlineStr">
        <is>
          <t>AFP</t>
        </is>
      </c>
      <c r="H1456" t="inlineStr">
        <is>
          <t>MÃE DE VENEZUELANO QUE FICOU CEGO EM PROTESTO PEDE 'JUSTIÇA'</t>
        </is>
      </c>
      <c r="I1456" t="inlineStr">
        <is>
          <t>"QUERO JUSTIÇA, JUSTIÇA, JUSTIÇA", REPETIA NESTA TERÇA-FEIRA (2) ADRIANA PARADA, MÃE DE RUFO CHACÓN, DO LADO DE FORA DO HOSPITAL DE SAN CRISTÓBAL, CAPITAL DE TÁCHIRA, ONDE SEU FILHO ESTÁ INTERNADO</t>
        </is>
      </c>
      <c r="J1456" t="inlineStr"/>
      <c r="K1456" t="n">
        <v>0</v>
      </c>
      <c r="L1456" t="n">
        <v>1</v>
      </c>
      <c r="M1456" t="n">
        <v>0</v>
      </c>
      <c r="N1456" t="n">
        <v>0</v>
      </c>
      <c r="O1456" t="n">
        <v>0</v>
      </c>
      <c r="P1456">
        <f>HYPERLINK("https://www.acritica.com/m-e-de-venezuelano-que-ficou-cego-em-protesto-pede-justica-1.65128", "URL")</f>
        <v/>
      </c>
      <c r="Q1456">
        <f>HYPERLINK("https://raw.githubusercontent.com/marcosmapl/dataset_imigrantes/main/materias_filtered/a_critica/venezuelanos/2019/06_jul/html/1.65128_531.html", "HTML")</f>
        <v/>
      </c>
      <c r="R1456">
        <f>HYPERLINK("https://raw.githubusercontent.com/marcosmapl/dataset_imigrantes/main/materias_filtered/a_critica/venezuelanos/2019/06_jul/txt/1.65128_531.txt", "TXT")</f>
        <v/>
      </c>
    </row>
    <row r="1457">
      <c r="A1457" s="1" t="n">
        <v>1455</v>
      </c>
      <c r="B1457" t="n">
        <v>2019</v>
      </c>
      <c r="C1457" s="2" t="n">
        <v>43647.80169827546</v>
      </c>
      <c r="D1457" t="inlineStr">
        <is>
          <t>G1</t>
        </is>
      </c>
      <c r="E1457" t="inlineStr">
        <is>
          <t>VENEZUELANOS</t>
        </is>
      </c>
      <c r="F1457" t="inlineStr">
        <is>
          <t>RORAIMA</t>
        </is>
      </c>
      <c r="G1457" t="inlineStr">
        <is>
          <t>G1 RR — BOA VISTA</t>
        </is>
      </c>
      <c r="H1457" t="inlineStr">
        <is>
          <t>CRIANÇAS VENEZUELANAS GANHAM DIA DE LAZER EM SHOPPING DE BOA VISTA</t>
        </is>
      </c>
      <c r="I1457" t="inlineStr">
        <is>
          <t>NESTA TERÇA (2), 150 CRIANÇAS QUE VIVEM EM ABRIGOS SERÃO LEVADAS PARA ASSISTIR FILME, ALMOÇAR E BRINCAR EM PARQUE DO PÁTIO RORAIMA SHOPPING.</t>
        </is>
      </c>
      <c r="J1457" t="inlineStr"/>
      <c r="K1457" t="n">
        <v>0</v>
      </c>
      <c r="L1457" t="n">
        <v>1</v>
      </c>
      <c r="M1457" t="n">
        <v>0</v>
      </c>
      <c r="N1457" t="n">
        <v>0</v>
      </c>
      <c r="O1457" t="n">
        <v>1</v>
      </c>
      <c r="P1457">
        <f>HYPERLINK("https://g1.globo.com/rr/roraima/noticia/2019/07/01/criancas-venezuelanas-ganham-dia-de-lazer-em-shopping-de-boa-vista.ghtml", "URL")</f>
        <v/>
      </c>
      <c r="Q1457">
        <f>HYPERLINK("https://raw.githubusercontent.com/marcosmapl/dataset_imigrantes/main/materias_filtered/g1/venezuelanos/2019/06_jul/html/g1_b3db5ee0-231f-11ed-b24f-6dbe51e79fca_3639.html", "HTML")</f>
        <v/>
      </c>
      <c r="R1457">
        <f>HYPERLINK("https://raw.githubusercontent.com/marcosmapl/dataset_imigrantes/main/materias_filtered/g1/venezuelanos/2019/06_jul/txt/g1_b3db5ee0-231f-11ed-b24f-6dbe51e79fca_3639.txt", "TXT")</f>
        <v/>
      </c>
    </row>
    <row r="1458">
      <c r="A1458" s="1" t="n">
        <v>1456</v>
      </c>
      <c r="B1458" t="n">
        <v>2019</v>
      </c>
      <c r="C1458" s="2" t="n">
        <v>43645.73538980324</v>
      </c>
      <c r="D1458" t="inlineStr">
        <is>
          <t>G1</t>
        </is>
      </c>
      <c r="E1458" t="inlineStr">
        <is>
          <t>VENEZUELANOS</t>
        </is>
      </c>
      <c r="F1458" t="inlineStr">
        <is>
          <t>MUNDO</t>
        </is>
      </c>
      <c r="G1458" t="inlineStr">
        <is>
          <t>FRANCE PRESSE</t>
        </is>
      </c>
      <c r="H1458" t="inlineStr">
        <is>
          <t>VENEZUELA DEPORTA 59 COLOMBIANOS ACUSADOS DE 'TERRORISMO', DIZ ONG</t>
        </is>
      </c>
      <c r="I1458" t="inlineStr">
        <is>
          <t>INFORMAÇÃO É DE ORGANIZAÇÃO CONTRÁRIA A MADURO; AS AUTORIDADES VENEZUELANAS, NO ENTANTO, NÃO CONFIRMARAM A DEPORTAÇÃO.</t>
        </is>
      </c>
      <c r="J1458" t="inlineStr"/>
      <c r="K1458" t="n">
        <v>0</v>
      </c>
      <c r="L1458" t="n">
        <v>0</v>
      </c>
      <c r="M1458" t="n">
        <v>0</v>
      </c>
      <c r="N1458" t="n">
        <v>0</v>
      </c>
      <c r="O1458" t="n">
        <v>0</v>
      </c>
      <c r="P1458">
        <f>HYPERLINK("https://g1.globo.com/mundo/noticia/2019/06/29/venezuela-deporta-59-colombianos-acusados-de-terrorismo-diz-ong.ghtml", "URL")</f>
        <v/>
      </c>
      <c r="Q1458">
        <f>HYPERLINK("https://raw.githubusercontent.com/marcosmapl/dataset_imigrantes/main/materias_filtered/g1/venezuelanos/2019/05_jun/html/g1_9b801ef4-230f-11ed-b24f-6dbe51e79fca_2807.html", "HTML")</f>
        <v/>
      </c>
      <c r="R1458">
        <f>HYPERLINK("https://raw.githubusercontent.com/marcosmapl/dataset_imigrantes/main/materias_filtered/g1/venezuelanos/2019/05_jun/txt/g1_9b801ef4-230f-11ed-b24f-6dbe51e79fca_2807.txt", "TXT")</f>
        <v/>
      </c>
    </row>
    <row r="1459">
      <c r="A1459" s="1" t="n">
        <v>1457</v>
      </c>
      <c r="B1459" t="n">
        <v>2019</v>
      </c>
      <c r="C1459" s="2" t="n">
        <v>43644.88818287037</v>
      </c>
      <c r="D1459" t="inlineStr">
        <is>
          <t>A CRITICA</t>
        </is>
      </c>
      <c r="E1459" t="inlineStr">
        <is>
          <t>VENEZUELANOS</t>
        </is>
      </c>
      <c r="F1459" t="inlineStr">
        <is>
          <t>ESPORTES</t>
        </is>
      </c>
      <c r="G1459" t="inlineStr">
        <is>
          <t>AGÊNCIA BRASIL</t>
        </is>
      </c>
      <c r="H1459" t="inlineStr">
        <is>
          <t>ARGENTINA VENCE VENEZUELA E ENFRENTA BRASIL NA SEMIFINAL DA COPA AMÉRICA</t>
        </is>
      </c>
      <c r="I1459" t="inlineStr">
        <is>
          <t>CLÁSSICO SUL-AMERICANO ACONTECE NA PRÓXIMA TERÇA (2), NO ESTÁDIO DO MINEIRÃO. MESSI ESTEVE EM TARDE DISCRETA</t>
        </is>
      </c>
      <c r="J1459" t="inlineStr"/>
      <c r="K1459" t="n">
        <v>0</v>
      </c>
      <c r="L1459" t="n">
        <v>1</v>
      </c>
      <c r="M1459" t="n">
        <v>0</v>
      </c>
      <c r="N1459" t="n">
        <v>0</v>
      </c>
      <c r="O1459" t="n">
        <v>0</v>
      </c>
      <c r="P1459">
        <f>HYPERLINK("https://www.acritica.com/esportes/argentina-vence-venezuela-e-enfrenta-brasil-na-semifinal-da-copa-america-1.66600", "URL")</f>
        <v/>
      </c>
      <c r="Q1459">
        <f>HYPERLINK("https://raw.githubusercontent.com/marcosmapl/dataset_imigrantes/main/materias_filtered/a_critica/venezuelanos/2019/05_jun/html/1.66600_495.html", "HTML")</f>
        <v/>
      </c>
      <c r="R1459">
        <f>HYPERLINK("https://raw.githubusercontent.com/marcosmapl/dataset_imigrantes/main/materias_filtered/a_critica/venezuelanos/2019/05_jun/txt/1.66600_495.txt", "TXT")</f>
        <v/>
      </c>
    </row>
    <row r="1460">
      <c r="A1460" s="1" t="n">
        <v>1458</v>
      </c>
      <c r="B1460" t="n">
        <v>2019</v>
      </c>
      <c r="C1460" s="2" t="n">
        <v>43644.42284722222</v>
      </c>
      <c r="D1460" t="inlineStr">
        <is>
          <t>A CRITICA</t>
        </is>
      </c>
      <c r="E1460" t="inlineStr">
        <is>
          <t>VENEZUELANOS</t>
        </is>
      </c>
      <c r="F1460" t="inlineStr">
        <is>
          <t>ESPORTES</t>
        </is>
      </c>
      <c r="G1460" t="inlineStr">
        <is>
          <t>GABRIEL FERREIRA</t>
        </is>
      </c>
      <c r="H1460" t="inlineStr">
        <is>
          <t>IRANDUBA PERDE MAIS TRÊS ATLETAS PARA A SÉRIE A1 DO BRASILEIRO FEMININO</t>
        </is>
      </c>
      <c r="I1460" t="inlineStr">
        <is>
          <t>PERDAS JÁ CHEGAM A CINCO. AS JOGADORAS QUE DEIXARAM O CLUBE ATÉ O MOMENTO FORAM ANDRESSINHA, MAYARA, YORELI RINCON, JAYLLIS OLIVEROS E KARLA TORRES</t>
        </is>
      </c>
      <c r="J1460" t="inlineStr"/>
      <c r="K1460" t="n">
        <v>0</v>
      </c>
      <c r="L1460" t="n">
        <v>1</v>
      </c>
      <c r="M1460" t="n">
        <v>0</v>
      </c>
      <c r="N1460" t="n">
        <v>0</v>
      </c>
      <c r="O1460" t="n">
        <v>0</v>
      </c>
      <c r="P1460">
        <f>HYPERLINK("https://www.acritica.com/esportes/iranduba-perde-mais-tres-atletas-para-a-serie-a1-do-brasileiro-feminino-1.66709", "URL")</f>
        <v/>
      </c>
      <c r="Q1460">
        <f>HYPERLINK("https://raw.githubusercontent.com/marcosmapl/dataset_imigrantes/main/materias_filtered/a_critica/venezuelanos/2019/05_jun/html/1.66709_1038.html", "HTML")</f>
        <v/>
      </c>
      <c r="R1460">
        <f>HYPERLINK("https://raw.githubusercontent.com/marcosmapl/dataset_imigrantes/main/materias_filtered/a_critica/venezuelanos/2019/05_jun/txt/1.66709_1038.txt", "TXT")</f>
        <v/>
      </c>
    </row>
    <row r="1461">
      <c r="A1461" s="1" t="n">
        <v>1459</v>
      </c>
      <c r="B1461" t="n">
        <v>2019</v>
      </c>
      <c r="C1461" s="2" t="n">
        <v>43643.80684226852</v>
      </c>
      <c r="D1461" t="inlineStr">
        <is>
          <t>G1</t>
        </is>
      </c>
      <c r="E1461" t="inlineStr">
        <is>
          <t>VENEZUELANOS</t>
        </is>
      </c>
      <c r="F1461" t="inlineStr">
        <is>
          <t>PIAUÍ</t>
        </is>
      </c>
      <c r="G1461" t="inlineStr">
        <is>
          <t>PITV 1</t>
        </is>
      </c>
      <c r="H1461" t="inlineStr">
        <is>
          <t>ÓRGÃOS ALERTAM VENEZUELANOS SOBRE PROIBIÇÃO DE MENDICÂNCIA COM CRIANÇAS EM TERESINA</t>
        </is>
      </c>
      <c r="I1461" t="inlineStr">
        <is>
          <t>CONSELHEIROS TUTELARES E ASSISTENTES SOCIAIS FORAM ÀS RUAS DE TERESINA, NESTA QUINTA-FEIRA (27), FAZER UM TRABALHO EDUCATIVO JUNTO AOS REFUGIADOS.</t>
        </is>
      </c>
      <c r="J1461" t="inlineStr"/>
      <c r="K1461" t="n">
        <v>0</v>
      </c>
      <c r="L1461" t="n">
        <v>2</v>
      </c>
      <c r="M1461" t="n">
        <v>1</v>
      </c>
      <c r="N1461" t="n">
        <v>0</v>
      </c>
      <c r="O1461" t="n">
        <v>3</v>
      </c>
      <c r="P1461">
        <f>HYPERLINK("https://g1.globo.com/pi/piaui/noticia/2019/06/27/orgaos-alertam-venezuelanos-sobre-proibicao-de-mendicancia-com-criancas-em-teresina.ghtml", "URL")</f>
        <v/>
      </c>
      <c r="Q1461">
        <f>HYPERLINK("https://raw.githubusercontent.com/marcosmapl/dataset_imigrantes/main/materias_filtered/g1/venezuelanos/2019/05_jun/html/g1_176268b0-230b-11ed-b24f-6dbe51e79fca_2543.html", "HTML")</f>
        <v/>
      </c>
      <c r="R1461">
        <f>HYPERLINK("https://raw.githubusercontent.com/marcosmapl/dataset_imigrantes/main/materias_filtered/g1/venezuelanos/2019/05_jun/txt/g1_176268b0-230b-11ed-b24f-6dbe51e79fca_2543.txt", "TXT")</f>
        <v/>
      </c>
    </row>
    <row r="1462">
      <c r="A1462" s="1" t="n">
        <v>1460</v>
      </c>
      <c r="B1462" t="n">
        <v>2019</v>
      </c>
      <c r="C1462" s="2" t="n">
        <v>43643.50252314815</v>
      </c>
      <c r="D1462" t="inlineStr">
        <is>
          <t>A CRITICA</t>
        </is>
      </c>
      <c r="E1462" t="inlineStr">
        <is>
          <t>VENEZUELANOS</t>
        </is>
      </c>
      <c r="F1462" t="inlineStr"/>
      <c r="G1462" t="inlineStr">
        <is>
          <t>AGÊNCIA BRASIL</t>
        </is>
      </c>
      <c r="H1462" t="inlineStr">
        <is>
          <t>MADURO PROMETE SER 'IMPLACÁVEL' COM TENTATIVA DE GOLPE DE ESTADO</t>
        </is>
      </c>
      <c r="I1462" t="inlineStr">
        <is>
          <t>MADURO INFORMOU QUE AS AUTORIDADES ESTÃO BUSCANDO MILITARES ATIVOS E APOSENTADOS, POLÍCIAS E FUNCIONÁRIOS CIVIS ENVOLVIDOS NO ALEGADO GOLPE</t>
        </is>
      </c>
      <c r="J1462" t="inlineStr"/>
      <c r="K1462" t="n">
        <v>0</v>
      </c>
      <c r="L1462" t="n">
        <v>1</v>
      </c>
      <c r="M1462" t="n">
        <v>0</v>
      </c>
      <c r="N1462" t="n">
        <v>0</v>
      </c>
      <c r="O1462" t="n">
        <v>0</v>
      </c>
      <c r="P1462">
        <f>HYPERLINK("https://www.acritica.com/maduro-promete-ser-implacavel-com-tentativa-de-golpe-de-estado-1.66799", "URL")</f>
        <v/>
      </c>
      <c r="Q1462">
        <f>HYPERLINK("https://raw.githubusercontent.com/marcosmapl/dataset_imigrantes/main/materias_filtered/a_critica/venezuelanos/2019/05_jun/html/1.66799_753.html", "HTML")</f>
        <v/>
      </c>
      <c r="R1462">
        <f>HYPERLINK("https://raw.githubusercontent.com/marcosmapl/dataset_imigrantes/main/materias_filtered/a_critica/venezuelanos/2019/05_jun/txt/1.66799_753.txt", "TXT")</f>
        <v/>
      </c>
    </row>
    <row r="1463">
      <c r="A1463" s="1" t="n">
        <v>1461</v>
      </c>
      <c r="B1463" t="n">
        <v>2019</v>
      </c>
      <c r="C1463" s="2" t="n">
        <v>43643.48317561342</v>
      </c>
      <c r="D1463" t="inlineStr">
        <is>
          <t>G1</t>
        </is>
      </c>
      <c r="E1463" t="inlineStr">
        <is>
          <t>HAITIANOS</t>
        </is>
      </c>
      <c r="F1463" t="inlineStr">
        <is>
          <t>SANTA CATARINA</t>
        </is>
      </c>
      <c r="G1463" t="inlineStr">
        <is>
          <t>G1 SC</t>
        </is>
      </c>
      <c r="H1463" t="inlineStr">
        <is>
          <t>CORPO DE HAITIANO QUE MORREU APÓS SER ATROPELADO NA BR-101 SERÁ CREMADO NA GRANDE FLORIANÓPOLIS</t>
        </is>
      </c>
      <c r="I1463" t="inlineStr">
        <is>
          <t>UMA CERIMÔNIA DE DESPEDIDA SERÁ REALIZADA EM UMA FUNERÁRIA NO BAIRRO ITACORUBI, EM FLORIANÓPOLIS.</t>
        </is>
      </c>
      <c r="J1463" t="inlineStr"/>
      <c r="K1463" t="n">
        <v>0</v>
      </c>
      <c r="L1463" t="n">
        <v>2</v>
      </c>
      <c r="M1463" t="n">
        <v>0</v>
      </c>
      <c r="N1463" t="n">
        <v>0</v>
      </c>
      <c r="O1463" t="n">
        <v>5</v>
      </c>
      <c r="P1463">
        <f>HYPERLINK("https://g1.globo.com/sc/santa-catarina/noticia/2019/06/27/corpo-de-haitiano-que-morreu-apos-ser-atropelado-na-br-101-sera-cremado-na-grande-florianopolis.ghtml", "URL")</f>
        <v/>
      </c>
      <c r="Q1463">
        <f>HYPERLINK("https://raw.githubusercontent.com/marcosmapl/dataset_imigrantes/main/materias_filtered/g1/haitianos/2019/05_jun/html/g1_41eb7f2a-22f4-11ed-b24f-6dbe51e79fca_1880.html", "HTML")</f>
        <v/>
      </c>
      <c r="R1463">
        <f>HYPERLINK("https://raw.githubusercontent.com/marcosmapl/dataset_imigrantes/main/materias_filtered/g1/haitianos/2019/05_jun/txt/g1_41eb7f2a-22f4-11ed-b24f-6dbe51e79fca_1880.txt", "TXT")</f>
        <v/>
      </c>
    </row>
    <row r="1464">
      <c r="A1464" s="1" t="n">
        <v>1462</v>
      </c>
      <c r="B1464" t="n">
        <v>2019</v>
      </c>
      <c r="C1464" s="2" t="n">
        <v>43642.97625487269</v>
      </c>
      <c r="D1464" t="inlineStr">
        <is>
          <t>G1</t>
        </is>
      </c>
      <c r="E1464" t="inlineStr">
        <is>
          <t>AMBOS</t>
        </is>
      </c>
      <c r="F1464" t="inlineStr">
        <is>
          <t>MATO GROSSO</t>
        </is>
      </c>
      <c r="G1464" t="inlineStr">
        <is>
          <t>G1MT</t>
        </is>
      </c>
      <c r="H1464" t="inlineStr">
        <is>
          <t>MAIS DE 5 MIL HAITIANOS PASSARAM POR MT DESDE 2012; CERCA DE 4 MIL AINDA VIVEM NO ESTADO, SEGUNDO PASTORAL</t>
        </is>
      </c>
      <c r="I1464" t="inlineStr">
        <is>
          <t>ENTRE 2018 E 2019, O ESTADO JÁ ACOLHEU MAIS DE 700 VENEZUELANOS.</t>
        </is>
      </c>
      <c r="J1464" t="inlineStr"/>
      <c r="K1464" t="n">
        <v>0</v>
      </c>
      <c r="L1464" t="n">
        <v>2</v>
      </c>
      <c r="M1464" t="n">
        <v>0</v>
      </c>
      <c r="N1464" t="n">
        <v>0</v>
      </c>
      <c r="O1464" t="n">
        <v>0</v>
      </c>
      <c r="P1464">
        <f>HYPERLINK("https://g1.globo.com/mt/mato-grosso/noticia/2019/06/26/mais-de-5-mil-haitianos-passaram-por-mt-desde-2012-cerca-de-4-mil-ainda-vivem-no-estado-segundo-pastoral.ghtml", "URL")</f>
        <v/>
      </c>
      <c r="Q1464">
        <f>HYPERLINK("https://raw.githubusercontent.com/marcosmapl/dataset_imigrantes/main/materias_filtered/g1/ambos/2019/05_jun/html/g1_34d0b534-22f5-11ed-b24f-6dbe51e79fca_1936.html", "HTML")</f>
        <v/>
      </c>
      <c r="R1464">
        <f>HYPERLINK("https://raw.githubusercontent.com/marcosmapl/dataset_imigrantes/main/materias_filtered/g1/ambos/2019/05_jun/txt/g1_34d0b534-22f5-11ed-b24f-6dbe51e79fca_1936.txt", "TXT")</f>
        <v/>
      </c>
    </row>
    <row r="1465">
      <c r="A1465" s="1" t="n">
        <v>1463</v>
      </c>
      <c r="B1465" t="n">
        <v>2019</v>
      </c>
      <c r="C1465" s="2" t="n">
        <v>43642.89237869213</v>
      </c>
      <c r="D1465" t="inlineStr">
        <is>
          <t>G1</t>
        </is>
      </c>
      <c r="E1465" t="inlineStr">
        <is>
          <t>VENEZUELANOS</t>
        </is>
      </c>
      <c r="F1465" t="inlineStr">
        <is>
          <t>MUNDO</t>
        </is>
      </c>
      <c r="G1465" t="inlineStr">
        <is>
          <t>FRANCE PRESSE</t>
        </is>
      </c>
      <c r="H1465" t="inlineStr">
        <is>
          <t>GOVERNO VENEZUELANO DIZ TER FRUSTRADO GOLPE, ORQUESTRADO POR EUA, COLÔMBIA E CHILE</t>
        </is>
      </c>
      <c r="I1465" t="inlineStr">
        <is>
          <t>MINISTRO DA COMUNICAÇÃO DIZ QUE PLANO INCLUÍA ASSASSINATO DE NICOLÁS MADURO E PROCLAMAÇÃO DO GENERAL DA RESERVA RAUL BADUEL COMO CHEFE DE ESTADO. SEIS PESSOAS FORAM DETIDAS; AUTORIDADES AFIRMAM QUE INFILTRADOS PARTICIPARAM DE REUNIÕES DE PLANEJAMENTO.</t>
        </is>
      </c>
      <c r="J1465" t="inlineStr"/>
      <c r="K1465" t="n">
        <v>0</v>
      </c>
      <c r="L1465" t="n">
        <v>1</v>
      </c>
      <c r="M1465" t="n">
        <v>0</v>
      </c>
      <c r="N1465" t="n">
        <v>0</v>
      </c>
      <c r="O1465" t="n">
        <v>0</v>
      </c>
      <c r="P1465">
        <f>HYPERLINK("https://g1.globo.com/mundo/noticia/2019/06/26/governo-venezuelano-diz-ter-frustrado-golpe-orquestrado-por-eua-colombia-e-chile.ghtml", "URL")</f>
        <v/>
      </c>
      <c r="Q1465">
        <f>HYPERLINK("https://raw.githubusercontent.com/marcosmapl/dataset_imigrantes/main/materias_filtered/g1/venezuelanos/2019/05_jun/html/g1_e8e353c8-230a-11ed-b24f-6dbe51e79fca_2534.html", "HTML")</f>
        <v/>
      </c>
      <c r="R1465">
        <f>HYPERLINK("https://raw.githubusercontent.com/marcosmapl/dataset_imigrantes/main/materias_filtered/g1/venezuelanos/2019/05_jun/txt/g1_e8e353c8-230a-11ed-b24f-6dbe51e79fca_2534.txt", "TXT")</f>
        <v/>
      </c>
    </row>
    <row r="1466">
      <c r="A1466" s="1" t="n">
        <v>1464</v>
      </c>
      <c r="B1466" t="n">
        <v>2019</v>
      </c>
      <c r="C1466" s="2" t="n">
        <v>43642.62347568287</v>
      </c>
      <c r="D1466" t="inlineStr">
        <is>
          <t>G1</t>
        </is>
      </c>
      <c r="E1466" t="inlineStr">
        <is>
          <t>HAITIANOS</t>
        </is>
      </c>
      <c r="F1466" t="inlineStr">
        <is>
          <t>SANTA CATARINA</t>
        </is>
      </c>
      <c r="G1466" t="inlineStr">
        <is>
          <t>G1 SC</t>
        </is>
      </c>
      <c r="H1466" t="inlineStr">
        <is>
          <t>IMIGRANTES FAZEM ATO NO CENTRO DE FLORIANÓPOLIS E PEDEM JUSTIÇA PELA MORTE DE HAITIANO</t>
        </is>
      </c>
      <c r="I1466" t="inlineStr">
        <is>
          <t>GRUPO SE REUNIU NA TERÇA-FEIRA PARA LEMBRAR A SEMANA DO IMIGRANTE E PEDIR RESPOSTAS NO CASO DE MORTE DE KERBY TINGUE.</t>
        </is>
      </c>
      <c r="J1466" t="inlineStr"/>
      <c r="K1466" t="n">
        <v>0</v>
      </c>
      <c r="L1466" t="n">
        <v>3</v>
      </c>
      <c r="M1466" t="n">
        <v>0</v>
      </c>
      <c r="N1466" t="n">
        <v>0</v>
      </c>
      <c r="O1466" t="n">
        <v>4</v>
      </c>
      <c r="P1466">
        <f>HYPERLINK("https://g1.globo.com/sc/santa-catarina/noticia/2019/06/26/imigrantes-fazem-ato-no-centro-de-florianopolis-e-pedem-justica-pela-morte-de-haitiano.ghtml", "URL")</f>
        <v/>
      </c>
      <c r="Q1466">
        <f>HYPERLINK("https://raw.githubusercontent.com/marcosmapl/dataset_imigrantes/main/materias_filtered/g1/haitianos/2019/05_jun/html/g1_c4c685aa-22f6-11ed-b24f-6dbe51e79fca_2036.html", "HTML")</f>
        <v/>
      </c>
      <c r="R1466">
        <f>HYPERLINK("https://raw.githubusercontent.com/marcosmapl/dataset_imigrantes/main/materias_filtered/g1/haitianos/2019/05_jun/txt/g1_c4c685aa-22f6-11ed-b24f-6dbe51e79fca_2036.txt", "TXT")</f>
        <v/>
      </c>
    </row>
    <row r="1467">
      <c r="A1467" s="1" t="n">
        <v>1465</v>
      </c>
      <c r="B1467" t="n">
        <v>2019</v>
      </c>
      <c r="C1467" s="2" t="n">
        <v>43642.54974148148</v>
      </c>
      <c r="D1467" t="inlineStr">
        <is>
          <t>G1</t>
        </is>
      </c>
      <c r="E1467" t="inlineStr">
        <is>
          <t>HAITIANOS</t>
        </is>
      </c>
      <c r="F1467" t="inlineStr">
        <is>
          <t>SANTA CATARINA</t>
        </is>
      </c>
      <c r="G1467" t="inlineStr">
        <is>
          <t>G1 SC</t>
        </is>
      </c>
      <c r="H1467" t="inlineStr">
        <is>
          <t>MOTOCICLISTA HAITIANO DE 24 ANOS MORRE EM ACIDENTE NA BR-101 EM ITAJAÍ</t>
        </is>
      </c>
      <c r="I1467" t="inlineStr">
        <is>
          <t>COLISÃO SEGUIDA DE ATROPELAMENTO OCORREU NA MANHÃ DESTA QUARTA-FEIRA.</t>
        </is>
      </c>
      <c r="J1467" t="inlineStr"/>
      <c r="K1467" t="n">
        <v>0</v>
      </c>
      <c r="L1467" t="n">
        <v>1</v>
      </c>
      <c r="M1467" t="n">
        <v>0</v>
      </c>
      <c r="N1467" t="n">
        <v>0</v>
      </c>
      <c r="O1467" t="n">
        <v>3</v>
      </c>
      <c r="P1467">
        <f>HYPERLINK("https://g1.globo.com/sc/santa-catarina/noticia/2019/06/26/motociclista-haitiano-de-24-anos-morre-em-acidente-na-br-101-em-itajai.ghtml", "URL")</f>
        <v/>
      </c>
      <c r="Q1467">
        <f>HYPERLINK("https://raw.githubusercontent.com/marcosmapl/dataset_imigrantes/main/materias_filtered/g1/haitianos/2019/05_jun/html/g1_95ac3f80-22f1-11ed-b24f-6dbe51e79fca_1756.html", "HTML")</f>
        <v/>
      </c>
      <c r="R1467">
        <f>HYPERLINK("https://raw.githubusercontent.com/marcosmapl/dataset_imigrantes/main/materias_filtered/g1/haitianos/2019/05_jun/txt/g1_95ac3f80-22f1-11ed-b24f-6dbe51e79fca_1756.txt", "TXT")</f>
        <v/>
      </c>
    </row>
    <row r="1468">
      <c r="A1468" s="1" t="n">
        <v>1466</v>
      </c>
      <c r="B1468" t="n">
        <v>2019</v>
      </c>
      <c r="C1468" s="2" t="n">
        <v>43642.49066700231</v>
      </c>
      <c r="D1468" t="inlineStr">
        <is>
          <t>G1</t>
        </is>
      </c>
      <c r="E1468" t="inlineStr">
        <is>
          <t>VENEZUELANOS</t>
        </is>
      </c>
      <c r="F1468" t="inlineStr">
        <is>
          <t>PARAÍBA</t>
        </is>
      </c>
      <c r="G1468" t="inlineStr">
        <is>
          <t>G1 PB</t>
        </is>
      </c>
      <c r="H1468" t="inlineStr">
        <is>
          <t>VENEZUELANA DIAGNOSTICADA COM MALÁRIA RECEBE TRATAMENTO, EM JOÃO PESSOA</t>
        </is>
      </c>
      <c r="I1468" t="inlineStr">
        <is>
          <t>MULHER DE 51 ANOS CHEGOU NO BRASIL NO DIA 1º DE JUNHO. EM JOÃO PESSOA, ELA ESTÁ DESDE SEGUNDA-FEIRA (24).</t>
        </is>
      </c>
      <c r="J1468" t="inlineStr"/>
      <c r="K1468" t="n">
        <v>0</v>
      </c>
      <c r="L1468" t="n">
        <v>1</v>
      </c>
      <c r="M1468" t="n">
        <v>0</v>
      </c>
      <c r="N1468" t="n">
        <v>0</v>
      </c>
      <c r="O1468" t="n">
        <v>1</v>
      </c>
      <c r="P1468">
        <f>HYPERLINK("https://g1.globo.com/pb/paraiba/noticia/2019/06/26/paraiba-tem-13o-caso-de-malaria-diagnosticado-em-venezuelana.ghtml", "URL")</f>
        <v/>
      </c>
      <c r="Q1468">
        <f>HYPERLINK("https://raw.githubusercontent.com/marcosmapl/dataset_imigrantes/main/materias_filtered/g1/venezuelanos/2019/05_jun/html/g1_65685f96-230c-11ed-b24f-6dbe51e79fca_2622.html", "HTML")</f>
        <v/>
      </c>
      <c r="R1468">
        <f>HYPERLINK("https://raw.githubusercontent.com/marcosmapl/dataset_imigrantes/main/materias_filtered/g1/venezuelanos/2019/05_jun/txt/g1_65685f96-230c-11ed-b24f-6dbe51e79fca_2622.txt", "TXT")</f>
        <v/>
      </c>
    </row>
    <row r="1469">
      <c r="A1469" s="1" t="n">
        <v>1467</v>
      </c>
      <c r="B1469" t="n">
        <v>2019</v>
      </c>
      <c r="C1469" s="2" t="n">
        <v>43641.54118851852</v>
      </c>
      <c r="D1469" t="inlineStr">
        <is>
          <t>G1</t>
        </is>
      </c>
      <c r="E1469" t="inlineStr">
        <is>
          <t>VENEZUELANOS</t>
        </is>
      </c>
      <c r="F1469" t="inlineStr">
        <is>
          <t>RORAIMA</t>
        </is>
      </c>
      <c r="G1469" t="inlineStr">
        <is>
          <t>FABRÍCIO ARAÚJO, G1 RR — BOA VISTA</t>
        </is>
      </c>
      <c r="H1469" t="inlineStr">
        <is>
          <t>VENEZUELANOS EMPREENDEM PARA RECOMEÇAR A VIDA EM RORAIMA</t>
        </is>
      </c>
      <c r="I1469" t="inlineStr">
        <is>
          <t>EM TRÊS ANOS, MAIS DE 180 VENEZUELANOS SE REGISTRARAM COMO MICROEMPREENDEDORES EM RORAIMA. NESTA TERÇA (25), DIA DO IMIGRANTE, G1 CONTA A HISTÓRIAS DE DOIS VENEZUELANOS QUE MONTARAM SEU PRÓPRIO NEGÓCIO NO BRASIL.</t>
        </is>
      </c>
      <c r="J1469" t="inlineStr"/>
      <c r="K1469" t="n">
        <v>0</v>
      </c>
      <c r="L1469" t="n">
        <v>1</v>
      </c>
      <c r="M1469" t="n">
        <v>0</v>
      </c>
      <c r="N1469" t="n">
        <v>0</v>
      </c>
      <c r="O1469" t="n">
        <v>17</v>
      </c>
      <c r="P1469">
        <f>HYPERLINK("https://g1.globo.com/rr/roraima/noticia/2019/06/25/venezuelanos-empreendem-para-recomecar-a-vida-em-roraima.ghtml", "URL")</f>
        <v/>
      </c>
      <c r="Q1469">
        <f>HYPERLINK("https://raw.githubusercontent.com/marcosmapl/dataset_imigrantes/main/materias_filtered/g1/venezuelanos/2019/05_jun/html/g1_bb733d46-2313-11ed-b24f-6dbe51e79fca_3022.html", "HTML")</f>
        <v/>
      </c>
      <c r="R1469">
        <f>HYPERLINK("https://raw.githubusercontent.com/marcosmapl/dataset_imigrantes/main/materias_filtered/g1/venezuelanos/2019/05_jun/txt/g1_bb733d46-2313-11ed-b24f-6dbe51e79fca_3022.txt", "TXT")</f>
        <v/>
      </c>
    </row>
    <row r="1470">
      <c r="A1470" s="1" t="n">
        <v>1468</v>
      </c>
      <c r="B1470" t="n">
        <v>2019</v>
      </c>
      <c r="C1470" s="2" t="n">
        <v>43640.69601820602</v>
      </c>
      <c r="D1470" t="inlineStr">
        <is>
          <t>G1</t>
        </is>
      </c>
      <c r="E1470" t="inlineStr">
        <is>
          <t>VENEZUELANOS</t>
        </is>
      </c>
      <c r="F1470" t="inlineStr">
        <is>
          <t>PIAUÍ</t>
        </is>
      </c>
      <c r="G1470" t="inlineStr">
        <is>
          <t>PI TV 1</t>
        </is>
      </c>
      <c r="H1470" t="inlineStr">
        <is>
          <t>PREFEITURA DE TERESINA LEVARÁ PARA ABRIGOS CRIANÇAS VENEZUELANAS QUE ESTIVEREM PEDINDO DINHEIRO</t>
        </is>
      </c>
      <c r="I1470" t="inlineStr">
        <is>
          <t>DE ACORDO COM O ESTATUTO DA CRIANÇA E DO ADOLESCENTE (ECA), É PROIBIDO EXPOR A CRIANÇA A RISCOS E CONSTRANGIMENTO, MAS EM TERESINA ESSA CENA TEM SE REPETIDO NOS SEMÁFOROS COM REFUGIADOS VENEZUELANOS.</t>
        </is>
      </c>
      <c r="J1470" t="inlineStr"/>
      <c r="K1470" t="n">
        <v>0</v>
      </c>
      <c r="L1470" t="n">
        <v>2</v>
      </c>
      <c r="M1470" t="n">
        <v>0</v>
      </c>
      <c r="N1470" t="n">
        <v>0</v>
      </c>
      <c r="O1470" t="n">
        <v>2</v>
      </c>
      <c r="P1470">
        <f>HYPERLINK("https://g1.globo.com/pi/piaui/noticia/2019/06/24/prefeitura-de-teresina-levara-para-abrigos-criancas-venezuelanas-que-estiverem-pedindo-dinheiro.ghtml", "URL")</f>
        <v/>
      </c>
      <c r="Q1470">
        <f>HYPERLINK("https://raw.githubusercontent.com/marcosmapl/dataset_imigrantes/main/materias_filtered/g1/venezuelanos/2019/05_jun/html/g1_a31e960a-232c-11ed-b24f-6dbe51e79fca_4319.html", "HTML")</f>
        <v/>
      </c>
      <c r="R1470">
        <f>HYPERLINK("https://raw.githubusercontent.com/marcosmapl/dataset_imigrantes/main/materias_filtered/g1/venezuelanos/2019/05_jun/txt/g1_a31e960a-232c-11ed-b24f-6dbe51e79fca_4319.txt", "TXT")</f>
        <v/>
      </c>
    </row>
    <row r="1471">
      <c r="A1471" s="1" t="n">
        <v>1469</v>
      </c>
      <c r="B1471" t="n">
        <v>2019</v>
      </c>
      <c r="C1471" s="2" t="n">
        <v>43640.56964120371</v>
      </c>
      <c r="D1471" t="inlineStr">
        <is>
          <t>A CRITICA</t>
        </is>
      </c>
      <c r="E1471" t="inlineStr">
        <is>
          <t>VENEZUELANOS</t>
        </is>
      </c>
      <c r="F1471" t="inlineStr">
        <is>
          <t>MANAUS</t>
        </is>
      </c>
      <c r="G1471" t="inlineStr">
        <is>
          <t>PORTAL A CRÍTICA</t>
        </is>
      </c>
      <c r="H1471" t="inlineStr">
        <is>
          <t>HERÓIS DE FARDA, POLICIAIS E BOMBEIROS AJUDAM ATÉ EM NASCIMENTO DE BEBÊS</t>
        </is>
      </c>
      <c r="I1471" t="inlineStr">
        <is>
          <t>ATÉ ABRIL, OS SERVIDORES DA PM E DOS BOMBEIROS AJUDARAM A TRAZER AO MUNDO SETE CRIANÇAS, NA CAPITAL E INTERIOR DO AMAZONAS</t>
        </is>
      </c>
      <c r="J1471" t="inlineStr"/>
      <c r="K1471" t="n">
        <v>0</v>
      </c>
      <c r="L1471" t="n">
        <v>1</v>
      </c>
      <c r="M1471" t="n">
        <v>0</v>
      </c>
      <c r="N1471" t="n">
        <v>0</v>
      </c>
      <c r="O1471" t="n">
        <v>0</v>
      </c>
      <c r="P1471">
        <f>HYPERLINK("https://www.acritica.com/manaus/herois-de-farda-policiais-e-bombeiros-ajudam-ate-em-nascimento-de-bebes-1.69372", "URL")</f>
        <v/>
      </c>
      <c r="Q1471">
        <f>HYPERLINK("https://raw.githubusercontent.com/marcosmapl/dataset_imigrantes/main/materias_filtered/a_critica/venezuelanos/2019/05_jun/html/1.69372_111.html", "HTML")</f>
        <v/>
      </c>
      <c r="R1471">
        <f>HYPERLINK("https://raw.githubusercontent.com/marcosmapl/dataset_imigrantes/main/materias_filtered/a_critica/venezuelanos/2019/05_jun/txt/1.69372_111.txt", "TXT")</f>
        <v/>
      </c>
    </row>
    <row r="1472">
      <c r="A1472" s="1" t="n">
        <v>1470</v>
      </c>
      <c r="B1472" t="n">
        <v>2019</v>
      </c>
      <c r="C1472" s="2" t="n">
        <v>43640.54652777778</v>
      </c>
      <c r="D1472" t="inlineStr">
        <is>
          <t>PORTAL AMAZONIA</t>
        </is>
      </c>
      <c r="E1472" t="inlineStr">
        <is>
          <t>VENEZUELANOS</t>
        </is>
      </c>
      <c r="F1472" t="inlineStr">
        <is>
          <t>CIDADES</t>
        </is>
      </c>
      <c r="G1472" t="inlineStr">
        <is>
          <t>REDAÇÃO</t>
        </is>
      </c>
      <c r="H1472" t="inlineStr">
        <is>
          <t>IBGE: POPULAÇÃO DE RORAIMA DEVE CHEGAR A QUASE 1 MILHÃO DE HABITANTES EM 2060</t>
        </is>
      </c>
      <c r="I1472" t="inlineStr">
        <is>
          <t>A POPULAÇÃO DE RORAIMA DEVE CHEGAR A QUASE 1 MILHÃO DE HABITANTES EM 2060, CONFORME A PROJEÇÃO POPULACIONAL 2018, DIVULGADA PELO INSTITUTO BRASILEIRO DE GEOGRAFIA E ESTATÍSTICA (IBGE). O ESTUDO TAMBÉM REVELA QUE ATÉ 2022 O ESTADO DEVERÁ RECEBER CERCA</t>
        </is>
      </c>
      <c r="J1472" t="inlineStr">
        <is>
          <t>IBGE, IMIGRANTES VENEZUELANOS, POPULAÇÃO, POPULAÇÃO RORAIMA, RORAIMA</t>
        </is>
      </c>
      <c r="K1472" t="n">
        <v>5</v>
      </c>
      <c r="L1472" t="n">
        <v>2</v>
      </c>
      <c r="M1472" t="n">
        <v>0</v>
      </c>
      <c r="N1472" t="n">
        <v>0</v>
      </c>
      <c r="O1472" t="n">
        <v>10</v>
      </c>
      <c r="P1472">
        <f>HYPERLINK("https://portalamazonia.com/noticias/cidades/ibge-populacao-de-roraima-deve-chegar-a-quase-1-milhao-de-habitantes-em-2060", "URL")</f>
        <v/>
      </c>
      <c r="Q1472">
        <f>HYPERLINK("https://raw.githubusercontent.com/marcosmapl/dataset_imigrantes/main/materias_filtered/portal_amazonia/venezuelanos/2019/05_jun/html/22545.22545_1415.html", "HTML")</f>
        <v/>
      </c>
      <c r="R1472">
        <f>HYPERLINK("https://raw.githubusercontent.com/marcosmapl/dataset_imigrantes/main/materias_filtered/portal_amazonia/venezuelanos/2019/05_jun/txt/22545.22545_1415.txt", "TXT")</f>
        <v/>
      </c>
    </row>
    <row r="1473">
      <c r="A1473" s="1" t="n">
        <v>1471</v>
      </c>
      <c r="B1473" t="n">
        <v>2019</v>
      </c>
      <c r="C1473" s="2" t="n">
        <v>43640.47291666667</v>
      </c>
      <c r="D1473" t="inlineStr">
        <is>
          <t>PORTAL AMAZONIA</t>
        </is>
      </c>
      <c r="E1473" t="inlineStr">
        <is>
          <t>VENEZUELANOS</t>
        </is>
      </c>
      <c r="F1473" t="inlineStr">
        <is>
          <t>GASTRONOMIA</t>
        </is>
      </c>
      <c r="G1473" t="inlineStr">
        <is>
          <t>REDAÇÃO</t>
        </is>
      </c>
      <c r="H1473" t="inlineStr">
        <is>
          <t>&amp;#039;MAIOR PAÇOCA DO MUNDO&amp;#039; É SERVIDA DE GRAÇA E BATE NOVO RECORDE EM ARRAIAL DE BOA VISTA</t>
        </is>
      </c>
      <c r="I1473" t="inlineStr">
        <is>
          <t>UMA DAS IGUARIAS MAIS TRADICIONAIS DE BOA VISTA, CAPITAL DE RORAIMA, É A PAÇOCA, E A VALORIZAÇÃO DA MESMA É ENCARADA COM SERIEDADE PELA POPULAÇÃO. NO ÚLTIMO SÁBADO (22), A “MAIOR PAÇOCA DO MUNDO” BATEU MAIS UM RECORDE NO ARRAIAL BOA VISTA JUNINA DE 2</t>
        </is>
      </c>
      <c r="J1473" t="inlineStr">
        <is>
          <t>PAÇOCA, PAÇOCA DE BOA VISTA</t>
        </is>
      </c>
      <c r="K1473" t="n">
        <v>2</v>
      </c>
      <c r="L1473" t="n">
        <v>3</v>
      </c>
      <c r="M1473" t="n">
        <v>0</v>
      </c>
      <c r="N1473" t="n">
        <v>0</v>
      </c>
      <c r="O1473" t="n">
        <v>13</v>
      </c>
      <c r="P1473">
        <f>HYPERLINK("https://portalamazonia.com/cultura/gastronomia/maior-pacoca-do-mundo-e-servida-de-graca-e-bate-novo-recorde-em-arraial-de-boa-vista", "URL")</f>
        <v/>
      </c>
      <c r="Q1473">
        <f>HYPERLINK("https://raw.githubusercontent.com/marcosmapl/dataset_imigrantes/main/materias_filtered/portal_amazonia/venezuelanos/2019/05_jun/html/22543.22543_1543.html", "HTML")</f>
        <v/>
      </c>
      <c r="R1473">
        <f>HYPERLINK("https://raw.githubusercontent.com/marcosmapl/dataset_imigrantes/main/materias_filtered/portal_amazonia/venezuelanos/2019/05_jun/txt/22543.22543_1543.txt", "TXT")</f>
        <v/>
      </c>
    </row>
    <row r="1474">
      <c r="A1474" s="1" t="n">
        <v>1472</v>
      </c>
      <c r="B1474" t="n">
        <v>2019</v>
      </c>
      <c r="C1474" s="2" t="n">
        <v>43638.66050925926</v>
      </c>
      <c r="D1474" t="inlineStr">
        <is>
          <t>A CRITICA</t>
        </is>
      </c>
      <c r="E1474" t="inlineStr">
        <is>
          <t>VENEZUELANOS</t>
        </is>
      </c>
      <c r="F1474" t="inlineStr">
        <is>
          <t>MANAUS</t>
        </is>
      </c>
      <c r="G1474" t="inlineStr">
        <is>
          <t>PAULO ANDRÉ NUNES</t>
        </is>
      </c>
      <c r="H1474" t="inlineStr">
        <is>
          <t>VENEZUELANOS CELEBRAM ORIGENS COM CAMINHADA E EVENTO DE INTEGRAÇÃO</t>
        </is>
      </c>
      <c r="I1474" t="inlineStr">
        <is>
          <t>PARTE DA POPULAÇÃO ATUALMENTE ABRIGADA NA CIDADE TEVE A OPORTUNIDADE DE CELEBRAR SUAS ORIGENS E RESILIÊNCIA FRENTE AOS DESAFIOS DO DESLOCAMENTO FORÇADO</t>
        </is>
      </c>
      <c r="J1474" t="inlineStr"/>
      <c r="K1474" t="n">
        <v>0</v>
      </c>
      <c r="L1474" t="n">
        <v>1</v>
      </c>
      <c r="M1474" t="n">
        <v>0</v>
      </c>
      <c r="N1474" t="n">
        <v>0</v>
      </c>
      <c r="O1474" t="n">
        <v>0</v>
      </c>
      <c r="P1474">
        <f>HYPERLINK("https://www.acritica.com/manaus/venezuelanos-celebram-origens-com-caminhada-e-evento-de-integrac-o-1.69409", "URL")</f>
        <v/>
      </c>
      <c r="Q1474">
        <f>HYPERLINK("https://raw.githubusercontent.com/marcosmapl/dataset_imigrantes/main/materias_filtered/a_critica/venezuelanos/2019/05_jun/html/1.69409_929.html", "HTML")</f>
        <v/>
      </c>
      <c r="R1474">
        <f>HYPERLINK("https://raw.githubusercontent.com/marcosmapl/dataset_imigrantes/main/materias_filtered/a_critica/venezuelanos/2019/05_jun/txt/1.69409_929.txt", "TXT")</f>
        <v/>
      </c>
    </row>
    <row r="1475">
      <c r="A1475" s="1" t="n">
        <v>1473</v>
      </c>
      <c r="B1475" t="n">
        <v>2019</v>
      </c>
      <c r="C1475" s="2" t="n">
        <v>43638.50251157407</v>
      </c>
      <c r="D1475" t="inlineStr">
        <is>
          <t>A CRITICA</t>
        </is>
      </c>
      <c r="E1475" t="inlineStr">
        <is>
          <t>VENEZUELANOS</t>
        </is>
      </c>
      <c r="F1475" t="inlineStr">
        <is>
          <t>ESPORTES</t>
        </is>
      </c>
      <c r="G1475" t="inlineStr">
        <is>
          <t>AGÊNCIA BRASIL</t>
        </is>
      </c>
      <c r="H1475" t="inlineStr">
        <is>
          <t>BRASIL DISPUTA, HOJE, COM PERU 1º LUGAR DO GRUPO A PELA COPA AMÉRICA</t>
        </is>
      </c>
      <c r="I1475" t="inlineStr">
        <is>
          <t>OS BRASILEIROS TÊM O MESMO NÚMERO DE PONTOS (4) QUE OS PERUANOS, MAS ESTÃO À FRENTE DEVIDO AO SALDO DE GOLS: TRÊS, UM A MAIS QUE O PERU.</t>
        </is>
      </c>
      <c r="J1475" t="inlineStr"/>
      <c r="K1475" t="n">
        <v>0</v>
      </c>
      <c r="L1475" t="n">
        <v>1</v>
      </c>
      <c r="M1475" t="n">
        <v>0</v>
      </c>
      <c r="N1475" t="n">
        <v>0</v>
      </c>
      <c r="O1475" t="n">
        <v>0</v>
      </c>
      <c r="P1475">
        <f>HYPERLINK("https://www.acritica.com/esportes/brasil-disputa-hoje-com-peru-1-lugar-do-grupo-a-pela-copa-america-1.69200", "URL")</f>
        <v/>
      </c>
      <c r="Q1475">
        <f>HYPERLINK("https://raw.githubusercontent.com/marcosmapl/dataset_imigrantes/main/materias_filtered/a_critica/venezuelanos/2019/05_jun/html/1.69200_1090.html", "HTML")</f>
        <v/>
      </c>
      <c r="R1475">
        <f>HYPERLINK("https://raw.githubusercontent.com/marcosmapl/dataset_imigrantes/main/materias_filtered/a_critica/venezuelanos/2019/05_jun/txt/1.69200_1090.txt", "TXT")</f>
        <v/>
      </c>
    </row>
    <row r="1476">
      <c r="A1476" s="1" t="n">
        <v>1474</v>
      </c>
      <c r="B1476" t="n">
        <v>2019</v>
      </c>
      <c r="C1476" s="2" t="n">
        <v>43637.67258077546</v>
      </c>
      <c r="D1476" t="inlineStr">
        <is>
          <t>G1</t>
        </is>
      </c>
      <c r="E1476" t="inlineStr">
        <is>
          <t>VENEZUELANOS</t>
        </is>
      </c>
      <c r="F1476" t="inlineStr">
        <is>
          <t>RORAIMA</t>
        </is>
      </c>
      <c r="G1476" t="inlineStr">
        <is>
          <t>G1 RR</t>
        </is>
      </c>
      <c r="H1476" t="inlineStr">
        <is>
          <t>GRUPO DE IMIGRANTES PROMOVE FESTA TRADICIONAL VENEZUELANA EM BOA VISTA</t>
        </is>
      </c>
      <c r="I1476" t="inlineStr">
        <is>
          <t>FESTA OCORRE NESTE DOMINGO (23), NA CASA DA CAPOEIRA, NO PARQUE ANAUÁ. ENTRADA É GRATUITA.</t>
        </is>
      </c>
      <c r="J1476" t="inlineStr"/>
      <c r="K1476" t="n">
        <v>0</v>
      </c>
      <c r="L1476" t="n">
        <v>1</v>
      </c>
      <c r="M1476" t="n">
        <v>0</v>
      </c>
      <c r="N1476" t="n">
        <v>0</v>
      </c>
      <c r="O1476" t="n">
        <v>0</v>
      </c>
      <c r="P1476">
        <f>HYPERLINK("https://g1.globo.com/rr/roraima/noticia/2019/06/21/grupo-de-imigrantes-promove-festa-tradicional-venezuelana-em-boa-vista.ghtml", "URL")</f>
        <v/>
      </c>
      <c r="Q1476">
        <f>HYPERLINK("https://raw.githubusercontent.com/marcosmapl/dataset_imigrantes/main/materias_filtered/g1/venezuelanos/2019/05_jun/html/g1_a00b8544-230a-11ed-b24f-6dbe51e79fca_2516.html", "HTML")</f>
        <v/>
      </c>
      <c r="R1476">
        <f>HYPERLINK("https://raw.githubusercontent.com/marcosmapl/dataset_imigrantes/main/materias_filtered/g1/venezuelanos/2019/05_jun/txt/g1_a00b8544-230a-11ed-b24f-6dbe51e79fca_2516.txt", "TXT")</f>
        <v/>
      </c>
    </row>
    <row r="1477">
      <c r="A1477" s="1" t="n">
        <v>1475</v>
      </c>
      <c r="B1477" t="n">
        <v>2019</v>
      </c>
      <c r="C1477" s="2" t="n">
        <v>43637.35416666666</v>
      </c>
      <c r="D1477" t="inlineStr">
        <is>
          <t>A CRITICA</t>
        </is>
      </c>
      <c r="E1477" t="inlineStr">
        <is>
          <t>VENEZUELANOS</t>
        </is>
      </c>
      <c r="F1477" t="inlineStr">
        <is>
          <t>MANAUS</t>
        </is>
      </c>
      <c r="G1477" t="inlineStr">
        <is>
          <t>DANIEL AMORIM</t>
        </is>
      </c>
      <c r="H1477" t="inlineStr">
        <is>
          <t>SERVIÇOS OFERECIDOS POR ENTIDADES AJUDAM REFUGIADOS E MIGRANTES EM MANAUS</t>
        </is>
      </c>
      <c r="I1477" t="inlineStr">
        <is>
          <t>EM BUSCA DE ESPERANÇA, REFUGIADOS E MIGRANTES ESTÃO PROCURANDO ATENDIMENTOS EM ENTIDADES. O DESEJO É RECOMEÇAR A VIDA LONGE DO PAÍS NATAL</t>
        </is>
      </c>
      <c r="J1477" t="inlineStr"/>
      <c r="K1477" t="n">
        <v>0</v>
      </c>
      <c r="L1477" t="n">
        <v>1</v>
      </c>
      <c r="M1477" t="n">
        <v>0</v>
      </c>
      <c r="N1477" t="n">
        <v>0</v>
      </c>
      <c r="O1477" t="n">
        <v>0</v>
      </c>
      <c r="P1477">
        <f>HYPERLINK("https://www.acritica.com/manaus/servicos-oferecidos-por-entidades-ajudam-refugiados-e-migrantes-em-manaus-1.69313", "URL")</f>
        <v/>
      </c>
      <c r="Q1477">
        <f>HYPERLINK("https://raw.githubusercontent.com/marcosmapl/dataset_imigrantes/main/materias_filtered/a_critica/venezuelanos/2019/05_jun/html/1.69313_74.html", "HTML")</f>
        <v/>
      </c>
      <c r="R1477">
        <f>HYPERLINK("https://raw.githubusercontent.com/marcosmapl/dataset_imigrantes/main/materias_filtered/a_critica/venezuelanos/2019/05_jun/txt/1.69313_74.txt", "TXT")</f>
        <v/>
      </c>
    </row>
    <row r="1478">
      <c r="A1478" s="1" t="n">
        <v>1476</v>
      </c>
      <c r="B1478" t="n">
        <v>2019</v>
      </c>
      <c r="C1478" s="2" t="n">
        <v>43637.0109649537</v>
      </c>
      <c r="D1478" t="inlineStr">
        <is>
          <t>G1</t>
        </is>
      </c>
      <c r="E1478" t="inlineStr">
        <is>
          <t>AMBOS</t>
        </is>
      </c>
      <c r="F1478" t="inlineStr">
        <is>
          <t>OESTE E SUDOESTE</t>
        </is>
      </c>
      <c r="G1478" t="inlineStr">
        <is>
          <t>RAPHAELA POTTER, RPC FOZ DO IGUAÇU</t>
        </is>
      </c>
      <c r="H1478" t="inlineStr">
        <is>
          <t>VENEZUELANOS ENCONTRAM EM FOZ DO IGUAÇU UMA CHANCE DE RECOMEÇAR</t>
        </is>
      </c>
      <c r="I1478" t="inlineStr">
        <is>
          <t>JUNTO COM OS HAITIANOS, OS VENEZUELANOS SÃO OS ESTRANGEIROS QUE MAIS BUSCAM REFÚGIO NO PARANÁ; CONHEÇA ALGUMAS HISTÓRIAS. DIA MUNDIAL DO REFUGIADO É CELEBRADO NESTA QUINTA-FEIRA (20).</t>
        </is>
      </c>
      <c r="J1478" t="inlineStr"/>
      <c r="K1478" t="n">
        <v>0</v>
      </c>
      <c r="L1478" t="n">
        <v>2</v>
      </c>
      <c r="M1478" t="n">
        <v>1</v>
      </c>
      <c r="N1478" t="n">
        <v>0</v>
      </c>
      <c r="O1478" t="n">
        <v>1</v>
      </c>
      <c r="P1478">
        <f>HYPERLINK("https://g1.globo.com/pr/oeste-sudoeste/noticia/2019/06/20/venezuelanos-encontram-em-foz-do-iguacu-uma-chance-de-recomecar.ghtml", "URL")</f>
        <v/>
      </c>
      <c r="Q1478">
        <f>HYPERLINK("https://raw.githubusercontent.com/marcosmapl/dataset_imigrantes/main/materias_filtered/g1/ambos/2019/05_jun/html/g1_c77accf8-230e-11ed-b24f-6dbe51e79fca_2756.html", "HTML")</f>
        <v/>
      </c>
      <c r="R1478">
        <f>HYPERLINK("https://raw.githubusercontent.com/marcosmapl/dataset_imigrantes/main/materias_filtered/g1/ambos/2019/05_jun/txt/g1_c77accf8-230e-11ed-b24f-6dbe51e79fca_2756.txt", "TXT")</f>
        <v/>
      </c>
    </row>
    <row r="1479">
      <c r="A1479" s="1" t="n">
        <v>1477</v>
      </c>
      <c r="B1479" t="n">
        <v>2019</v>
      </c>
      <c r="C1479" s="2" t="n">
        <v>43635.61585648148</v>
      </c>
      <c r="D1479" t="inlineStr">
        <is>
          <t>A CRITICA</t>
        </is>
      </c>
      <c r="E1479" t="inlineStr">
        <is>
          <t>VENEZUELANOS</t>
        </is>
      </c>
      <c r="F1479" t="inlineStr"/>
      <c r="G1479" t="inlineStr">
        <is>
          <t>REUTERS</t>
        </is>
      </c>
      <c r="H1479" t="inlineStr">
        <is>
          <t>71 MILHÕES DE PESSOAS MIGRARAM VÍTIMAS DE DESLOCAMENTOS FORÇADOS, DIZ ONU</t>
        </is>
      </c>
      <c r="I1479" t="inlineStr">
        <is>
          <t>O NÚMERO DOBROU NOS ÚLTIMOS 20 ANOS. CRISE ECONÔMICA, POLÍTICA E PERSEGUIÇÃO RELIGIOSA NOS PAÍSES DE ORIGEM ESTÁ POR TRÁS DO AUMENTO NO ÍNDICE</t>
        </is>
      </c>
      <c r="J1479" t="inlineStr"/>
      <c r="K1479" t="n">
        <v>0</v>
      </c>
      <c r="L1479" t="n">
        <v>1</v>
      </c>
      <c r="M1479" t="n">
        <v>0</v>
      </c>
      <c r="N1479" t="n">
        <v>0</v>
      </c>
      <c r="O1479" t="n">
        <v>0</v>
      </c>
      <c r="P1479">
        <f>HYPERLINK("https://www.acritica.com/71-milh-es-de-pessoas-migraram-vitimas-de-deslocamentos-forcados-diz-onu-1.69147", "URL")</f>
        <v/>
      </c>
      <c r="Q1479">
        <f>HYPERLINK("https://raw.githubusercontent.com/marcosmapl/dataset_imigrantes/main/materias_filtered/a_critica/venezuelanos/2019/05_jun/html/1.69147_962.html", "HTML")</f>
        <v/>
      </c>
      <c r="R1479">
        <f>HYPERLINK("https://raw.githubusercontent.com/marcosmapl/dataset_imigrantes/main/materias_filtered/a_critica/venezuelanos/2019/05_jun/txt/1.69147_962.txt", "TXT")</f>
        <v/>
      </c>
    </row>
    <row r="1480">
      <c r="A1480" s="1" t="n">
        <v>1478</v>
      </c>
      <c r="B1480" t="n">
        <v>2019</v>
      </c>
      <c r="C1480" s="2" t="n">
        <v>43634.8249074074</v>
      </c>
      <c r="D1480" t="inlineStr">
        <is>
          <t>A CRITICA</t>
        </is>
      </c>
      <c r="E1480" t="inlineStr">
        <is>
          <t>VENEZUELANOS</t>
        </is>
      </c>
      <c r="F1480" t="inlineStr">
        <is>
          <t>MANAUS</t>
        </is>
      </c>
      <c r="G1480" t="inlineStr">
        <is>
          <t>PORTAL A CRÍTICA</t>
        </is>
      </c>
      <c r="H1480" t="inlineStr">
        <is>
          <t>VENEZUELANOS EM MANAUS CONCLUEM OFICINA DE ORIENTAÇÃO PARA O MUNDO DO TRABALHO</t>
        </is>
      </c>
      <c r="I1480" t="inlineStr">
        <is>
          <t>A INICIATIVA DESENVOLVIDA EM PARCEIRA ENTRE DIVERSOS ÓRGÃOS TEVE O OBJETIVO DE OFERECER QUALIFICAÇÃO AOS REFUGIADOS VENEZUELANOS EM MANAUS</t>
        </is>
      </c>
      <c r="J1480" t="inlineStr"/>
      <c r="K1480" t="n">
        <v>0</v>
      </c>
      <c r="L1480" t="n">
        <v>1</v>
      </c>
      <c r="M1480" t="n">
        <v>0</v>
      </c>
      <c r="N1480" t="n">
        <v>0</v>
      </c>
      <c r="O1480" t="n">
        <v>0</v>
      </c>
      <c r="P1480">
        <f>HYPERLINK("https://www.acritica.com/manaus/venezuelanos-em-manaus-concluem-oficina-de-orientac-o-para-o-mundo-do-trabalho-1.68936", "URL")</f>
        <v/>
      </c>
      <c r="Q1480">
        <f>HYPERLINK("https://raw.githubusercontent.com/marcosmapl/dataset_imigrantes/main/materias_filtered/a_critica/venezuelanos/2019/05_jun/html/1.68936_1249.html", "HTML")</f>
        <v/>
      </c>
      <c r="R1480">
        <f>HYPERLINK("https://raw.githubusercontent.com/marcosmapl/dataset_imigrantes/main/materias_filtered/a_critica/venezuelanos/2019/05_jun/txt/1.68936_1249.txt", "TXT")</f>
        <v/>
      </c>
    </row>
    <row r="1481">
      <c r="A1481" s="1" t="n">
        <v>1479</v>
      </c>
      <c r="B1481" t="n">
        <v>2019</v>
      </c>
      <c r="C1481" s="2" t="n">
        <v>43634.61511961806</v>
      </c>
      <c r="D1481" t="inlineStr">
        <is>
          <t>G1</t>
        </is>
      </c>
      <c r="E1481" t="inlineStr">
        <is>
          <t>VENEZUELANOS</t>
        </is>
      </c>
      <c r="F1481" t="inlineStr">
        <is>
          <t>SANTARÉM E REGIÃO</t>
        </is>
      </c>
      <c r="G1481" t="inlineStr">
        <is>
          <t>G1 SANTARÉM — PARÁ</t>
        </is>
      </c>
      <c r="H1481" t="inlineStr">
        <is>
          <t>VENEZUELANOS GANHAM UM NOVO ESPAÇO PARA MORAR EM SANTARÉM</t>
        </is>
      </c>
      <c r="I1481" t="inlineStr">
        <is>
          <t>ELES DEIXARAM O ANTIGO PRÉDIO DE UMA ESCOLA E PASSAM A MORAR EM UMA CHÁCARA NO BAIRRO CAMBUQUIRA.</t>
        </is>
      </c>
      <c r="J1481" t="inlineStr"/>
      <c r="K1481" t="n">
        <v>0</v>
      </c>
      <c r="L1481" t="n">
        <v>1</v>
      </c>
      <c r="M1481" t="n">
        <v>0</v>
      </c>
      <c r="N1481" t="n">
        <v>0</v>
      </c>
      <c r="O1481" t="n">
        <v>0</v>
      </c>
      <c r="P1481">
        <f>HYPERLINK("https://g1.globo.com/pa/santarem-regiao/noticia/2019/06/18/venezuelanos-ganham-um-novo-espaco-para-morar-em-santarem.ghtml", "URL")</f>
        <v/>
      </c>
      <c r="Q1481">
        <f>HYPERLINK("https://raw.githubusercontent.com/marcosmapl/dataset_imigrantes/main/materias_filtered/g1/venezuelanos/2019/05_jun/html/g1_a825bdc8-2317-11ed-b24f-6dbe51e79fca_3222.html", "HTML")</f>
        <v/>
      </c>
      <c r="R1481">
        <f>HYPERLINK("https://raw.githubusercontent.com/marcosmapl/dataset_imigrantes/main/materias_filtered/g1/venezuelanos/2019/05_jun/txt/g1_a825bdc8-2317-11ed-b24f-6dbe51e79fca_3222.txt", "TXT")</f>
        <v/>
      </c>
    </row>
    <row r="1482">
      <c r="A1482" s="1" t="n">
        <v>1480</v>
      </c>
      <c r="B1482" t="n">
        <v>2019</v>
      </c>
      <c r="C1482" s="2" t="n">
        <v>43633.92798611111</v>
      </c>
      <c r="D1482" t="inlineStr">
        <is>
          <t>A CRITICA</t>
        </is>
      </c>
      <c r="E1482" t="inlineStr">
        <is>
          <t>VENEZUELANOS</t>
        </is>
      </c>
      <c r="F1482" t="inlineStr"/>
      <c r="G1482" t="inlineStr">
        <is>
          <t>AGÊNCIA BRASIL</t>
        </is>
      </c>
      <c r="H1482" t="inlineStr">
        <is>
          <t>GOVERNO E ONU LANÇAM CARTILHA COM ORIENTAÇÕES A VENEZUELANOS NO BRASIL</t>
        </is>
      </c>
      <c r="I1482" t="inlineStr">
        <is>
          <t>O OBJETIVO DA CARTILHA É FACILITAR A ADAPTAÇÃO DE MILHARES DE VENEZUELANOS QUE VÊM CRUZANDO A FRONTEIRA EM RAZÃO DA SITUAÇÃO POLÍTICA E ECONÔMICA DO PAÍS VIZINHO</t>
        </is>
      </c>
      <c r="J1482" t="inlineStr"/>
      <c r="K1482" t="n">
        <v>0</v>
      </c>
      <c r="L1482" t="n">
        <v>1</v>
      </c>
      <c r="M1482" t="n">
        <v>0</v>
      </c>
      <c r="N1482" t="n">
        <v>0</v>
      </c>
      <c r="O1482" t="n">
        <v>0</v>
      </c>
      <c r="P1482">
        <f>HYPERLINK("https://www.acritica.com/governo-e-onu-lancam-cartilha-com-orientac-es-a-venezuelanos-no-brasil-1.68986", "URL")</f>
        <v/>
      </c>
      <c r="Q1482">
        <f>HYPERLINK("https://raw.githubusercontent.com/marcosmapl/dataset_imigrantes/main/materias_filtered/a_critica/venezuelanos/2019/05_jun/html/1.68986_757.html", "HTML")</f>
        <v/>
      </c>
      <c r="R1482">
        <f>HYPERLINK("https://raw.githubusercontent.com/marcosmapl/dataset_imigrantes/main/materias_filtered/a_critica/venezuelanos/2019/05_jun/txt/1.68986_757.txt", "TXT")</f>
        <v/>
      </c>
    </row>
    <row r="1483">
      <c r="A1483" s="1" t="n">
        <v>1481</v>
      </c>
      <c r="B1483" t="n">
        <v>2019</v>
      </c>
      <c r="C1483" s="2" t="n">
        <v>43632.74375</v>
      </c>
      <c r="D1483" t="inlineStr">
        <is>
          <t>A CRITICA</t>
        </is>
      </c>
      <c r="E1483" t="inlineStr">
        <is>
          <t>VENEZUELANOS</t>
        </is>
      </c>
      <c r="F1483" t="inlineStr">
        <is>
          <t>MANAUS</t>
        </is>
      </c>
      <c r="G1483" t="inlineStr">
        <is>
          <t>IZABEL GUEDES</t>
        </is>
      </c>
      <c r="H1483" t="inlineStr">
        <is>
          <t>'REFUGIADOS': VENEZUELANOS RELATAM DIA A DIA NA ÁREA PRÓXIMA DA RODOVIÁRIA</t>
        </is>
      </c>
      <c r="I1483" t="inlineStr">
        <is>
          <t>LOCAL NO CORAÇÃO DE MANAUS ESTÁ OCUPADA POR CENTENAS DE VENEZUELANOS, QUE LÁ VIVEM DE FORMA PRECÁRIA</t>
        </is>
      </c>
      <c r="J1483" t="inlineStr"/>
      <c r="K1483" t="n">
        <v>0</v>
      </c>
      <c r="L1483" t="n">
        <v>1</v>
      </c>
      <c r="M1483" t="n">
        <v>0</v>
      </c>
      <c r="N1483" t="n">
        <v>0</v>
      </c>
      <c r="O1483" t="n">
        <v>0</v>
      </c>
      <c r="P1483">
        <f>HYPERLINK("https://www.acritica.com/manaus/refugiados-venezuelanos-relatam-dia-a-dia-na-area-proxima-da-rodoviaria-1.68805", "URL")</f>
        <v/>
      </c>
      <c r="Q1483">
        <f>HYPERLINK("https://raw.githubusercontent.com/marcosmapl/dataset_imigrantes/main/materias_filtered/a_critica/venezuelanos/2019/05_jun/html/1.68805_1353.html", "HTML")</f>
        <v/>
      </c>
      <c r="R1483">
        <f>HYPERLINK("https://raw.githubusercontent.com/marcosmapl/dataset_imigrantes/main/materias_filtered/a_critica/venezuelanos/2019/05_jun/txt/1.68805_1353.txt", "TXT")</f>
        <v/>
      </c>
    </row>
    <row r="1484">
      <c r="A1484" s="1" t="n">
        <v>1482</v>
      </c>
      <c r="B1484" t="n">
        <v>2019</v>
      </c>
      <c r="C1484" s="2" t="n">
        <v>43632.66596731482</v>
      </c>
      <c r="D1484" t="inlineStr">
        <is>
          <t>G1</t>
        </is>
      </c>
      <c r="E1484" t="inlineStr">
        <is>
          <t>VENEZUELANOS</t>
        </is>
      </c>
      <c r="F1484" t="inlineStr">
        <is>
          <t>MUNDO</t>
        </is>
      </c>
      <c r="G1484" t="inlineStr">
        <is>
          <t>BBC</t>
        </is>
      </c>
      <c r="H1484" t="inlineStr">
        <is>
          <t>O DRAMA DE MILHARES DE BEBÊS SEM NACIONALIDADE FILHOS DE PAIS VENEZUELANOS</t>
        </is>
      </c>
      <c r="I1484" t="inlineStr">
        <is>
          <t>CERCA DE 20 MIL BEBÊS NASCIDOS NA COLÔMBIA DE PAIS VENEZUELANOS NÃO TÊM NENHUMA DAS DUAS NACIONALIDADES. ORGANIZAÇÕES INTERNACIONAIS APONTAM A SERIEDADE DO 'LIMBO JURÍDICO' EM QUE ESSES MENORES SE ENCONTRAM.</t>
        </is>
      </c>
      <c r="J1484" t="inlineStr"/>
      <c r="K1484" t="n">
        <v>0</v>
      </c>
      <c r="L1484" t="n">
        <v>2</v>
      </c>
      <c r="M1484" t="n">
        <v>0</v>
      </c>
      <c r="N1484" t="n">
        <v>0</v>
      </c>
      <c r="O1484" t="n">
        <v>0</v>
      </c>
      <c r="P1484">
        <f>HYPERLINK("https://g1.globo.com/mundo/noticia/2019/06/16/o-drama-de-milhares-de-bebes-sem-nacionalidade-filhos-de-pais-venezuelanos.ghtml", "URL")</f>
        <v/>
      </c>
      <c r="Q1484">
        <f>HYPERLINK("https://raw.githubusercontent.com/marcosmapl/dataset_imigrantes/main/materias_filtered/g1/venezuelanos/2019/05_jun/html/g1_12f2656a-2328-11ed-b24f-6dbe51e79fca_4063.html", "HTML")</f>
        <v/>
      </c>
      <c r="R1484">
        <f>HYPERLINK("https://raw.githubusercontent.com/marcosmapl/dataset_imigrantes/main/materias_filtered/g1/venezuelanos/2019/05_jun/txt/g1_12f2656a-2328-11ed-b24f-6dbe51e79fca_4063.txt", "TXT")</f>
        <v/>
      </c>
    </row>
    <row r="1485">
      <c r="A1485" s="1" t="n">
        <v>1483</v>
      </c>
      <c r="B1485" t="n">
        <v>2019</v>
      </c>
      <c r="C1485" s="2" t="n">
        <v>43632.66308726852</v>
      </c>
      <c r="D1485" t="inlineStr">
        <is>
          <t>G1</t>
        </is>
      </c>
      <c r="E1485" t="inlineStr">
        <is>
          <t>VENEZUELANOS</t>
        </is>
      </c>
      <c r="F1485" t="inlineStr">
        <is>
          <t>MUNDO</t>
        </is>
      </c>
      <c r="G1485" t="inlineStr">
        <is>
          <t>BORIS MIRANDA, BBC — COLÔMBIA</t>
        </is>
      </c>
      <c r="H1485" t="inlineStr">
        <is>
          <t>O DRAMA DOS MILHARES DE BEBÊS SEM NACIONALIDADE FILHOS DE PAIS VENEZUELANOS</t>
        </is>
      </c>
      <c r="I1485" t="inlineStr">
        <is>
          <t>CERCA DE 20.000 BEBÊS NASCIDOS NA COLÔMBIA DE PAIS VENEZUELANOS NÃO TÊM NENHUMA DAS DUAS NACIONALIDADES. ORGANIZAÇÕES INTERNACIONAIS APONTAM A SERIEDADE DO "LIMBO JURÍDICO" EM QUE ESSES MENORES SE ENCONTRAM.</t>
        </is>
      </c>
      <c r="J1485" t="inlineStr"/>
      <c r="K1485" t="n">
        <v>0</v>
      </c>
      <c r="L1485" t="n">
        <v>2</v>
      </c>
      <c r="M1485" t="n">
        <v>0</v>
      </c>
      <c r="N1485" t="n">
        <v>0</v>
      </c>
      <c r="O1485" t="n">
        <v>0</v>
      </c>
      <c r="P1485">
        <f>HYPERLINK("https://g1.globo.com/mundo/noticia/2019/06/16/o-drama-dos-milhares-de-bebes-sem-nacionalidade-filhos-de-pais-venezuelanos.ghtml", "URL")</f>
        <v/>
      </c>
      <c r="Q1485">
        <f>HYPERLINK("https://raw.githubusercontent.com/marcosmapl/dataset_imigrantes/main/materias_filtered/g1/venezuelanos/2019/05_jun/html/g1_34f180c4-2314-11ed-b24f-6dbe51e79fca_3052.html", "HTML")</f>
        <v/>
      </c>
      <c r="R1485">
        <f>HYPERLINK("https://raw.githubusercontent.com/marcosmapl/dataset_imigrantes/main/materias_filtered/g1/venezuelanos/2019/05_jun/txt/g1_34f180c4-2314-11ed-b24f-6dbe51e79fca_3052.txt", "TXT")</f>
        <v/>
      </c>
    </row>
    <row r="1486">
      <c r="A1486" s="1" t="n">
        <v>1484</v>
      </c>
      <c r="B1486" t="n">
        <v>2019</v>
      </c>
      <c r="C1486" s="2" t="n">
        <v>43631.01163050926</v>
      </c>
      <c r="D1486" t="inlineStr">
        <is>
          <t>G1</t>
        </is>
      </c>
      <c r="E1486" t="inlineStr">
        <is>
          <t>HAITIANOS</t>
        </is>
      </c>
      <c r="F1486" t="inlineStr">
        <is>
          <t>RORAIMA</t>
        </is>
      </c>
      <c r="G1486" t="inlineStr">
        <is>
          <t>G1 RR — BOA VISTA</t>
        </is>
      </c>
      <c r="H1486" t="inlineStr">
        <is>
          <t>BEBÊ NASCE EM AMBULÂNCIA DOS BOMBEIROS A CAMINHO DE MATERNIDADE EM BOA  VISTA</t>
        </is>
      </c>
      <c r="I1486" t="inlineStr">
        <is>
          <t>NO TRAJETO À MATERNIDADE, JOVEM SENTIU FORTES CONTRAÇÕES, BOMBEIROS PARARAM A AMBULÂNCIA E BEBÊ NASCEU APÓS 25 MINUTOS DE TRABALHO DE PARTO.</t>
        </is>
      </c>
      <c r="J1486" t="inlineStr"/>
      <c r="K1486" t="n">
        <v>0</v>
      </c>
      <c r="L1486" t="n">
        <v>1</v>
      </c>
      <c r="M1486" t="n">
        <v>0</v>
      </c>
      <c r="N1486" t="n">
        <v>0</v>
      </c>
      <c r="O1486" t="n">
        <v>0</v>
      </c>
      <c r="P1486">
        <f>HYPERLINK("https://g1.globo.com/rr/roraima/noticia/2019/06/14/bebe-nasce-em-ambulancia-dos-bombeiros-a-caminho-de-maternidade-em-boa-vista.ghtml", "URL")</f>
        <v/>
      </c>
      <c r="Q1486">
        <f>HYPERLINK("https://raw.githubusercontent.com/marcosmapl/dataset_imigrantes/main/materias_filtered/g1/haitianos/2019/05_jun/html/g1_22405fdc-232c-11ed-b24f-6dbe51e79fca_4287.html", "HTML")</f>
        <v/>
      </c>
      <c r="R1486">
        <f>HYPERLINK("https://raw.githubusercontent.com/marcosmapl/dataset_imigrantes/main/materias_filtered/g1/haitianos/2019/05_jun/txt/g1_22405fdc-232c-11ed-b24f-6dbe51e79fca_4287.txt", "TXT")</f>
        <v/>
      </c>
    </row>
    <row r="1487">
      <c r="A1487" s="1" t="n">
        <v>1485</v>
      </c>
      <c r="B1487" t="n">
        <v>2019</v>
      </c>
      <c r="C1487" s="2" t="n">
        <v>43630.61875</v>
      </c>
      <c r="D1487" t="inlineStr">
        <is>
          <t>PORTAL AMAZONIA</t>
        </is>
      </c>
      <c r="E1487" t="inlineStr">
        <is>
          <t>VENEZUELANOS</t>
        </is>
      </c>
      <c r="F1487" t="inlineStr">
        <is>
          <t>CIDADES</t>
        </is>
      </c>
      <c r="G1487" t="inlineStr">
        <is>
          <t>REDAÇÃO</t>
        </is>
      </c>
      <c r="H1487" t="inlineStr">
        <is>
          <t>EM BELÉM, ÔNIBUS VOLTAM A CIRCULAR, MAS MANIFESTANTES EM PROL DA GREVE GERAL CONTINUAM OS PROTESTOS</t>
        </is>
      </c>
      <c r="I1487" t="inlineStr">
        <is>
          <t>DESDE AS PRIMEIRAS HORAS DESTA SEXTA-FEIRA (14), VÁRIOS GRUPOS SOCIAIS REALIZAM PROTESTOS EM BELÉM E REGIÃO METROPOLITANA. A AVENIDA ALMIRANTE BARROSO FOI BLOQUEADA EM ALGUNS PONTOS, DURANTE TODA A MANHÃ, E AGORA NO INÍCIO DA TARDE, MANIFESTANTES EST</t>
        </is>
      </c>
      <c r="J1487" t="inlineStr">
        <is>
          <t>ALMIRANTE BARROSO INTERDITADA GREVE GERAL, BELÉM, GREVE GERAL 14 JUNHO, PARÃ¡</t>
        </is>
      </c>
      <c r="K1487" t="n">
        <v>4</v>
      </c>
      <c r="L1487" t="n">
        <v>2</v>
      </c>
      <c r="M1487" t="n">
        <v>0</v>
      </c>
      <c r="N1487" t="n">
        <v>0</v>
      </c>
      <c r="O1487" t="n">
        <v>9</v>
      </c>
      <c r="P1487">
        <f>HYPERLINK("https://portalamazonia.com/noticias/cidades/em-belem-onibus-voltam-a-circular-mas-manifestantes-em-prol-da-greve-geral-continuam-os-protestos", "URL")</f>
        <v/>
      </c>
      <c r="Q1487">
        <f>HYPERLINK("https://raw.githubusercontent.com/marcosmapl/dataset_imigrantes/main/materias_filtered/portal_amazonia/venezuelanos/2019/05_jun/html/22472.22472_1585.html", "HTML")</f>
        <v/>
      </c>
      <c r="R1487">
        <f>HYPERLINK("https://raw.githubusercontent.com/marcosmapl/dataset_imigrantes/main/materias_filtered/portal_amazonia/venezuelanos/2019/05_jun/txt/22472.22472_1585.txt", "TXT")</f>
        <v/>
      </c>
    </row>
    <row r="1488">
      <c r="A1488" s="1" t="n">
        <v>1486</v>
      </c>
      <c r="B1488" t="n">
        <v>2019</v>
      </c>
      <c r="C1488" s="2" t="n">
        <v>43628.885625</v>
      </c>
      <c r="D1488" t="inlineStr">
        <is>
          <t>A CRITICA</t>
        </is>
      </c>
      <c r="E1488" t="inlineStr">
        <is>
          <t>HAITIANOS</t>
        </is>
      </c>
      <c r="F1488" t="inlineStr">
        <is>
          <t>MANAUS</t>
        </is>
      </c>
      <c r="G1488" t="inlineStr">
        <is>
          <t>MARCOS LIMA</t>
        </is>
      </c>
      <c r="H1488" t="inlineStr">
        <is>
          <t>HAITIANO QUE MATOU ESPOSA LEVA TRÊS TIROS APÓS ATACAR POLICIAL EM DELEGACIA DE MANAUS</t>
        </is>
      </c>
      <c r="I1488" t="inlineStr">
        <is>
          <t>JEAN DIUENE GEDEON TENTOU TOMAR A ARMA DO POLICIAL CIVIL QUE IRIA LEVÁ-LO PARA AUDIÊNCIA DE CUSTÓDIA E O AGREDIU COM UM PEDAÇO DE MADEIRA</t>
        </is>
      </c>
      <c r="J1488" t="inlineStr"/>
      <c r="K1488" t="n">
        <v>0</v>
      </c>
      <c r="L1488" t="n">
        <v>1</v>
      </c>
      <c r="M1488" t="n">
        <v>0</v>
      </c>
      <c r="N1488" t="n">
        <v>0</v>
      </c>
      <c r="O1488" t="n">
        <v>1</v>
      </c>
      <c r="P1488">
        <f>HYPERLINK("https://www.acritica.com/manaus/haitiano-que-matou-esposa-leva-tres-tiros-apos-atacar-policial-em-delegacia-de-manaus-1.68782", "URL")</f>
        <v/>
      </c>
      <c r="Q1488">
        <f>HYPERLINK("https://raw.githubusercontent.com/marcosmapl/dataset_imigrantes/main/materias_filtered/a_critica/haitianos/2019/05_jun/html/1.68782_1301.html", "HTML")</f>
        <v/>
      </c>
      <c r="R1488">
        <f>HYPERLINK("https://raw.githubusercontent.com/marcosmapl/dataset_imigrantes/main/materias_filtered/a_critica/haitianos/2019/05_jun/txt/1.68782_1301.txt", "TXT")</f>
        <v/>
      </c>
    </row>
    <row r="1489">
      <c r="A1489" s="1" t="n">
        <v>1487</v>
      </c>
      <c r="B1489" t="n">
        <v>2019</v>
      </c>
      <c r="C1489" s="2" t="n">
        <v>43627.95694444444</v>
      </c>
      <c r="D1489" t="inlineStr">
        <is>
          <t>A CRITICA</t>
        </is>
      </c>
      <c r="E1489" t="inlineStr">
        <is>
          <t>HAITIANOS</t>
        </is>
      </c>
      <c r="F1489" t="inlineStr">
        <is>
          <t>MANAUS</t>
        </is>
      </c>
      <c r="G1489" t="inlineStr">
        <is>
          <t>MARCOS LIMA</t>
        </is>
      </c>
      <c r="H1489" t="inlineStr">
        <is>
          <t>HAITIANO MATA ESPOSA ASFIXIADA EM MANAUS E É PRESO QUANDO SE PREPARAVA PARA FUGA</t>
        </is>
      </c>
      <c r="I1489" t="inlineStr">
        <is>
          <t>CRIME FOI MOTIVADO POR CIÚMES. HOMEM DEIXOU FILHA DO CASAL, DE 9 MESES, EM MATERNIDADE NA ZONA NORTE</t>
        </is>
      </c>
      <c r="J1489" t="inlineStr"/>
      <c r="K1489" t="n">
        <v>0</v>
      </c>
      <c r="L1489" t="n">
        <v>1</v>
      </c>
      <c r="M1489" t="n">
        <v>0</v>
      </c>
      <c r="N1489" t="n">
        <v>0</v>
      </c>
      <c r="O1489" t="n">
        <v>0</v>
      </c>
      <c r="P1489">
        <f>HYPERLINK("https://www.acritica.com/manaus/haitiano-mata-esposa-asfixiada-em-manaus-e-e-preso-quando-se-preparava-para-fuga-1.68597", "URL")</f>
        <v/>
      </c>
      <c r="Q1489">
        <f>HYPERLINK("https://raw.githubusercontent.com/marcosmapl/dataset_imigrantes/main/materias_filtered/a_critica/haitianos/2019/05_jun/html/1.68597_942.html", "HTML")</f>
        <v/>
      </c>
      <c r="R1489">
        <f>HYPERLINK("https://raw.githubusercontent.com/marcosmapl/dataset_imigrantes/main/materias_filtered/a_critica/haitianos/2019/05_jun/txt/1.68597_942.txt", "TXT")</f>
        <v/>
      </c>
    </row>
    <row r="1490">
      <c r="A1490" s="1" t="n">
        <v>1488</v>
      </c>
      <c r="B1490" t="n">
        <v>2019</v>
      </c>
      <c r="C1490" s="2" t="n">
        <v>43627.75469989584</v>
      </c>
      <c r="D1490" t="inlineStr">
        <is>
          <t>G1</t>
        </is>
      </c>
      <c r="E1490" t="inlineStr">
        <is>
          <t>HAITIANOS</t>
        </is>
      </c>
      <c r="F1490" t="inlineStr">
        <is>
          <t>AMAZONAS</t>
        </is>
      </c>
      <c r="G1490" t="inlineStr">
        <is>
          <t>G1 AM</t>
        </is>
      </c>
      <c r="H1490" t="inlineStr">
        <is>
          <t>MULHER É ENCONTRADA MORTA DENTRO DE APARTAMENTO EM MANAUS; MARIDO É SUSPEITO</t>
        </is>
      </c>
      <c r="I1490" t="inlineStr">
        <is>
          <t>HOMEM FOI ENCONTRADO NA BARREIRA DA AM 10. A POLICIA ACREDITA QUE ESTARIA TENTANDO FUGIR.</t>
        </is>
      </c>
      <c r="J1490" t="inlineStr"/>
      <c r="K1490" t="n">
        <v>0</v>
      </c>
      <c r="L1490" t="n">
        <v>1</v>
      </c>
      <c r="M1490" t="n">
        <v>0</v>
      </c>
      <c r="N1490" t="n">
        <v>0</v>
      </c>
      <c r="O1490" t="n">
        <v>0</v>
      </c>
      <c r="P1490">
        <f>HYPERLINK("https://g1.globo.com/am/amazonas/noticia/2019/06/11/mulher-e-encontrada-morta-dentro-de-apartamento-em-manaus-marido-e-suspeito.ghtml", "URL")</f>
        <v/>
      </c>
      <c r="Q1490">
        <f>HYPERLINK("https://raw.githubusercontent.com/marcosmapl/dataset_imigrantes/main/materias_filtered/g1/haitianos/2019/05_jun/html/g1_7d47257c-22ec-11ed-b24f-6dbe51e79fca_1658.html", "HTML")</f>
        <v/>
      </c>
      <c r="R1490">
        <f>HYPERLINK("https://raw.githubusercontent.com/marcosmapl/dataset_imigrantes/main/materias_filtered/g1/haitianos/2019/05_jun/txt/g1_7d47257c-22ec-11ed-b24f-6dbe51e79fca_1658.txt", "TXT")</f>
        <v/>
      </c>
    </row>
    <row r="1491">
      <c r="A1491" s="1" t="n">
        <v>1489</v>
      </c>
      <c r="B1491" t="n">
        <v>2019</v>
      </c>
      <c r="C1491" s="2" t="n">
        <v>43627.73520261574</v>
      </c>
      <c r="D1491" t="inlineStr">
        <is>
          <t>G1</t>
        </is>
      </c>
      <c r="E1491" t="inlineStr">
        <is>
          <t>VENEZUELANOS</t>
        </is>
      </c>
      <c r="F1491" t="inlineStr">
        <is>
          <t>ECONOMIA</t>
        </is>
      </c>
      <c r="G1491" t="inlineStr">
        <is>
          <t>FRANCE PRESSE</t>
        </is>
      </c>
      <c r="H1491" t="inlineStr">
        <is>
          <t>96% DAS EMPRESAS VENEZUELANAS PARALISARAM OU REDUZIRAM PRODUÇÃO, DIZ PESQUISA</t>
        </is>
      </c>
      <c r="I1491" t="inlineStr">
        <is>
          <t>EMPRESAS ATIVAS OPERAM, EM MÉDIA, COM ALGO EM TORNO DE 18% DE SUA CAPACIDADE.</t>
        </is>
      </c>
      <c r="J1491" t="inlineStr"/>
      <c r="K1491" t="n">
        <v>0</v>
      </c>
      <c r="L1491" t="n">
        <v>1</v>
      </c>
      <c r="M1491" t="n">
        <v>0</v>
      </c>
      <c r="N1491" t="n">
        <v>0</v>
      </c>
      <c r="O1491" t="n">
        <v>3</v>
      </c>
      <c r="P1491">
        <f>HYPERLINK("https://g1.globo.com/economia/noticia/2019/06/11/96percent-das-empresas-venezuelanas-paralisaram-ou-reduziram-producao-diz-pesquisa.ghtml", "URL")</f>
        <v/>
      </c>
      <c r="Q1491">
        <f>HYPERLINK("https://raw.githubusercontent.com/marcosmapl/dataset_imigrantes/main/materias_filtered/g1/venezuelanos/2019/05_jun/html/g1_f77d3c30-2311-11ed-b24f-6dbe51e79fca_2943.html", "HTML")</f>
        <v/>
      </c>
      <c r="R1491">
        <f>HYPERLINK("https://raw.githubusercontent.com/marcosmapl/dataset_imigrantes/main/materias_filtered/g1/venezuelanos/2019/05_jun/txt/g1_f77d3c30-2311-11ed-b24f-6dbe51e79fca_2943.txt", "TXT")</f>
        <v/>
      </c>
    </row>
    <row r="1492">
      <c r="A1492" s="1" t="n">
        <v>1490</v>
      </c>
      <c r="B1492" t="n">
        <v>2019</v>
      </c>
      <c r="C1492" s="2" t="n">
        <v>43626.74596064815</v>
      </c>
      <c r="D1492" t="inlineStr">
        <is>
          <t>A CRITICA</t>
        </is>
      </c>
      <c r="E1492" t="inlineStr">
        <is>
          <t>VENEZUELANOS</t>
        </is>
      </c>
      <c r="F1492" t="inlineStr">
        <is>
          <t>ENTRETENIMENTO</t>
        </is>
      </c>
      <c r="G1492" t="inlineStr">
        <is>
          <t>PORTAL A CRÍTICA</t>
        </is>
      </c>
      <c r="H1492" t="inlineStr">
        <is>
          <t>TEATRO AMAZONAS RECEBE ESPETÁCULO 'MIQUÉIAS WILLIAM IN CONCERT'</t>
        </is>
      </c>
      <c r="I1492" t="inlineStr">
        <is>
          <t>SUCESSOS ROMÂNTICOS MUSICAIS COMO “CON TE PARTIRÓ”, “VIVO PER LEI”, “BABY CAN I HOLD YOU”, “PER AMORE”, DENTRE OUTRAS CANÇÕES SERÃO APRESENTADAS EM SOLOS E DUETOS DURANTE O ESPETÁCULO</t>
        </is>
      </c>
      <c r="J1492" t="inlineStr"/>
      <c r="K1492" t="n">
        <v>0</v>
      </c>
      <c r="L1492" t="n">
        <v>1</v>
      </c>
      <c r="M1492" t="n">
        <v>0</v>
      </c>
      <c r="N1492" t="n">
        <v>0</v>
      </c>
      <c r="O1492" t="n">
        <v>0</v>
      </c>
      <c r="P1492">
        <f>HYPERLINK("https://www.acritica.com/entretenimento/teatro-amazonas-recebe-espetaculo-miqueias-william-in-concert-1.68448", "URL")</f>
        <v/>
      </c>
      <c r="Q1492">
        <f>HYPERLINK("https://raw.githubusercontent.com/marcosmapl/dataset_imigrantes/main/materias_filtered/a_critica/venezuelanos/2019/05_jun/html/1.68448_130.html", "HTML")</f>
        <v/>
      </c>
      <c r="R1492">
        <f>HYPERLINK("https://raw.githubusercontent.com/marcosmapl/dataset_imigrantes/main/materias_filtered/a_critica/venezuelanos/2019/05_jun/txt/1.68448_130.txt", "TXT")</f>
        <v/>
      </c>
    </row>
    <row r="1493">
      <c r="A1493" s="1" t="n">
        <v>1491</v>
      </c>
      <c r="B1493" t="n">
        <v>2019</v>
      </c>
      <c r="C1493" s="2" t="n">
        <v>43626.73702112269</v>
      </c>
      <c r="D1493" t="inlineStr">
        <is>
          <t>G1</t>
        </is>
      </c>
      <c r="E1493" t="inlineStr">
        <is>
          <t>HAITIANOS</t>
        </is>
      </c>
      <c r="F1493" t="inlineStr">
        <is>
          <t>SANTA CATARINA</t>
        </is>
      </c>
      <c r="G1493" t="inlineStr">
        <is>
          <t>NSC TV</t>
        </is>
      </c>
      <c r="H1493" t="inlineStr">
        <is>
          <t>'NÃO MERECIA ISSO', DIZ IRMÃ DE HAITIANO MORTO APÓS SER EMPURRADO E ATROPELADO EM RODOVIA EM SC</t>
        </is>
      </c>
      <c r="I1493" t="inlineStr">
        <is>
          <t>POLÍCIA CIVIL INVESTIGA O CASO COMO ASSASSINATO. IMAGENS DE CÂMERAS DE SEGURANÇA MOSTRAM O CRIME.</t>
        </is>
      </c>
      <c r="J1493" t="inlineStr"/>
      <c r="K1493" t="n">
        <v>0</v>
      </c>
      <c r="L1493" t="n">
        <v>2</v>
      </c>
      <c r="M1493" t="n">
        <v>1</v>
      </c>
      <c r="N1493" t="n">
        <v>0</v>
      </c>
      <c r="O1493" t="n">
        <v>3</v>
      </c>
      <c r="P1493">
        <f>HYPERLINK("https://g1.globo.com/sc/santa-catarina/noticia/2019/06/10/nao-merecia-isso-diz-irma-de-haitiano-morto-apos-ser-empurrado-e-atropelado-em-rodovia-em-sc.ghtml", "URL")</f>
        <v/>
      </c>
      <c r="Q1493">
        <f>HYPERLINK("https://raw.githubusercontent.com/marcosmapl/dataset_imigrantes/main/materias_filtered/g1/haitianos/2019/05_jun/html/g1_3b35c5a0-22f4-11ed-b24f-6dbe51e79fca_1879.html", "HTML")</f>
        <v/>
      </c>
      <c r="R1493">
        <f>HYPERLINK("https://raw.githubusercontent.com/marcosmapl/dataset_imigrantes/main/materias_filtered/g1/haitianos/2019/05_jun/txt/g1_3b35c5a0-22f4-11ed-b24f-6dbe51e79fca_1879.txt", "TXT")</f>
        <v/>
      </c>
    </row>
    <row r="1494">
      <c r="A1494" s="1" t="n">
        <v>1492</v>
      </c>
      <c r="B1494" t="n">
        <v>2019</v>
      </c>
      <c r="C1494" s="2" t="n">
        <v>43626.55543981482</v>
      </c>
      <c r="D1494" t="inlineStr">
        <is>
          <t>A CRITICA</t>
        </is>
      </c>
      <c r="E1494" t="inlineStr">
        <is>
          <t>VENEZUELANOS</t>
        </is>
      </c>
      <c r="F1494" t="inlineStr"/>
      <c r="G1494" t="inlineStr">
        <is>
          <t>REUTERS</t>
        </is>
      </c>
      <c r="H1494" t="inlineStr">
        <is>
          <t>ANGELINA JOLIE PEDE APOIO INTERNACIONAL ÀS CRIANÇAS VENEZUELANAS</t>
        </is>
      </c>
      <c r="I1494" t="inlineStr">
        <is>
          <t>20 MIL CRIANÇAS VENEZUELANAS ESTÃO EM RISCO DE FICAR SEM DIREITOS BÁSICOS DE CIDADANIA. A ATRIZ FALOU NA COLÔMBIA COMO ENVIADA ESPECIAL DO ACNUR</t>
        </is>
      </c>
      <c r="J1494" t="inlineStr"/>
      <c r="K1494" t="n">
        <v>0</v>
      </c>
      <c r="L1494" t="n">
        <v>1</v>
      </c>
      <c r="M1494" t="n">
        <v>0</v>
      </c>
      <c r="N1494" t="n">
        <v>0</v>
      </c>
      <c r="O1494" t="n">
        <v>0</v>
      </c>
      <c r="P1494">
        <f>HYPERLINK("https://www.acritica.com/angelina-jolie-pede-apoio-internacional-as-criancas-venezuelanas-1.68474", "URL")</f>
        <v/>
      </c>
      <c r="Q1494">
        <f>HYPERLINK("https://raw.githubusercontent.com/marcosmapl/dataset_imigrantes/main/materias_filtered/a_critica/venezuelanos/2019/05_jun/html/1.68474_1167.html", "HTML")</f>
        <v/>
      </c>
      <c r="R1494">
        <f>HYPERLINK("https://raw.githubusercontent.com/marcosmapl/dataset_imigrantes/main/materias_filtered/a_critica/venezuelanos/2019/05_jun/txt/1.68474_1167.txt", "TXT")</f>
        <v/>
      </c>
    </row>
    <row r="1495">
      <c r="A1495" s="1" t="n">
        <v>1493</v>
      </c>
      <c r="B1495" t="n">
        <v>2019</v>
      </c>
      <c r="C1495" s="2" t="n">
        <v>43623.91595234954</v>
      </c>
      <c r="D1495" t="inlineStr">
        <is>
          <t>G1</t>
        </is>
      </c>
      <c r="E1495" t="inlineStr">
        <is>
          <t>HAITIANOS</t>
        </is>
      </c>
      <c r="F1495" t="inlineStr">
        <is>
          <t>SANTA CATARINA</t>
        </is>
      </c>
      <c r="G1495" t="inlineStr">
        <is>
          <t>G1 SC</t>
        </is>
      </c>
      <c r="H1495" t="inlineStr">
        <is>
          <t>POLÍCIA INVESTIGA MORTE DE HAITIANO ATROPELADO APÓS SER EMPURRADO PARA A BR-101 EM SC</t>
        </is>
      </c>
      <c r="I1495" t="inlineStr">
        <is>
          <t>DELEGACIA DE INVESTIGAÇÃO CRIMINAL DE SÃO JOSÉ ANALISA IMAGENS DE CÂMERA DE SEGURANÇA. KERBY TINGE TINHA 32 ANOS.</t>
        </is>
      </c>
      <c r="J1495" t="inlineStr"/>
      <c r="K1495" t="n">
        <v>0</v>
      </c>
      <c r="L1495" t="n">
        <v>2</v>
      </c>
      <c r="M1495" t="n">
        <v>1</v>
      </c>
      <c r="N1495" t="n">
        <v>0</v>
      </c>
      <c r="O1495" t="n">
        <v>2</v>
      </c>
      <c r="P1495">
        <f>HYPERLINK("https://g1.globo.com/sc/santa-catarina/noticia/2019/06/07/policia-investiga-morte-de-haitiano-atropelado-apos-ser-empurrado-para-a-br-101-em-sc.ghtml", "URL")</f>
        <v/>
      </c>
      <c r="Q1495">
        <f>HYPERLINK("https://raw.githubusercontent.com/marcosmapl/dataset_imigrantes/main/materias_filtered/g1/haitianos/2019/05_jun/html/g1_834944d2-22f6-11ed-b24f-6dbe51e79fca_2018.html", "HTML")</f>
        <v/>
      </c>
      <c r="R1495">
        <f>HYPERLINK("https://raw.githubusercontent.com/marcosmapl/dataset_imigrantes/main/materias_filtered/g1/haitianos/2019/05_jun/txt/g1_834944d2-22f6-11ed-b24f-6dbe51e79fca_2018.txt", "TXT")</f>
        <v/>
      </c>
    </row>
    <row r="1496">
      <c r="A1496" s="1" t="n">
        <v>1494</v>
      </c>
      <c r="B1496" t="n">
        <v>2019</v>
      </c>
      <c r="C1496" s="2" t="n">
        <v>43623.56877314814</v>
      </c>
      <c r="D1496" t="inlineStr">
        <is>
          <t>A CRITICA</t>
        </is>
      </c>
      <c r="E1496" t="inlineStr">
        <is>
          <t>VENEZUELANOS</t>
        </is>
      </c>
      <c r="F1496" t="inlineStr"/>
      <c r="G1496" t="inlineStr">
        <is>
          <t>REUTERS</t>
        </is>
      </c>
      <c r="H1496" t="inlineStr">
        <is>
          <t>NÚMERO DE VENEZUELANOS QUE FUGIRAM DE CRISE CHEGA A 4 MILHÕES, DIZ ONU</t>
        </is>
      </c>
      <c r="I1496" t="inlineStr">
        <is>
          <t>O NÚMERO “ALARMANTE” DESTACA A NECESSIDADE URGENTE DE APOIAR OS PAÍSES QUE RECEBEM ESSAS PESSOAS, PRINCIPALMENTE NA AMÉRICA LATINA</t>
        </is>
      </c>
      <c r="J1496" t="inlineStr"/>
      <c r="K1496" t="n">
        <v>0</v>
      </c>
      <c r="L1496" t="n">
        <v>1</v>
      </c>
      <c r="M1496" t="n">
        <v>0</v>
      </c>
      <c r="N1496" t="n">
        <v>0</v>
      </c>
      <c r="O1496" t="n">
        <v>0</v>
      </c>
      <c r="P1496">
        <f>HYPERLINK("https://www.acritica.com/numero-de-venezuelanos-que-fugiram-de-crise-chega-a-4-milh-es-diz-onu-1.68149", "URL")</f>
        <v/>
      </c>
      <c r="Q1496">
        <f>HYPERLINK("https://raw.githubusercontent.com/marcosmapl/dataset_imigrantes/main/materias_filtered/a_critica/venezuelanos/2019/05_jun/html/1.68149_612.html", "HTML")</f>
        <v/>
      </c>
      <c r="R1496">
        <f>HYPERLINK("https://raw.githubusercontent.com/marcosmapl/dataset_imigrantes/main/materias_filtered/a_critica/venezuelanos/2019/05_jun/txt/1.68149_612.txt", "TXT")</f>
        <v/>
      </c>
    </row>
    <row r="1497">
      <c r="A1497" s="1" t="n">
        <v>1495</v>
      </c>
      <c r="B1497" t="n">
        <v>2019</v>
      </c>
      <c r="C1497" s="2" t="n">
        <v>43622.50486111111</v>
      </c>
      <c r="D1497" t="inlineStr">
        <is>
          <t>PORTAL AMAZONIA</t>
        </is>
      </c>
      <c r="E1497" t="inlineStr">
        <is>
          <t>VENEZUELANOS</t>
        </is>
      </c>
      <c r="F1497" t="inlineStr">
        <is>
          <t>CIDADES</t>
        </is>
      </c>
      <c r="G1497" t="inlineStr">
        <is>
          <t>REDAÇÃO</t>
        </is>
      </c>
      <c r="H1497" t="inlineStr">
        <is>
          <t>TRÊS PORTOS NO INTERIOR DO AMAZONAS SÃO REATIVADOS E JÁ RECEBEM EMBARCAÇÕES</t>
        </is>
      </c>
      <c r="I1497" t="inlineStr">
        <is>
          <t>TRÊS INSTALAÇÕES PORTUÁRIAS PÚBLICAS DE PEQUENO PORTE, IDENTIFICADAS PELA SIGLA IP4, FORAM REATIVADAS ESTA SEMANA NO AMAZONAS. OS PORTOS NOS MUNICÍPIOS DE BORBA, BERURI E CANUTAMA JÁ ESTÃO RECEBENDO EMBARCAÇÕES DE CARGAS E PASSAGEIROS. DE ACORDO COM</t>
        </is>
      </c>
      <c r="J1497" t="inlineStr">
        <is>
          <t>DNIT, INTERIOR DO AMAZONAS, PORTO</t>
        </is>
      </c>
      <c r="K1497" t="n">
        <v>3</v>
      </c>
      <c r="L1497" t="n">
        <v>2</v>
      </c>
      <c r="M1497" t="n">
        <v>0</v>
      </c>
      <c r="N1497" t="n">
        <v>0</v>
      </c>
      <c r="O1497" t="n">
        <v>8</v>
      </c>
      <c r="P1497">
        <f>HYPERLINK("https://portalamazonia.com/noticias/cidades/tres-portos-no-interior-do-amazonas-sao-reativados-e-ja-recebem-embarcacoes", "URL")</f>
        <v/>
      </c>
      <c r="Q1497">
        <f>HYPERLINK("https://raw.githubusercontent.com/marcosmapl/dataset_imigrantes/main/materias_filtered/portal_amazonia/venezuelanos/2019/05_jun/html/22364.22364_1470.html", "HTML")</f>
        <v/>
      </c>
      <c r="R1497">
        <f>HYPERLINK("https://raw.githubusercontent.com/marcosmapl/dataset_imigrantes/main/materias_filtered/portal_amazonia/venezuelanos/2019/05_jun/txt/22364.22364_1470.txt", "TXT")</f>
        <v/>
      </c>
    </row>
    <row r="1498">
      <c r="A1498" s="1" t="n">
        <v>1496</v>
      </c>
      <c r="B1498" t="n">
        <v>2019</v>
      </c>
      <c r="C1498" s="2" t="n">
        <v>43622.49605324074</v>
      </c>
      <c r="D1498" t="inlineStr">
        <is>
          <t>A CRITICA</t>
        </is>
      </c>
      <c r="E1498" t="inlineStr">
        <is>
          <t>VENEZUELANOS</t>
        </is>
      </c>
      <c r="F1498" t="inlineStr">
        <is>
          <t>ESPORTES</t>
        </is>
      </c>
      <c r="G1498" t="inlineStr">
        <is>
          <t>LEONARDO SENA</t>
        </is>
      </c>
      <c r="H1498" t="inlineStr">
        <is>
          <t>GRUPO DE TORCEDORES VASCAÍNOS ATRAI VOLUNTÁRIOS EM ALUSÃO À CAMPANHA 'JUNHO VERMELHO'</t>
        </is>
      </c>
      <c r="I1498" t="inlineStr">
        <is>
          <t>ALÉM DE TORCER, UNIÃO VASCAÍNA PROCURA TRABALHAR COM SERVIÇOS VOLUNTÁRIOS</t>
        </is>
      </c>
      <c r="J1498" t="inlineStr"/>
      <c r="K1498" t="n">
        <v>0</v>
      </c>
      <c r="L1498" t="n">
        <v>1</v>
      </c>
      <c r="M1498" t="n">
        <v>0</v>
      </c>
      <c r="N1498" t="n">
        <v>0</v>
      </c>
      <c r="O1498" t="n">
        <v>0</v>
      </c>
      <c r="P1498">
        <f>HYPERLINK("https://www.acritica.com/esportes/grupo-de-torcedores-vascainos-atrai-voluntarios-em-alus-o-a-campanha-junho-vermelho-1.67994", "URL")</f>
        <v/>
      </c>
      <c r="Q1498">
        <f>HYPERLINK("https://raw.githubusercontent.com/marcosmapl/dataset_imigrantes/main/materias_filtered/a_critica/venezuelanos/2019/05_jun/html/1.67994_119.html", "HTML")</f>
        <v/>
      </c>
      <c r="R1498">
        <f>HYPERLINK("https://raw.githubusercontent.com/marcosmapl/dataset_imigrantes/main/materias_filtered/a_critica/venezuelanos/2019/05_jun/txt/1.67994_119.txt", "TXT")</f>
        <v/>
      </c>
    </row>
    <row r="1499">
      <c r="A1499" s="1" t="n">
        <v>1497</v>
      </c>
      <c r="B1499" t="n">
        <v>2019</v>
      </c>
      <c r="C1499" s="2" t="n">
        <v>43621.83680555555</v>
      </c>
      <c r="D1499" t="inlineStr">
        <is>
          <t>PORTAL AMAZONIA</t>
        </is>
      </c>
      <c r="E1499" t="inlineStr">
        <is>
          <t>VENEZUELANOS</t>
        </is>
      </c>
      <c r="F1499" t="inlineStr">
        <is>
          <t>CIDADES</t>
        </is>
      </c>
      <c r="G1499" t="inlineStr">
        <is>
          <t>REDAÇÃO</t>
        </is>
      </c>
      <c r="H1499" t="inlineStr">
        <is>
          <t>VENEZUELANO FAZ HORTA EM PRÉDIO ABANDONADO HÁ 10 ANOS EM RORAIMA</t>
        </is>
      </c>
      <c r="I1499" t="inlineStr">
        <is>
          <t>O VENEZUELANO WILLIAM RIBEIRO ZAPATA, DE 43 ANOS, DEU INÍCIO AO CULTIVO DE UMA HORTA NO TERRENO DO TEATRO CARLOS GOMES, NO CENTRO DE BOA VISTA. O PRÉDIO, QUE ESTAVA ABANDONADO HÁ UMA DÉCADA PELO GOVERNO DE RORAIMA, TAMBÉM TEM SERVIDO DE MORADIA A DUA</t>
        </is>
      </c>
      <c r="J1499" t="inlineStr">
        <is>
          <t>BOA VISTA, HORTA, RORAIMA, VENEZUELANOS</t>
        </is>
      </c>
      <c r="K1499" t="n">
        <v>4</v>
      </c>
      <c r="L1499" t="n">
        <v>2</v>
      </c>
      <c r="M1499" t="n">
        <v>0</v>
      </c>
      <c r="N1499" t="n">
        <v>0</v>
      </c>
      <c r="O1499" t="n">
        <v>9</v>
      </c>
      <c r="P1499">
        <f>HYPERLINK("https://portalamazonia.com/noticias/cidades/venezuelano-faz-horta-em-predio-abandonado-ha-10-anos-em-roraima", "URL")</f>
        <v/>
      </c>
      <c r="Q1499">
        <f>HYPERLINK("https://raw.githubusercontent.com/marcosmapl/dataset_imigrantes/main/materias_filtered/portal_amazonia/venezuelanos/2019/05_jun/html/22362.22362_1508.html", "HTML")</f>
        <v/>
      </c>
      <c r="R1499">
        <f>HYPERLINK("https://raw.githubusercontent.com/marcosmapl/dataset_imigrantes/main/materias_filtered/portal_amazonia/venezuelanos/2019/05_jun/txt/22362.22362_1508.txt", "TXT")</f>
        <v/>
      </c>
    </row>
    <row r="1500">
      <c r="A1500" s="1" t="n">
        <v>1498</v>
      </c>
      <c r="B1500" t="n">
        <v>2019</v>
      </c>
      <c r="C1500" s="2" t="n">
        <v>43621.75848472222</v>
      </c>
      <c r="D1500" t="inlineStr">
        <is>
          <t>G1</t>
        </is>
      </c>
      <c r="E1500" t="inlineStr">
        <is>
          <t>VENEZUELANOS</t>
        </is>
      </c>
      <c r="F1500" t="inlineStr">
        <is>
          <t>AMAZONAS</t>
        </is>
      </c>
      <c r="G1500" t="inlineStr">
        <is>
          <t>G1 AM</t>
        </is>
      </c>
      <c r="H1500" t="inlineStr">
        <is>
          <t>REFUGIADA VENEZUELANA PARTICIPA DE ESPETÁCULO NO TEATRO AMAZONAS NO DIA DOS NAMORADOS</t>
        </is>
      </c>
      <c r="I1500" t="inlineStr">
        <is>
          <t>CANTORA GÉNESIS CORDERO PARTICIPA DO ESPETÁCULO “MIQUÉIAS WILLIAM IN CONCERT”</t>
        </is>
      </c>
      <c r="J1500" t="inlineStr"/>
      <c r="K1500" t="n">
        <v>0</v>
      </c>
      <c r="L1500" t="n">
        <v>1</v>
      </c>
      <c r="M1500" t="n">
        <v>0</v>
      </c>
      <c r="N1500" t="n">
        <v>0</v>
      </c>
      <c r="O1500" t="n">
        <v>1</v>
      </c>
      <c r="P1500">
        <f>HYPERLINK("https://g1.globo.com/am/amazonas/noticia/2019/06/05/refugiada-venezuelana-participa-de-espetaculo-no-teatro-amazonas-no-dia-dos-namorados.ghtml", "URL")</f>
        <v/>
      </c>
      <c r="Q1500">
        <f>HYPERLINK("https://raw.githubusercontent.com/marcosmapl/dataset_imigrantes/main/materias_filtered/g1/venezuelanos/2019/05_jun/html/g1_de1c965a-230c-11ed-b24f-6dbe51e79fca_2653.html", "HTML")</f>
        <v/>
      </c>
      <c r="R1500">
        <f>HYPERLINK("https://raw.githubusercontent.com/marcosmapl/dataset_imigrantes/main/materias_filtered/g1/venezuelanos/2019/05_jun/txt/g1_de1c965a-230c-11ed-b24f-6dbe51e79fca_2653.txt", "TXT")</f>
        <v/>
      </c>
    </row>
    <row r="1501">
      <c r="A1501" s="1" t="n">
        <v>1499</v>
      </c>
      <c r="B1501" t="n">
        <v>2019</v>
      </c>
      <c r="C1501" s="2" t="n">
        <v>43620.90200409722</v>
      </c>
      <c r="D1501" t="inlineStr">
        <is>
          <t>G1</t>
        </is>
      </c>
      <c r="E1501" t="inlineStr">
        <is>
          <t>VENEZUELANOS</t>
        </is>
      </c>
      <c r="F1501" t="inlineStr">
        <is>
          <t>CAMPINAS E REGIÃO</t>
        </is>
      </c>
      <c r="G1501" t="inlineStr">
        <is>
          <t>LÍCIA MANGIAVACCHI, G1 CAMPINAS E REGIÃO E EPTV</t>
        </is>
      </c>
      <c r="H1501" t="inlineStr">
        <is>
          <t>PF DE CAMPINAS APURA MORTE DE VENEZUELANA QUE TENTOU VIAJAR À FRANÇA COM COCAÍNA NO ESTÔMAGO</t>
        </is>
      </c>
      <c r="I1501" t="inlineStr">
        <is>
          <t>MULHER DE 46 ANOS HAVIA INGERIDO 75 CÁPSULAS DA DROGA. APREENSÃO EM VIRACOPOS OCORREU NO DIA 17 DE MAIO E ELA VEIO A ÓBITO TRÊS DIAS DEPOIS. INFORMAÇÃO FOI CONFIRMADA NESTA TERÇA (4).</t>
        </is>
      </c>
      <c r="J1501" t="inlineStr"/>
      <c r="K1501" t="n">
        <v>0</v>
      </c>
      <c r="L1501" t="n">
        <v>1</v>
      </c>
      <c r="M1501" t="n">
        <v>0</v>
      </c>
      <c r="N1501" t="n">
        <v>0</v>
      </c>
      <c r="O1501" t="n">
        <v>2</v>
      </c>
      <c r="P1501">
        <f>HYPERLINK("https://g1.globo.com/sp/campinas-regiao/noticia/2019/06/04/pf-de-campinas-apura-morte-de-venezuelana-que-tentou-viajar-a-franca-com-cocaina-no-estomago.ghtml", "URL")</f>
        <v/>
      </c>
      <c r="Q1501">
        <f>HYPERLINK("https://raw.githubusercontent.com/marcosmapl/dataset_imigrantes/main/materias_filtered/g1/venezuelanos/2019/05_jun/html/g1_99ed9288-231e-11ed-b24f-6dbe51e79fca_3572.html", "HTML")</f>
        <v/>
      </c>
      <c r="R1501">
        <f>HYPERLINK("https://raw.githubusercontent.com/marcosmapl/dataset_imigrantes/main/materias_filtered/g1/venezuelanos/2019/05_jun/txt/g1_99ed9288-231e-11ed-b24f-6dbe51e79fca_3572.txt", "TXT")</f>
        <v/>
      </c>
    </row>
    <row r="1502">
      <c r="A1502" s="1" t="n">
        <v>1500</v>
      </c>
      <c r="B1502" t="n">
        <v>2019</v>
      </c>
      <c r="C1502" s="2" t="n">
        <v>43620.6293287037</v>
      </c>
      <c r="D1502" t="inlineStr">
        <is>
          <t>A CRITICA</t>
        </is>
      </c>
      <c r="E1502" t="inlineStr">
        <is>
          <t>VENEZUELANOS</t>
        </is>
      </c>
      <c r="F1502" t="inlineStr">
        <is>
          <t>MANAUS</t>
        </is>
      </c>
      <c r="G1502" t="inlineStr">
        <is>
          <t>PORTAL A CRÍTICA</t>
        </is>
      </c>
      <c r="H1502" t="inlineStr">
        <is>
          <t>GOVERNO FEDERAL ESTENDE OPERAÇÃO ACOLHIDA PARA VENEZUELANOS EM MANAUS</t>
        </is>
      </c>
      <c r="I1502" t="inlineStr">
        <is>
          <t>MANAUS NÃO CONTARÁ COM UMA REDE DE ABRIGOS, COMO EM BOA VISTA, MAS CAPITAL DO AM TERÁ TRIAGEM PARA LEVAR VENEZUELANOS PARA OUTRAS PARTES DO BRASIL</t>
        </is>
      </c>
      <c r="J1502" t="inlineStr"/>
      <c r="K1502" t="n">
        <v>0</v>
      </c>
      <c r="L1502" t="n">
        <v>1</v>
      </c>
      <c r="M1502" t="n">
        <v>0</v>
      </c>
      <c r="N1502" t="n">
        <v>0</v>
      </c>
      <c r="O1502" t="n">
        <v>0</v>
      </c>
      <c r="P1502">
        <f>HYPERLINK("https://www.acritica.com/manaus/governo-federal-estende-operac-o-acolhida-para-venezuelanos-em-manaus-1.67871", "URL")</f>
        <v/>
      </c>
      <c r="Q1502">
        <f>HYPERLINK("https://raw.githubusercontent.com/marcosmapl/dataset_imigrantes/main/materias_filtered/a_critica/venezuelanos/2019/05_jun/html/1.67871_1120.html", "HTML")</f>
        <v/>
      </c>
      <c r="R1502">
        <f>HYPERLINK("https://raw.githubusercontent.com/marcosmapl/dataset_imigrantes/main/materias_filtered/a_critica/venezuelanos/2019/05_jun/txt/1.67871_1120.txt", "TXT")</f>
        <v/>
      </c>
    </row>
    <row r="1503">
      <c r="A1503" s="1" t="n">
        <v>1501</v>
      </c>
      <c r="B1503" t="n">
        <v>2019</v>
      </c>
      <c r="C1503" s="2" t="n">
        <v>43620.58381877315</v>
      </c>
      <c r="D1503" t="inlineStr">
        <is>
          <t>G1</t>
        </is>
      </c>
      <c r="E1503" t="inlineStr">
        <is>
          <t>VENEZUELANOS</t>
        </is>
      </c>
      <c r="F1503" t="inlineStr">
        <is>
          <t>POLÍTICA</t>
        </is>
      </c>
      <c r="G1503" t="inlineStr">
        <is>
          <t>LUIZ FELIPE BARBIÉRI, G1 — BRASÍLIA</t>
        </is>
      </c>
      <c r="H1503" t="inlineStr">
        <is>
          <t>BOLSONARO OFICIALIZA NOVA EMBAIXADORA VENEZUELANA NO BRASIL</t>
        </is>
      </c>
      <c r="I1503" t="inlineStr">
        <is>
          <t>MARÍA TERESA BELANDRIA EXPÓSITO FOI NOMEADA REPRESENTANTE NO PAÍS PELO AUTOPROCLAMADO GOVERNO DE JUAN GUAIDÓ. ATO PROTOCOLAR MARCA INÍCIO OFICIAL DAS ATIVIDADES DA EMBAIXADORA.</t>
        </is>
      </c>
      <c r="J1503" t="inlineStr"/>
      <c r="K1503" t="n">
        <v>0</v>
      </c>
      <c r="L1503" t="n">
        <v>1</v>
      </c>
      <c r="M1503" t="n">
        <v>1</v>
      </c>
      <c r="N1503" t="n">
        <v>0</v>
      </c>
      <c r="O1503" t="n">
        <v>7</v>
      </c>
      <c r="P1503">
        <f>HYPERLINK("https://g1.globo.com/politica/noticia/2019/06/04/bolsonaro-oficializa-nova-embaixadora-venezuelana-no-brasil.ghtml", "URL")</f>
        <v/>
      </c>
      <c r="Q1503">
        <f>HYPERLINK("https://raw.githubusercontent.com/marcosmapl/dataset_imigrantes/main/materias_filtered/g1/venezuelanos/2019/05_jun/html/g1_7941095e-2308-11ed-b24f-6dbe51e79fca_2386.html", "HTML")</f>
        <v/>
      </c>
      <c r="R1503">
        <f>HYPERLINK("https://raw.githubusercontent.com/marcosmapl/dataset_imigrantes/main/materias_filtered/g1/venezuelanos/2019/05_jun/txt/g1_7941095e-2308-11ed-b24f-6dbe51e79fca_2386.txt", "TXT")</f>
        <v/>
      </c>
    </row>
    <row r="1504">
      <c r="A1504" s="1" t="n">
        <v>1502</v>
      </c>
      <c r="B1504" t="n">
        <v>2019</v>
      </c>
      <c r="C1504" s="2" t="n">
        <v>43620.4896102662</v>
      </c>
      <c r="D1504" t="inlineStr">
        <is>
          <t>G1</t>
        </is>
      </c>
      <c r="E1504" t="inlineStr">
        <is>
          <t>VENEZUELANOS</t>
        </is>
      </c>
      <c r="F1504" t="inlineStr">
        <is>
          <t>RORAIMA</t>
        </is>
      </c>
      <c r="G1504" t="inlineStr">
        <is>
          <t>FABRÍCIO ARAÚJO, G1 RR — BOA VISTA</t>
        </is>
      </c>
      <c r="H1504" t="inlineStr">
        <is>
          <t>VENEZUELANO FAZ HORTA EM PRÉDIO ABANDONADO HÁ 10 ANOS EM RR: 'VOU DIVIDIR COM QUEM TEM FOME'</t>
        </is>
      </c>
      <c r="I1504" t="inlineStr">
        <is>
          <t>SEM TER ONDE MORAR, FAMÍLIA DE IMIGRANTES PASSOU A VIVER EM TEATRO ABANDONADO NO CENTRO DE BOA VISTA ONDE FEZ CULTIVO. PLANTAÇÃO TEM MILHO, MELANCIA E ATÉ ESPANTALHO DE PAPELÃO.</t>
        </is>
      </c>
      <c r="J1504" t="inlineStr"/>
      <c r="K1504" t="n">
        <v>0</v>
      </c>
      <c r="L1504" t="n">
        <v>1</v>
      </c>
      <c r="M1504" t="n">
        <v>0</v>
      </c>
      <c r="N1504" t="n">
        <v>0</v>
      </c>
      <c r="O1504" t="n">
        <v>1</v>
      </c>
      <c r="P1504">
        <f>HYPERLINK("https://g1.globo.com/rr/roraima/noticia/2019/06/04/venezuelano-faz-horta-em-predio-abandonado-ha-10-anos-em-rr-vou-dividir-com-quem-tem-fome.ghtml", "URL")</f>
        <v/>
      </c>
      <c r="Q1504">
        <f>HYPERLINK("https://raw.githubusercontent.com/marcosmapl/dataset_imigrantes/main/materias_filtered/g1/venezuelanos/2019/05_jun/html/g1_888e001a-231c-11ed-b24f-6dbe51e79fca_3450.html", "HTML")</f>
        <v/>
      </c>
      <c r="R1504">
        <f>HYPERLINK("https://raw.githubusercontent.com/marcosmapl/dataset_imigrantes/main/materias_filtered/g1/venezuelanos/2019/05_jun/txt/g1_888e001a-231c-11ed-b24f-6dbe51e79fca_3450.txt", "TXT")</f>
        <v/>
      </c>
    </row>
    <row r="1505">
      <c r="A1505" s="1" t="n">
        <v>1503</v>
      </c>
      <c r="B1505" t="n">
        <v>2019</v>
      </c>
      <c r="C1505" s="2" t="n">
        <v>43619.85600967592</v>
      </c>
      <c r="D1505" t="inlineStr">
        <is>
          <t>G1</t>
        </is>
      </c>
      <c r="E1505" t="inlineStr">
        <is>
          <t>VENEZUELANOS</t>
        </is>
      </c>
      <c r="F1505" t="inlineStr">
        <is>
          <t>SÃO CARLOS E ARARAQUARA</t>
        </is>
      </c>
      <c r="G1505" t="inlineStr">
        <is>
          <t>G1 SÃO CARLOS E ARARAQUARA</t>
        </is>
      </c>
      <c r="H1505" t="inlineStr">
        <is>
          <t>VENEZUELANO DE 39 ANOS É DIAGNOSTICADO COM MALÁRIA NA SANTA CASA DE SÃO CARLOS</t>
        </is>
      </c>
      <c r="I1505" t="inlineStr">
        <is>
          <t>PACIENTE, QUE CHEGOU DE RORAIMA RECENTEMENTE, FOI INTERNADO NO DIA 22 DE MAIO. ESTADO É ESTÁVEL E ELE FOI TRANSFERIDO PARA O HOSPITAL DAS CLÍNICAS DE RIBEIRÃO PRETO NESTA SEGUNDA-FEIRA (3).</t>
        </is>
      </c>
      <c r="J1505" t="inlineStr"/>
      <c r="K1505" t="n">
        <v>0</v>
      </c>
      <c r="L1505" t="n">
        <v>2</v>
      </c>
      <c r="M1505" t="n">
        <v>0</v>
      </c>
      <c r="N1505" t="n">
        <v>0</v>
      </c>
      <c r="O1505" t="n">
        <v>1</v>
      </c>
      <c r="P1505">
        <f>HYPERLINK("https://g1.globo.com/sp/sao-carlos-regiao/noticia/2019/06/03/venezuelano-de-39-anos-e-diagnosticado-com-malaria-na-santa-casa-de-sao-carlos.ghtml", "URL")</f>
        <v/>
      </c>
      <c r="Q1505">
        <f>HYPERLINK("https://raw.githubusercontent.com/marcosmapl/dataset_imigrantes/main/materias_filtered/g1/venezuelanos/2019/05_jun/html/g1_711b2944-2317-11ed-b24f-6dbe51e79fca_3207.html", "HTML")</f>
        <v/>
      </c>
      <c r="R1505">
        <f>HYPERLINK("https://raw.githubusercontent.com/marcosmapl/dataset_imigrantes/main/materias_filtered/g1/venezuelanos/2019/05_jun/txt/g1_711b2944-2317-11ed-b24f-6dbe51e79fca_3207.txt", "TXT")</f>
        <v/>
      </c>
    </row>
    <row r="1506">
      <c r="A1506" s="1" t="n">
        <v>1504</v>
      </c>
      <c r="B1506" t="n">
        <v>2019</v>
      </c>
      <c r="C1506" s="2" t="n">
        <v>43618.65447986111</v>
      </c>
      <c r="D1506" t="inlineStr">
        <is>
          <t>G1</t>
        </is>
      </c>
      <c r="E1506" t="inlineStr">
        <is>
          <t>VENEZUELANOS</t>
        </is>
      </c>
      <c r="F1506" t="inlineStr">
        <is>
          <t>MUNDO</t>
        </is>
      </c>
      <c r="G1506" t="inlineStr">
        <is>
          <t>REUTERS</t>
        </is>
      </c>
      <c r="H1506" t="inlineStr">
        <is>
          <t>LÍDER DA OPOSIÇÃO VENEZUELANA DIZ QUE GOVERNO DE MADURO CHEGARÁ AO FIM EM 2019</t>
        </is>
      </c>
      <c r="I1506" t="inlineStr">
        <is>
          <t>JUAN GUAIDÓ ASSEGUROU QUE A OPOSIÇÃO CONTINUARÁ NAS RUAS.</t>
        </is>
      </c>
      <c r="J1506" t="inlineStr"/>
      <c r="K1506" t="n">
        <v>0</v>
      </c>
      <c r="L1506" t="n">
        <v>1</v>
      </c>
      <c r="M1506" t="n">
        <v>0</v>
      </c>
      <c r="N1506" t="n">
        <v>0</v>
      </c>
      <c r="O1506" t="n">
        <v>0</v>
      </c>
      <c r="P1506">
        <f>HYPERLINK("https://g1.globo.com/mundo/noticia/2019/06/02/lider-de-oposicao-venezuelana-diz-que-governo-de-maduro-chegara-ao-fim-em-2019.ghtml", "URL")</f>
        <v/>
      </c>
      <c r="Q1506">
        <f>HYPERLINK("https://raw.githubusercontent.com/marcosmapl/dataset_imigrantes/main/materias_filtered/g1/venezuelanos/2019/05_jun/html/g1_e0395cfa-230e-11ed-b24f-6dbe51e79fca_2763.html", "HTML")</f>
        <v/>
      </c>
      <c r="R1506">
        <f>HYPERLINK("https://raw.githubusercontent.com/marcosmapl/dataset_imigrantes/main/materias_filtered/g1/venezuelanos/2019/05_jun/txt/g1_e0395cfa-230e-11ed-b24f-6dbe51e79fca_2763.txt", "TXT")</f>
        <v/>
      </c>
    </row>
    <row r="1507">
      <c r="A1507" s="1" t="n">
        <v>1505</v>
      </c>
      <c r="B1507" t="n">
        <v>2019</v>
      </c>
      <c r="C1507" s="2" t="n">
        <v>43617.78405092593</v>
      </c>
      <c r="D1507" t="inlineStr">
        <is>
          <t>A CRITICA</t>
        </is>
      </c>
      <c r="E1507" t="inlineStr">
        <is>
          <t>VENEZUELANOS</t>
        </is>
      </c>
      <c r="F1507" t="inlineStr">
        <is>
          <t>MANAUS</t>
        </is>
      </c>
      <c r="G1507" t="inlineStr">
        <is>
          <t>IZABEL GUEDES</t>
        </is>
      </c>
      <c r="H1507" t="inlineStr">
        <is>
          <t>FIÉIS INICIAM CARREATA DA MARCHA PARA JESUS NO CENTRO DE MANAUS</t>
        </is>
      </c>
      <c r="I1507" t="inlineStr">
        <is>
          <t>OS PARTICIPANTES QUE SE CONCENTRARAM DESDE AS 12H NA PRAÇA DA SAUDADE VÃO PASSAR POR DIVERSAS AVENIDAS, COM DESTINO AO SAMBÓDROMO. HÁ ALTERAÇÕES NO TRÂNSITO</t>
        </is>
      </c>
      <c r="J1507" t="inlineStr"/>
      <c r="K1507" t="n">
        <v>0</v>
      </c>
      <c r="L1507" t="n">
        <v>1</v>
      </c>
      <c r="M1507" t="n">
        <v>0</v>
      </c>
      <c r="N1507" t="n">
        <v>0</v>
      </c>
      <c r="O1507" t="n">
        <v>0</v>
      </c>
      <c r="P1507">
        <f>HYPERLINK("https://www.acritica.com/manaus/fieis-iniciam-carreata-da-marcha-para-jesus-no-centro-de-manaus-1.67794", "URL")</f>
        <v/>
      </c>
      <c r="Q1507">
        <f>HYPERLINK("https://raw.githubusercontent.com/marcosmapl/dataset_imigrantes/main/materias_filtered/a_critica/venezuelanos/2019/05_jun/html/1.67794_1179.html", "HTML")</f>
        <v/>
      </c>
      <c r="R1507">
        <f>HYPERLINK("https://raw.githubusercontent.com/marcosmapl/dataset_imigrantes/main/materias_filtered/a_critica/venezuelanos/2019/05_jun/txt/1.67794_1179.txt", "TXT")</f>
        <v/>
      </c>
    </row>
    <row r="1508">
      <c r="A1508" s="1" t="n">
        <v>1506</v>
      </c>
      <c r="B1508" t="n">
        <v>2019</v>
      </c>
      <c r="C1508" s="2" t="n">
        <v>43615.52883101852</v>
      </c>
      <c r="D1508" t="inlineStr">
        <is>
          <t>A CRITICA</t>
        </is>
      </c>
      <c r="E1508" t="inlineStr">
        <is>
          <t>VENEZUELANOS</t>
        </is>
      </c>
      <c r="F1508" t="inlineStr"/>
      <c r="G1508" t="inlineStr">
        <is>
          <t>AGÊNCIA BRASIL</t>
        </is>
      </c>
      <c r="H1508" t="inlineStr">
        <is>
          <t>PESQUISA INÉDITA SOBRE REFUGIADOS NO PAÍS REVELA BOA FORMAÇÃO ESCOLAR</t>
        </is>
      </c>
      <c r="I1508" t="inlineStr">
        <is>
          <t>ENTREVISTAS FORAM FEITAS COM REFUGIADOS QUE VIVEM EM OITO ESTADOS DO PAÍS, ENTRE ELES O AMAZONAS. CONFIRA OS PRINCIPAIS LEVANTAMENTOS FEITOS PELA ACNUR</t>
        </is>
      </c>
      <c r="J1508" t="inlineStr"/>
      <c r="K1508" t="n">
        <v>0</v>
      </c>
      <c r="L1508" t="n">
        <v>1</v>
      </c>
      <c r="M1508" t="n">
        <v>0</v>
      </c>
      <c r="N1508" t="n">
        <v>0</v>
      </c>
      <c r="O1508" t="n">
        <v>0</v>
      </c>
      <c r="P1508">
        <f>HYPERLINK("https://www.acritica.com/pesquisa-inedita-sobre-refugiados-no-pais-revela-boa-formac-o-escolar-1.67453", "URL")</f>
        <v/>
      </c>
      <c r="Q1508">
        <f>HYPERLINK("https://raw.githubusercontent.com/marcosmapl/dataset_imigrantes/main/materias_filtered/a_critica/venezuelanos/2019/04_mai/html/1.67453_558.html", "HTML")</f>
        <v/>
      </c>
      <c r="R1508">
        <f>HYPERLINK("https://raw.githubusercontent.com/marcosmapl/dataset_imigrantes/main/materias_filtered/a_critica/venezuelanos/2019/04_mai/txt/1.67453_558.txt", "TXT")</f>
        <v/>
      </c>
    </row>
    <row r="1509">
      <c r="A1509" s="1" t="n">
        <v>1507</v>
      </c>
      <c r="B1509" t="n">
        <v>2019</v>
      </c>
      <c r="C1509" s="2" t="n">
        <v>43614.6404012963</v>
      </c>
      <c r="D1509" t="inlineStr">
        <is>
          <t>G1</t>
        </is>
      </c>
      <c r="E1509" t="inlineStr">
        <is>
          <t>VENEZUELANOS</t>
        </is>
      </c>
      <c r="F1509" t="inlineStr">
        <is>
          <t>RIO DE JANEIRO</t>
        </is>
      </c>
      <c r="G1509" t="inlineStr">
        <is>
          <t>G1 RIO</t>
        </is>
      </c>
      <c r="H1509" t="inlineStr">
        <is>
          <t>SUSPEITAS DE ROUBAR PASSAGEIRA DO BRT SÃO AGREDIDAS NA ESTAÇÃO ALVORADA, ZONA OESTE DO RIO</t>
        </is>
      </c>
      <c r="I1509" t="inlineStr">
        <is>
          <t>SEGUNDO O CONSÓRCIO, MULHERES AGREDIDAS ERAM VENEZUELANAS. NINGUÉM PRESTOU QUEIXA NA DELEGACIA.</t>
        </is>
      </c>
      <c r="J1509" t="inlineStr"/>
      <c r="K1509" t="n">
        <v>0</v>
      </c>
      <c r="L1509" t="n">
        <v>1</v>
      </c>
      <c r="M1509" t="n">
        <v>1</v>
      </c>
      <c r="N1509" t="n">
        <v>0</v>
      </c>
      <c r="O1509" t="n">
        <v>0</v>
      </c>
      <c r="P1509">
        <f>HYPERLINK("https://g1.globo.com/rj/rio-de-janeiro/noticia/2019/05/29/suspeitas-de-roubar-passageira-do-brt-sao-agredidas-na-estacao-alvorada-zona-oeste-do-rio.ghtml", "URL")</f>
        <v/>
      </c>
      <c r="Q1509">
        <f>HYPERLINK("https://raw.githubusercontent.com/marcosmapl/dataset_imigrantes/main/materias_filtered/g1/venezuelanos/2019/04_mai/html/g1_62442e3e-2321-11ed-b24f-6dbe51e79fca_3695.html", "HTML")</f>
        <v/>
      </c>
      <c r="R1509">
        <f>HYPERLINK("https://raw.githubusercontent.com/marcosmapl/dataset_imigrantes/main/materias_filtered/g1/venezuelanos/2019/04_mai/txt/g1_62442e3e-2321-11ed-b24f-6dbe51e79fca_3695.txt", "TXT")</f>
        <v/>
      </c>
    </row>
    <row r="1510">
      <c r="A1510" s="1" t="n">
        <v>1508</v>
      </c>
      <c r="B1510" t="n">
        <v>2019</v>
      </c>
      <c r="C1510" s="2" t="n">
        <v>43614.49960969907</v>
      </c>
      <c r="D1510" t="inlineStr">
        <is>
          <t>G1</t>
        </is>
      </c>
      <c r="E1510" t="inlineStr">
        <is>
          <t>VENEZUELANOS</t>
        </is>
      </c>
      <c r="F1510" t="inlineStr">
        <is>
          <t>PIAUÍ</t>
        </is>
      </c>
      <c r="G1510" t="inlineStr">
        <is>
          <t>ANDRÊ NASCIMENTO, G1 PI</t>
        </is>
      </c>
      <c r="H1510" t="inlineStr">
        <is>
          <t>GRUPO COM CERCA DE 30 IMIGRANTES VENEZUELANOS DESEMBARCA EM TERESINA</t>
        </is>
      </c>
      <c r="I1510" t="inlineStr">
        <is>
          <t>ESTE É O SEGUNDO GRANDE GRUPO DE IMIGRANTES A CHEGAR A TERESINA EM MENOS DE UM MÊS. SEMCASPI AFIRMA QUE FAMÍLIAS DEVEM SER ENCAMINHADAS PARA JUNTO DO PRIMEIRO GRUPO.</t>
        </is>
      </c>
      <c r="J1510" t="inlineStr"/>
      <c r="K1510" t="n">
        <v>0</v>
      </c>
      <c r="L1510" t="n">
        <v>3</v>
      </c>
      <c r="M1510" t="n">
        <v>0</v>
      </c>
      <c r="N1510" t="n">
        <v>0</v>
      </c>
      <c r="O1510" t="n">
        <v>5</v>
      </c>
      <c r="P1510">
        <f>HYPERLINK("https://g1.globo.com/pi/piaui/noticia/2019/05/29/grupo-com-mais-de-30-imigrantes-venezuelanos-desembarca-em-teresina.ghtml", "URL")</f>
        <v/>
      </c>
      <c r="Q1510">
        <f>HYPERLINK("https://raw.githubusercontent.com/marcosmapl/dataset_imigrantes/main/materias_filtered/g1/venezuelanos/2019/04_mai/html/g1_bb2e3fcc-232a-11ed-b24f-6dbe51e79fca_4199.html", "HTML")</f>
        <v/>
      </c>
      <c r="R1510">
        <f>HYPERLINK("https://raw.githubusercontent.com/marcosmapl/dataset_imigrantes/main/materias_filtered/g1/venezuelanos/2019/04_mai/txt/g1_bb2e3fcc-232a-11ed-b24f-6dbe51e79fca_4199.txt", "TXT")</f>
        <v/>
      </c>
    </row>
    <row r="1511">
      <c r="A1511" s="1" t="n">
        <v>1509</v>
      </c>
      <c r="B1511" t="n">
        <v>2019</v>
      </c>
      <c r="C1511" s="2" t="n">
        <v>43614.01163704861</v>
      </c>
      <c r="D1511" t="inlineStr">
        <is>
          <t>G1</t>
        </is>
      </c>
      <c r="E1511" t="inlineStr">
        <is>
          <t>HAITIANOS</t>
        </is>
      </c>
      <c r="F1511" t="inlineStr">
        <is>
          <t>CAMPINAS E REGIÃO</t>
        </is>
      </c>
      <c r="G1511" t="inlineStr">
        <is>
          <t>G1 CAMPINAS E REGIÃO</t>
        </is>
      </c>
      <c r="H1511" t="inlineStr">
        <is>
          <t>HAITIANO É PRESO APÓS APRESENTAR CERTIDÃO CONSULAR FALSA EM VIRACOPOS, DIZ PF</t>
        </is>
      </c>
      <c r="I1511" t="inlineStr">
        <is>
          <t>CASO OCORREU EM AEROPORTO DE CAMPINAS (SP), NESTA TERÇA-FEIRA (28).</t>
        </is>
      </c>
      <c r="J1511" t="inlineStr"/>
      <c r="K1511" t="n">
        <v>0</v>
      </c>
      <c r="L1511" t="n">
        <v>1</v>
      </c>
      <c r="M1511" t="n">
        <v>0</v>
      </c>
      <c r="N1511" t="n">
        <v>0</v>
      </c>
      <c r="O1511" t="n">
        <v>1</v>
      </c>
      <c r="P1511">
        <f>HYPERLINK("https://g1.globo.com/sp/campinas-regiao/noticia/2019/05/28/haitiano-e-preso-apos-apresentar-certidao-consular-falsa-em-viracopos-diz-pf.ghtml", "URL")</f>
        <v/>
      </c>
      <c r="Q1511">
        <f>HYPERLINK("https://raw.githubusercontent.com/marcosmapl/dataset_imigrantes/main/materias_filtered/g1/haitianos/2019/04_mai/html/g1_126d130c-22fa-11ed-b24f-6dbe51e79fca_2197.html", "HTML")</f>
        <v/>
      </c>
      <c r="R1511">
        <f>HYPERLINK("https://raw.githubusercontent.com/marcosmapl/dataset_imigrantes/main/materias_filtered/g1/haitianos/2019/04_mai/txt/g1_126d130c-22fa-11ed-b24f-6dbe51e79fca_2197.txt", "TXT")</f>
        <v/>
      </c>
    </row>
    <row r="1512">
      <c r="A1512" s="1" t="n">
        <v>1510</v>
      </c>
      <c r="B1512" t="n">
        <v>2019</v>
      </c>
      <c r="C1512" s="2" t="n">
        <v>43612.97334189815</v>
      </c>
      <c r="D1512" t="inlineStr">
        <is>
          <t>G1</t>
        </is>
      </c>
      <c r="E1512" t="inlineStr">
        <is>
          <t>HAITIANOS</t>
        </is>
      </c>
      <c r="F1512" t="inlineStr">
        <is>
          <t>SANTA CATARINA</t>
        </is>
      </c>
      <c r="G1512" t="inlineStr">
        <is>
          <t>NSC TV</t>
        </is>
      </c>
      <c r="H1512" t="inlineStr">
        <is>
          <t>IMIGRANTE HAITIANO SE FORMA EM RELAÇÕES INTERNACIONAIS EM SC</t>
        </is>
      </c>
      <c r="I1512" t="inlineStr">
        <is>
          <t>CLAUDIN JACQUES É O PRIMEIRO A SE GRADUAR EM UNIVERSIDADE PARTICULAR DO ESTADO.</t>
        </is>
      </c>
      <c r="J1512" t="inlineStr"/>
      <c r="K1512" t="n">
        <v>0</v>
      </c>
      <c r="L1512" t="n">
        <v>2</v>
      </c>
      <c r="M1512" t="n">
        <v>1</v>
      </c>
      <c r="N1512" t="n">
        <v>0</v>
      </c>
      <c r="O1512" t="n">
        <v>2</v>
      </c>
      <c r="P1512">
        <f>HYPERLINK("https://g1.globo.com/sc/santa-catarina/noticia/2019/05/27/imigrante-haitiano-se-forma-em-relacoes-internacionais-em-sc.ghtml", "URL")</f>
        <v/>
      </c>
      <c r="Q1512">
        <f>HYPERLINK("https://raw.githubusercontent.com/marcosmapl/dataset_imigrantes/main/materias_filtered/g1/haitianos/2019/04_mai/html/g1_aba279fc-22f7-11ed-b24f-6dbe51e79fca_2089.html", "HTML")</f>
        <v/>
      </c>
      <c r="R1512">
        <f>HYPERLINK("https://raw.githubusercontent.com/marcosmapl/dataset_imigrantes/main/materias_filtered/g1/haitianos/2019/04_mai/txt/g1_aba279fc-22f7-11ed-b24f-6dbe51e79fca_2089.txt", "TXT")</f>
        <v/>
      </c>
    </row>
    <row r="1513">
      <c r="A1513" s="1" t="n">
        <v>1511</v>
      </c>
      <c r="B1513" t="n">
        <v>2019</v>
      </c>
      <c r="C1513" s="2" t="n">
        <v>43612.6312962963</v>
      </c>
      <c r="D1513" t="inlineStr">
        <is>
          <t>A CRITICA</t>
        </is>
      </c>
      <c r="E1513" t="inlineStr">
        <is>
          <t>VENEZUELANOS</t>
        </is>
      </c>
      <c r="F1513" t="inlineStr">
        <is>
          <t>MANAUS</t>
        </is>
      </c>
      <c r="G1513" t="inlineStr">
        <is>
          <t>PORTAL A CRÍTICA</t>
        </is>
      </c>
      <c r="H1513" t="inlineStr">
        <is>
          <t>EM MANAUS, MAIS DE 2.600 VENEZUELANOS SÃO ATENDIDOS EM AÇÃO</t>
        </is>
      </c>
      <c r="I1513" t="inlineStr">
        <is>
          <t>SERVIÇOS OFERECIDOS INCLUÍRAM EMISSÃO DE DOCUMENTOS E TESTES RÁPIDOS, ALÉM DE ORIENTAÇÕES SOBRE A REDE DE ATENDIMENTO A MIGRANTES E REFUGIADOS</t>
        </is>
      </c>
      <c r="J1513" t="inlineStr"/>
      <c r="K1513" t="n">
        <v>0</v>
      </c>
      <c r="L1513" t="n">
        <v>1</v>
      </c>
      <c r="M1513" t="n">
        <v>0</v>
      </c>
      <c r="N1513" t="n">
        <v>0</v>
      </c>
      <c r="O1513" t="n">
        <v>0</v>
      </c>
      <c r="P1513">
        <f>HYPERLINK("https://www.acritica.com/manaus/em-manaus-mais-de-2-600-venezuelanos-s-o-atendidos-em-ac-o-1.67400", "URL")</f>
        <v/>
      </c>
      <c r="Q1513">
        <f>HYPERLINK("https://raw.githubusercontent.com/marcosmapl/dataset_imigrantes/main/materias_filtered/a_critica/venezuelanos/2019/04_mai/html/1.67400_32.html", "HTML")</f>
        <v/>
      </c>
      <c r="R1513">
        <f>HYPERLINK("https://raw.githubusercontent.com/marcosmapl/dataset_imigrantes/main/materias_filtered/a_critica/venezuelanos/2019/04_mai/txt/1.67400_32.txt", "TXT")</f>
        <v/>
      </c>
    </row>
    <row r="1514">
      <c r="A1514" s="1" t="n">
        <v>1512</v>
      </c>
      <c r="B1514" t="n">
        <v>2019</v>
      </c>
      <c r="C1514" s="2" t="n">
        <v>43612.60093533565</v>
      </c>
      <c r="D1514" t="inlineStr">
        <is>
          <t>G1</t>
        </is>
      </c>
      <c r="E1514" t="inlineStr">
        <is>
          <t>AMBOS</t>
        </is>
      </c>
      <c r="F1514" t="inlineStr">
        <is>
          <t>RORAIMA</t>
        </is>
      </c>
      <c r="G1514" t="inlineStr">
        <is>
          <t>G1 RR — BOA VISTA</t>
        </is>
      </c>
      <c r="H1514" t="inlineStr">
        <is>
          <t>ASSALTANTE AGRIDE GRÁVIDA COM SOCO NO ROSTO E ROUBA CELULAR EM BOA VISTA</t>
        </is>
      </c>
      <c r="I1514" t="inlineStr">
        <is>
          <t>SUSPEITO TENTOU FUGIR, MAS ACABOU PRESO NA NOITE DESSE DOMINGO (26).</t>
        </is>
      </c>
      <c r="J1514" t="inlineStr"/>
      <c r="K1514" t="n">
        <v>0</v>
      </c>
      <c r="L1514" t="n">
        <v>1</v>
      </c>
      <c r="M1514" t="n">
        <v>0</v>
      </c>
      <c r="N1514" t="n">
        <v>0</v>
      </c>
      <c r="O1514" t="n">
        <v>0</v>
      </c>
      <c r="P1514">
        <f>HYPERLINK("https://g1.globo.com/rr/roraima/noticia/2019/05/27/assaltante-agride-gravida-com-soco-no-rosto-e-rouba-celular-em-boa-vista.ghtml", "URL")</f>
        <v/>
      </c>
      <c r="Q1514">
        <f>HYPERLINK("https://raw.githubusercontent.com/marcosmapl/dataset_imigrantes/main/materias_filtered/g1/ambos/2019/04_mai/html/g1_b76a5116-231e-11ed-b24f-6dbe51e79fca_3580.html", "HTML")</f>
        <v/>
      </c>
      <c r="R1514">
        <f>HYPERLINK("https://raw.githubusercontent.com/marcosmapl/dataset_imigrantes/main/materias_filtered/g1/ambos/2019/04_mai/txt/g1_b76a5116-231e-11ed-b24f-6dbe51e79fca_3580.txt", "TXT")</f>
        <v/>
      </c>
    </row>
    <row r="1515">
      <c r="A1515" s="1" t="n">
        <v>1513</v>
      </c>
      <c r="B1515" t="n">
        <v>2019</v>
      </c>
      <c r="C1515" s="2" t="n">
        <v>43611.79966435185</v>
      </c>
      <c r="D1515" t="inlineStr">
        <is>
          <t>A CRITICA</t>
        </is>
      </c>
      <c r="E1515" t="inlineStr">
        <is>
          <t>VENEZUELANOS</t>
        </is>
      </c>
      <c r="F1515" t="inlineStr"/>
      <c r="G1515" t="inlineStr">
        <is>
          <t>REUTERS</t>
        </is>
      </c>
      <c r="H1515" t="inlineStr">
        <is>
          <t>GOVERNO VENEZUELANO E OPOSIÇÃO VOLTARÃO À NORUEGA PARA CONVERSAS</t>
        </is>
      </c>
      <c r="I1515" t="inlineStr">
        <is>
          <t>DOIS LADOS REUNIRAM-SE SEPARADAMENTE COM MEDIADORES NORUEGUESES, MAS NÃO HOUVE CONVERSAS CARA A CARA ENTRE GOVERNO E REPRESENTANTES DA OPOSIÇÃO</t>
        </is>
      </c>
      <c r="J1515" t="inlineStr"/>
      <c r="K1515" t="n">
        <v>0</v>
      </c>
      <c r="L1515" t="n">
        <v>1</v>
      </c>
      <c r="M1515" t="n">
        <v>0</v>
      </c>
      <c r="N1515" t="n">
        <v>0</v>
      </c>
      <c r="O1515" t="n">
        <v>0</v>
      </c>
      <c r="P1515">
        <f>HYPERLINK("https://www.acritica.com/governo-venezuelano-e-oposic-o-voltar-o-a-noruega-para-conversas-1.67197", "URL")</f>
        <v/>
      </c>
      <c r="Q1515">
        <f>HYPERLINK("https://raw.githubusercontent.com/marcosmapl/dataset_imigrantes/main/materias_filtered/a_critica/venezuelanos/2019/04_mai/html/1.67197_858.html", "HTML")</f>
        <v/>
      </c>
      <c r="R1515">
        <f>HYPERLINK("https://raw.githubusercontent.com/marcosmapl/dataset_imigrantes/main/materias_filtered/a_critica/venezuelanos/2019/04_mai/txt/1.67197_858.txt", "TXT")</f>
        <v/>
      </c>
    </row>
    <row r="1516">
      <c r="A1516" s="1" t="n">
        <v>1514</v>
      </c>
      <c r="B1516" t="n">
        <v>2019</v>
      </c>
      <c r="C1516" s="2" t="n">
        <v>43610.50185185186</v>
      </c>
      <c r="D1516" t="inlineStr">
        <is>
          <t>A CRITICA</t>
        </is>
      </c>
      <c r="E1516" t="inlineStr">
        <is>
          <t>VENEZUELANOS</t>
        </is>
      </c>
      <c r="F1516" t="inlineStr"/>
      <c r="G1516" t="inlineStr"/>
      <c r="H1516" t="inlineStr">
        <is>
          <t>PREÇOS DE PASSAGENS SÃO QUESTIONADOS</t>
        </is>
      </c>
      <c r="I1516" t="inlineStr"/>
      <c r="J1516" t="inlineStr"/>
      <c r="K1516" t="n">
        <v>0</v>
      </c>
      <c r="L1516" t="n">
        <v>1</v>
      </c>
      <c r="M1516" t="n">
        <v>0</v>
      </c>
      <c r="N1516" t="n">
        <v>0</v>
      </c>
      <c r="O1516" t="n">
        <v>0</v>
      </c>
      <c r="P1516">
        <f>HYPERLINK("https://www.acritica.com/precos-de-passagens-s-o-questionados-1.226577", "URL")</f>
        <v/>
      </c>
      <c r="Q1516">
        <f>HYPERLINK("https://raw.githubusercontent.com/marcosmapl/dataset_imigrantes/main/materias_filtered/a_critica/venezuelanos/2019/04_mai/html/1.226577_185.html", "HTML")</f>
        <v/>
      </c>
      <c r="R1516">
        <f>HYPERLINK("https://raw.githubusercontent.com/marcosmapl/dataset_imigrantes/main/materias_filtered/a_critica/venezuelanos/2019/04_mai/txt/1.226577_185.txt", "TXT")</f>
        <v/>
      </c>
    </row>
    <row r="1517">
      <c r="A1517" s="1" t="n">
        <v>1515</v>
      </c>
      <c r="B1517" t="n">
        <v>2019</v>
      </c>
      <c r="C1517" s="2" t="n">
        <v>43609.76604166667</v>
      </c>
      <c r="D1517" t="inlineStr">
        <is>
          <t>A CRITICA</t>
        </is>
      </c>
      <c r="E1517" t="inlineStr">
        <is>
          <t>VENEZUELANOS</t>
        </is>
      </c>
      <c r="F1517" t="inlineStr">
        <is>
          <t>POLICIA</t>
        </is>
      </c>
      <c r="G1517" t="inlineStr">
        <is>
          <t>MÁRCIA MONTEIRO</t>
        </is>
      </c>
      <c r="H1517" t="inlineStr">
        <is>
          <t>QUADRILHA É PRESA SUSPEITA DE ASSALTAR USUÁRIOS DE APPS DE TRANSPORTE</t>
        </is>
      </c>
      <c r="I1517" t="inlineStr">
        <is>
          <t>DOS PRESOS, DOIS SÃO SUSPEITOS DE COMETEREM OS ASSALTOS E OUTROS DOIS DE ENCOMENDAR OS CELULARES ROUBADOS DAS VÍTIMAS</t>
        </is>
      </c>
      <c r="J1517" t="inlineStr"/>
      <c r="K1517" t="n">
        <v>0</v>
      </c>
      <c r="L1517" t="n">
        <v>1</v>
      </c>
      <c r="M1517" t="n">
        <v>0</v>
      </c>
      <c r="N1517" t="n">
        <v>0</v>
      </c>
      <c r="O1517" t="n">
        <v>0</v>
      </c>
      <c r="P1517">
        <f>HYPERLINK("https://www.acritica.com/policia/quadrilha-e-presa-suspeita-de-assaltar-usuarios-de-apps-de-transporte-1.67289", "URL")</f>
        <v/>
      </c>
      <c r="Q1517">
        <f>HYPERLINK("https://raw.githubusercontent.com/marcosmapl/dataset_imigrantes/main/materias_filtered/a_critica/venezuelanos/2019/04_mai/html/1.67289_1286.html", "HTML")</f>
        <v/>
      </c>
      <c r="R1517">
        <f>HYPERLINK("https://raw.githubusercontent.com/marcosmapl/dataset_imigrantes/main/materias_filtered/a_critica/venezuelanos/2019/04_mai/txt/1.67289_1286.txt", "TXT")</f>
        <v/>
      </c>
    </row>
    <row r="1518">
      <c r="A1518" s="1" t="n">
        <v>1516</v>
      </c>
      <c r="B1518" t="n">
        <v>2019</v>
      </c>
      <c r="C1518" s="2" t="n">
        <v>43609.57966435186</v>
      </c>
      <c r="D1518" t="inlineStr">
        <is>
          <t>A CRITICA</t>
        </is>
      </c>
      <c r="E1518" t="inlineStr">
        <is>
          <t>VENEZUELANOS</t>
        </is>
      </c>
      <c r="F1518" t="inlineStr"/>
      <c r="G1518" t="inlineStr">
        <is>
          <t>AGÊNCIA BRASIL</t>
        </is>
      </c>
      <c r="H1518" t="inlineStr">
        <is>
          <t>FILHOS DE REFUGIADOS VENEZUELANOS ESTÃO SE TORNANDO PESSOAS 'SEM NACIONALIDADES'</t>
        </is>
      </c>
      <c r="I1518" t="inlineStr">
        <is>
          <t>APROXIMADAMENTE 1,3 MILHÃO DE VENEZUELANOS SE ESTABELECERAM NA VIZINHA COLÔMBIA, FUGINDO DE UMA CRISE POLÍTICA E ECONÔMICA QUE TEM PROVOCADO GRAVE ESCASSEZ</t>
        </is>
      </c>
      <c r="J1518" t="inlineStr"/>
      <c r="K1518" t="n">
        <v>0</v>
      </c>
      <c r="L1518" t="n">
        <v>1</v>
      </c>
      <c r="M1518" t="n">
        <v>0</v>
      </c>
      <c r="N1518" t="n">
        <v>0</v>
      </c>
      <c r="O1518" t="n">
        <v>0</v>
      </c>
      <c r="P1518">
        <f>HYPERLINK("https://www.acritica.com/filhos-de-refugiados-venezuelanos-est-o-se-tornando-pessoas-sem-nacionalidades-1.67131", "URL")</f>
        <v/>
      </c>
      <c r="Q1518">
        <f>HYPERLINK("https://raw.githubusercontent.com/marcosmapl/dataset_imigrantes/main/materias_filtered/a_critica/venezuelanos/2019/04_mai/html/1.67131_291.html", "HTML")</f>
        <v/>
      </c>
      <c r="R1518">
        <f>HYPERLINK("https://raw.githubusercontent.com/marcosmapl/dataset_imigrantes/main/materias_filtered/a_critica/venezuelanos/2019/04_mai/txt/1.67131_291.txt", "TXT")</f>
        <v/>
      </c>
    </row>
    <row r="1519">
      <c r="A1519" s="1" t="n">
        <v>1517</v>
      </c>
      <c r="B1519" t="n">
        <v>2019</v>
      </c>
      <c r="C1519" s="2" t="n">
        <v>43608.63786778935</v>
      </c>
      <c r="D1519" t="inlineStr">
        <is>
          <t>G1</t>
        </is>
      </c>
      <c r="E1519" t="inlineStr">
        <is>
          <t>HAITIANOS</t>
        </is>
      </c>
      <c r="F1519" t="inlineStr">
        <is>
          <t>BEM ESTAR</t>
        </is>
      </c>
      <c r="G1519" t="inlineStr">
        <is>
          <t>G1</t>
        </is>
      </c>
      <c r="H1519" t="inlineStr">
        <is>
          <t>O QUE FAZER PARA AJUDAR UMA MÃE QUE ENTROU EM TRABALHO DE PARTO</t>
        </is>
      </c>
      <c r="I1519" t="inlineStr">
        <is>
          <t>É MUITO IMPORTANTE LIGAR PARA O 192, 193 OU CHAMAR POLICIAIS NA RUA PARA PEDIR SOCORRO.</t>
        </is>
      </c>
      <c r="J1519" t="inlineStr"/>
      <c r="K1519" t="n">
        <v>0</v>
      </c>
      <c r="L1519" t="n">
        <v>2</v>
      </c>
      <c r="M1519" t="n">
        <v>1</v>
      </c>
      <c r="N1519" t="n">
        <v>0</v>
      </c>
      <c r="O1519" t="n">
        <v>2</v>
      </c>
      <c r="P1519">
        <f>HYPERLINK("https://g1.globo.com/bemestar/noticia/2019/05/23/o-que-fazer-para-ajudar-uma-mae-que-entrou-em-trabalho-de-parto.ghtml", "URL")</f>
        <v/>
      </c>
      <c r="Q1519">
        <f>HYPERLINK("https://raw.githubusercontent.com/marcosmapl/dataset_imigrantes/main/materias_filtered/g1/haitianos/2019/04_mai/html/g1_839d210c-2318-11ed-b24f-6dbe51e79fca_3264.html", "HTML")</f>
        <v/>
      </c>
      <c r="R1519">
        <f>HYPERLINK("https://raw.githubusercontent.com/marcosmapl/dataset_imigrantes/main/materias_filtered/g1/haitianos/2019/04_mai/txt/g1_839d210c-2318-11ed-b24f-6dbe51e79fca_3264.txt", "TXT")</f>
        <v/>
      </c>
    </row>
    <row r="1520">
      <c r="A1520" s="1" t="n">
        <v>1518</v>
      </c>
      <c r="B1520" t="n">
        <v>2019</v>
      </c>
      <c r="C1520" s="2" t="n">
        <v>43608.59444444445</v>
      </c>
      <c r="D1520" t="inlineStr">
        <is>
          <t>A CRITICA</t>
        </is>
      </c>
      <c r="E1520" t="inlineStr">
        <is>
          <t>VENEZUELANOS</t>
        </is>
      </c>
      <c r="F1520" t="inlineStr">
        <is>
          <t>MANAUS</t>
        </is>
      </c>
      <c r="G1520" t="inlineStr">
        <is>
          <t>PORTAL A CRÍTICA</t>
        </is>
      </c>
      <c r="H1520" t="inlineStr">
        <is>
          <t>GOVERNO REALIZA AÇÃO DE CIDADANIA PARA REFUGIADOS VENEZUELANOS NO SÁBADO (25)</t>
        </is>
      </c>
      <c r="I1520" t="inlineStr">
        <is>
          <t>SERVIÇOS OFERECIDOS INCLUEM EMISSÃO DE CARTEIRA DE TRABALHO, CARTÃO SUS, TESTES RÁPIDOS, VACINAS, DISTRIBUIÇÃO DE PRESERVATIVOS E MEDICAMENTOS</t>
        </is>
      </c>
      <c r="J1520" t="inlineStr"/>
      <c r="K1520" t="n">
        <v>0</v>
      </c>
      <c r="L1520" t="n">
        <v>1</v>
      </c>
      <c r="M1520" t="n">
        <v>0</v>
      </c>
      <c r="N1520" t="n">
        <v>0</v>
      </c>
      <c r="O1520" t="n">
        <v>0</v>
      </c>
      <c r="P1520">
        <f>HYPERLINK("https://www.acritica.com/manaus/governo-realiza-ac-o-de-cidadania-para-refugiados-venezuelanos-no-sabado-25-1.65315", "URL")</f>
        <v/>
      </c>
      <c r="Q1520">
        <f>HYPERLINK("https://raw.githubusercontent.com/marcosmapl/dataset_imigrantes/main/materias_filtered/a_critica/venezuelanos/2019/04_mai/html/1.65315_913.html", "HTML")</f>
        <v/>
      </c>
      <c r="R1520">
        <f>HYPERLINK("https://raw.githubusercontent.com/marcosmapl/dataset_imigrantes/main/materias_filtered/a_critica/venezuelanos/2019/04_mai/txt/1.65315_913.txt", "TXT")</f>
        <v/>
      </c>
    </row>
    <row r="1521">
      <c r="A1521" s="1" t="n">
        <v>1519</v>
      </c>
      <c r="B1521" t="n">
        <v>2019</v>
      </c>
      <c r="C1521" s="2" t="n">
        <v>43608.5297308912</v>
      </c>
      <c r="D1521" t="inlineStr">
        <is>
          <t>G1</t>
        </is>
      </c>
      <c r="E1521" t="inlineStr">
        <is>
          <t>VENEZUELANOS</t>
        </is>
      </c>
      <c r="F1521" t="inlineStr">
        <is>
          <t>SÃO CARLOS E ARARAQUARA</t>
        </is>
      </c>
      <c r="G1521" t="inlineStr">
        <is>
          <t>G1 SÃO CARLOS E ARARAQUARA</t>
        </is>
      </c>
      <c r="H1521" t="inlineStr">
        <is>
          <t>CHILENO E VENEZUELANO FURTAM LOJA DE CELULARES E ACABAM PRESOS EM ARARAQUARA</t>
        </is>
      </c>
      <c r="I1521" t="inlineStr">
        <is>
          <t>SUSPEITOS FORAM DETIDOS PELA POLÍCIA MILITAR NA NOITE DE QUARTA-FEIRA (22) NO CENTRO.</t>
        </is>
      </c>
      <c r="J1521" t="inlineStr"/>
      <c r="K1521" t="n">
        <v>0</v>
      </c>
      <c r="L1521" t="n">
        <v>2</v>
      </c>
      <c r="M1521" t="n">
        <v>0</v>
      </c>
      <c r="N1521" t="n">
        <v>0</v>
      </c>
      <c r="O1521" t="n">
        <v>1</v>
      </c>
      <c r="P1521">
        <f>HYPERLINK("https://g1.globo.com/sp/sao-carlos-regiao/noticia/2019/05/23/chileno-e-venezuelano-furtam-loja-de-celulares-e-acabam-presos-em-araraquara.ghtml", "URL")</f>
        <v/>
      </c>
      <c r="Q1521">
        <f>HYPERLINK("https://raw.githubusercontent.com/marcosmapl/dataset_imigrantes/main/materias_filtered/g1/venezuelanos/2019/04_mai/html/g1_c8aa7270-230b-11ed-b24f-6dbe51e79fca_2586.html", "HTML")</f>
        <v/>
      </c>
      <c r="R1521">
        <f>HYPERLINK("https://raw.githubusercontent.com/marcosmapl/dataset_imigrantes/main/materias_filtered/g1/venezuelanos/2019/04_mai/txt/g1_c8aa7270-230b-11ed-b24f-6dbe51e79fca_2586.txt", "TXT")</f>
        <v/>
      </c>
    </row>
    <row r="1522">
      <c r="A1522" s="1" t="n">
        <v>1520</v>
      </c>
      <c r="B1522" t="n">
        <v>2019</v>
      </c>
      <c r="C1522" s="2" t="n">
        <v>43606.54451388889</v>
      </c>
      <c r="D1522" t="inlineStr">
        <is>
          <t>A CRITICA</t>
        </is>
      </c>
      <c r="E1522" t="inlineStr">
        <is>
          <t>VENEZUELANOS</t>
        </is>
      </c>
      <c r="F1522" t="inlineStr"/>
      <c r="G1522" t="inlineStr">
        <is>
          <t>REUTERS</t>
        </is>
      </c>
      <c r="H1522" t="inlineStr">
        <is>
          <t>ONU: VENEZUELANOS QUE DEIXAM O PAÍS MERECEM PROTEÇÃO COMO REFUGIADOS</t>
        </is>
      </c>
      <c r="I1522" t="inlineStr">
        <is>
          <t>O ALTO COMISSARIADO DAS NAÇÕES UNIDAS PARA OS REFUGIADOS (ACNUR) APELOU AOS PAÍSES PARA QUE NÃO DEPORTEM OU FORCEM OS VENEZUELANOS A VOLTAR PARA CASA</t>
        </is>
      </c>
      <c r="J1522" t="inlineStr"/>
      <c r="K1522" t="n">
        <v>0</v>
      </c>
      <c r="L1522" t="n">
        <v>1</v>
      </c>
      <c r="M1522" t="n">
        <v>0</v>
      </c>
      <c r="N1522" t="n">
        <v>0</v>
      </c>
      <c r="O1522" t="n">
        <v>0</v>
      </c>
      <c r="P1522">
        <f>HYPERLINK("https://www.acritica.com/onu-venezuelanos-que-deixam-o-pais-merecem-protec-o-como-refugiados-1.65478", "URL")</f>
        <v/>
      </c>
      <c r="Q1522">
        <f>HYPERLINK("https://raw.githubusercontent.com/marcosmapl/dataset_imigrantes/main/materias_filtered/a_critica/venezuelanos/2019/04_mai/html/1.65478_697.html", "HTML")</f>
        <v/>
      </c>
      <c r="R1522">
        <f>HYPERLINK("https://raw.githubusercontent.com/marcosmapl/dataset_imigrantes/main/materias_filtered/a_critica/venezuelanos/2019/04_mai/txt/1.65478_697.txt", "TXT")</f>
        <v/>
      </c>
    </row>
    <row r="1523">
      <c r="A1523" s="1" t="n">
        <v>1521</v>
      </c>
      <c r="B1523" t="n">
        <v>2019</v>
      </c>
      <c r="C1523" s="2" t="n">
        <v>43605.76958333333</v>
      </c>
      <c r="D1523" t="inlineStr">
        <is>
          <t>A CRITICA</t>
        </is>
      </c>
      <c r="E1523" t="inlineStr">
        <is>
          <t>VENEZUELANOS</t>
        </is>
      </c>
      <c r="F1523" t="inlineStr">
        <is>
          <t>MANAUS</t>
        </is>
      </c>
      <c r="G1523" t="inlineStr">
        <is>
          <t>LARISSA CAVALCANTE</t>
        </is>
      </c>
      <c r="H1523" t="inlineStr">
        <is>
          <t>PREFEITURA VAI ALUGAR SÍTIO NA AM-010 PARA ABRIGAR INDÍGENAS WARAO</t>
        </is>
      </c>
      <c r="I1523" t="inlineStr">
        <is>
          <t>"É UM BELO SÍTIO QUE REPRODUZ O HABITAT DO QUAL VIVIAM OS ÍNDIOS WARAO", AFIRMOU O PREFEITO ARTUR NETO. MAIS DE 500 IMIGRANTES INDÍGENAS VENEZUELANOS VIVEM NOS ABRIGOS DE MANAUS</t>
        </is>
      </c>
      <c r="J1523" t="inlineStr"/>
      <c r="K1523" t="n">
        <v>0</v>
      </c>
      <c r="L1523" t="n">
        <v>1</v>
      </c>
      <c r="M1523" t="n">
        <v>0</v>
      </c>
      <c r="N1523" t="n">
        <v>0</v>
      </c>
      <c r="O1523" t="n">
        <v>1</v>
      </c>
      <c r="P1523">
        <f>HYPERLINK("https://www.acritica.com/manaus/prefeitura-vai-alugar-sitio-na-am-010-para-abrigar-indigenas-warao-1.65518", "URL")</f>
        <v/>
      </c>
      <c r="Q1523">
        <f>HYPERLINK("https://raw.githubusercontent.com/marcosmapl/dataset_imigrantes/main/materias_filtered/a_critica/venezuelanos/2019/04_mai/html/1.65518_786.html", "HTML")</f>
        <v/>
      </c>
      <c r="R1523">
        <f>HYPERLINK("https://raw.githubusercontent.com/marcosmapl/dataset_imigrantes/main/materias_filtered/a_critica/venezuelanos/2019/04_mai/txt/1.65518_786.txt", "TXT")</f>
        <v/>
      </c>
    </row>
    <row r="1524">
      <c r="A1524" s="1" t="n">
        <v>1522</v>
      </c>
      <c r="B1524" t="n">
        <v>2019</v>
      </c>
      <c r="C1524" s="2" t="n">
        <v>43605.66483474537</v>
      </c>
      <c r="D1524" t="inlineStr">
        <is>
          <t>G1</t>
        </is>
      </c>
      <c r="E1524" t="inlineStr">
        <is>
          <t>HAITIANOS</t>
        </is>
      </c>
      <c r="F1524" t="inlineStr">
        <is>
          <t>SANTA CATARINA</t>
        </is>
      </c>
      <c r="G1524" t="inlineStr">
        <is>
          <t>G1 SC</t>
        </is>
      </c>
      <c r="H1524" t="inlineStr">
        <is>
          <t>HAITIANA ENTRA EM TRABALHO DE PARTO NA RUA E BEBÊ NASCE COM AJUDA DOS BOMBEIROS EM NAVEGANTES</t>
        </is>
      </c>
      <c r="I1524" t="inlineStr">
        <is>
          <t>APÓS SER LEVADOS PARA HOSPITAL, MÃE E RECÉM-NASCIDO RECEBERAM ATENDIMENTO E PASSAM BEM.</t>
        </is>
      </c>
      <c r="J1524" t="inlineStr"/>
      <c r="K1524" t="n">
        <v>0</v>
      </c>
      <c r="L1524" t="n">
        <v>1</v>
      </c>
      <c r="M1524" t="n">
        <v>0</v>
      </c>
      <c r="N1524" t="n">
        <v>0</v>
      </c>
      <c r="O1524" t="n">
        <v>2</v>
      </c>
      <c r="P1524">
        <f>HYPERLINK("https://g1.globo.com/sc/santa-catarina/noticia/2019/05/20/haitiana-entra-em-trabalho-de-parto-na-rua-e-bebe-nasce-com-ajuda-dos-bombeiros-em-navegantes.ghtml", "URL")</f>
        <v/>
      </c>
      <c r="Q1524">
        <f>HYPERLINK("https://raw.githubusercontent.com/marcosmapl/dataset_imigrantes/main/materias_filtered/g1/haitianos/2019/04_mai/html/g1_4c45c40e-2307-11ed-b24f-6dbe51e79fca_2309.html", "HTML")</f>
        <v/>
      </c>
      <c r="R1524">
        <f>HYPERLINK("https://raw.githubusercontent.com/marcosmapl/dataset_imigrantes/main/materias_filtered/g1/haitianos/2019/04_mai/txt/g1_4c45c40e-2307-11ed-b24f-6dbe51e79fca_2309.txt", "TXT")</f>
        <v/>
      </c>
    </row>
    <row r="1525">
      <c r="A1525" s="1" t="n">
        <v>1523</v>
      </c>
      <c r="B1525" t="n">
        <v>2019</v>
      </c>
      <c r="C1525" s="2" t="n">
        <v>43604.86111111111</v>
      </c>
      <c r="D1525" t="inlineStr">
        <is>
          <t>A CRITICA</t>
        </is>
      </c>
      <c r="E1525" t="inlineStr">
        <is>
          <t>VENEZUELANOS</t>
        </is>
      </c>
      <c r="F1525" t="inlineStr">
        <is>
          <t>MANAUS</t>
        </is>
      </c>
      <c r="G1525" t="inlineStr">
        <is>
          <t>SUELEN GONÇALVES</t>
        </is>
      </c>
      <c r="H1525" t="inlineStr">
        <is>
          <t>SEMINÁRIO GRATUITO EM MANAUS DEBATE SITUAÇÕES DE REFUGIADOS E MIGRANTES</t>
        </is>
      </c>
      <c r="I1525" t="inlineStr">
        <is>
          <t>O MINISTRO-CONSELHEIRO DA EMBAIXADA DA FRANÇA, GILLES PECASSOU, SERÁ O REPRESENTANTE DO PAÍS NO EVENTO, ORGANIZADO EM PARCERIA COM A ACNUR. CONFIRA ENTREVISTA EXCLUSIVA</t>
        </is>
      </c>
      <c r="J1525" t="inlineStr"/>
      <c r="K1525" t="n">
        <v>0</v>
      </c>
      <c r="L1525" t="n">
        <v>1</v>
      </c>
      <c r="M1525" t="n">
        <v>0</v>
      </c>
      <c r="N1525" t="n">
        <v>0</v>
      </c>
      <c r="O1525" t="n">
        <v>0</v>
      </c>
      <c r="P1525">
        <f>HYPERLINK("https://www.acritica.com/manaus/seminario-gratuito-em-manaus-debate-situac-es-de-refugiados-e-migrantes-1.65580", "URL")</f>
        <v/>
      </c>
      <c r="Q1525">
        <f>HYPERLINK("https://raw.githubusercontent.com/marcosmapl/dataset_imigrantes/main/materias_filtered/a_critica/venezuelanos/2019/04_mai/html/1.65580_1107.html", "HTML")</f>
        <v/>
      </c>
      <c r="R1525">
        <f>HYPERLINK("https://raw.githubusercontent.com/marcosmapl/dataset_imigrantes/main/materias_filtered/a_critica/venezuelanos/2019/04_mai/txt/1.65580_1107.txt", "TXT")</f>
        <v/>
      </c>
    </row>
    <row r="1526">
      <c r="A1526" s="1" t="n">
        <v>1524</v>
      </c>
      <c r="B1526" t="n">
        <v>2019</v>
      </c>
      <c r="C1526" s="2" t="n">
        <v>43603.81671159722</v>
      </c>
      <c r="D1526" t="inlineStr">
        <is>
          <t>G1</t>
        </is>
      </c>
      <c r="E1526" t="inlineStr">
        <is>
          <t>VENEZUELANOS</t>
        </is>
      </c>
      <c r="F1526" t="inlineStr">
        <is>
          <t>RORAIMA</t>
        </is>
      </c>
      <c r="G1526" t="inlineStr">
        <is>
          <t>G1 RR — BOA VISTA</t>
        </is>
      </c>
      <c r="H1526" t="inlineStr">
        <is>
          <t>CRIANÇA VENEZUELANA DE 11 ANOS É VÍTIMA DE TENTATIVA DE ASSÉDIO SEXUAL EM BOA VISTA</t>
        </is>
      </c>
      <c r="I1526" t="inlineStr">
        <is>
          <t>CRIME FOI IMPEDIDO POR EQUIPE DA ASSEMBLEIA LEGISLATIVA QUE FAZIA AÇÃO DE CONSCIENTIZAÇÃO JUSTAMENTE PARA COMBATER O ABUSO E EXPLORAÇÃO SEXUAL DE CRIANÇAS E ADOLESCENTES.</t>
        </is>
      </c>
      <c r="J1526" t="inlineStr"/>
      <c r="K1526" t="n">
        <v>0</v>
      </c>
      <c r="L1526" t="n">
        <v>1</v>
      </c>
      <c r="M1526" t="n">
        <v>0</v>
      </c>
      <c r="N1526" t="n">
        <v>0</v>
      </c>
      <c r="O1526" t="n">
        <v>1</v>
      </c>
      <c r="P1526">
        <f>HYPERLINK("https://g1.globo.com/rr/roraima/noticia/2019/05/18/crianca-venezuelana-de-11-anos-e-vitima-de-tentativa-de-assedio-sexual-em-boa-vista.ghtml", "URL")</f>
        <v/>
      </c>
      <c r="Q1526">
        <f>HYPERLINK("https://raw.githubusercontent.com/marcosmapl/dataset_imigrantes/main/materias_filtered/g1/venezuelanos/2019/04_mai/html/g1_3abe7362-231a-11ed-b24f-6dbe51e79fca_3323.html", "HTML")</f>
        <v/>
      </c>
      <c r="R1526">
        <f>HYPERLINK("https://raw.githubusercontent.com/marcosmapl/dataset_imigrantes/main/materias_filtered/g1/venezuelanos/2019/04_mai/txt/g1_3abe7362-231a-11ed-b24f-6dbe51e79fca_3323.txt", "TXT")</f>
        <v/>
      </c>
    </row>
    <row r="1527">
      <c r="A1527" s="1" t="n">
        <v>1525</v>
      </c>
      <c r="B1527" t="n">
        <v>2019</v>
      </c>
      <c r="C1527" s="2" t="n">
        <v>43602.85382979167</v>
      </c>
      <c r="D1527" t="inlineStr">
        <is>
          <t>G1</t>
        </is>
      </c>
      <c r="E1527" t="inlineStr">
        <is>
          <t>HAITIANOS</t>
        </is>
      </c>
      <c r="F1527" t="inlineStr">
        <is>
          <t>CAMPINAS E REGIÃO</t>
        </is>
      </c>
      <c r="G1527" t="inlineStr">
        <is>
          <t>G1 CAMPINAS E REGIÃO</t>
        </is>
      </c>
      <c r="H1527" t="inlineStr">
        <is>
          <t>PF PRENDE HAITIANAS COM DOCUMENTO DE IMIGRAÇÃO FALSO NO AEROPORTO DE VIRACOPOS</t>
        </is>
      </c>
      <c r="I1527" t="inlineStr">
        <is>
          <t>SEGUNDO A POLÍCIA FEDERAL, AS DUAS MULHERES USAVAM UMA CERTIDÃO CONSULAR DO HAITI FALSA.</t>
        </is>
      </c>
      <c r="J1527" t="inlineStr"/>
      <c r="K1527" t="n">
        <v>0</v>
      </c>
      <c r="L1527" t="n">
        <v>0</v>
      </c>
      <c r="M1527" t="n">
        <v>0</v>
      </c>
      <c r="N1527" t="n">
        <v>0</v>
      </c>
      <c r="O1527" t="n">
        <v>1</v>
      </c>
      <c r="P1527">
        <f>HYPERLINK("https://g1.globo.com/sp/campinas-regiao/noticia/2019/05/17/pf-prende-haitianas-com-documento-de-imigracao-falso-no-aeroporto-de-viracopos.ghtml", "URL")</f>
        <v/>
      </c>
      <c r="Q1527">
        <f>HYPERLINK("https://raw.githubusercontent.com/marcosmapl/dataset_imigrantes/main/materias_filtered/g1/haitianos/2019/04_mai/html/g1_9660cab6-2307-11ed-b24f-6dbe51e79fca_2328.html", "HTML")</f>
        <v/>
      </c>
      <c r="R1527">
        <f>HYPERLINK("https://raw.githubusercontent.com/marcosmapl/dataset_imigrantes/main/materias_filtered/g1/haitianos/2019/04_mai/txt/g1_9660cab6-2307-11ed-b24f-6dbe51e79fca_2328.txt", "TXT")</f>
        <v/>
      </c>
    </row>
    <row r="1528">
      <c r="A1528" s="1" t="n">
        <v>1526</v>
      </c>
      <c r="B1528" t="n">
        <v>2019</v>
      </c>
      <c r="C1528" s="2" t="n">
        <v>43602.73555565972</v>
      </c>
      <c r="D1528" t="inlineStr">
        <is>
          <t>G1</t>
        </is>
      </c>
      <c r="E1528" t="inlineStr">
        <is>
          <t>VENEZUELANOS</t>
        </is>
      </c>
      <c r="F1528" t="inlineStr">
        <is>
          <t>MUNDO</t>
        </is>
      </c>
      <c r="G1528" t="inlineStr">
        <is>
          <t>AGÊNCIA EFE</t>
        </is>
      </c>
      <c r="H1528" t="inlineStr">
        <is>
          <t>GENERAL DO EXÉRCITO VENEZUELANO É ENCONTRADO MORTO EM HOTEL</t>
        </is>
      </c>
      <c r="I1528" t="inlineStr">
        <is>
          <t>JESÚS HERNANDEZ ERA PRÓXIMO DE EX-DIRETOR DE SERVIÇO DE INTELIGÊNCIA, QUE FOI UM DOS LÍDERES DO LEVANTE FRACASSADO DO DIA 30 DE ABRIL.</t>
        </is>
      </c>
      <c r="J1528" t="inlineStr"/>
      <c r="K1528" t="n">
        <v>0</v>
      </c>
      <c r="L1528" t="n">
        <v>1</v>
      </c>
      <c r="M1528" t="n">
        <v>0</v>
      </c>
      <c r="N1528" t="n">
        <v>0</v>
      </c>
      <c r="O1528" t="n">
        <v>1</v>
      </c>
      <c r="P1528">
        <f>HYPERLINK("https://g1.globo.com/mundo/noticia/2019/05/17/general-do-exercito-venezuelano-e-encontrado-morto-em-hotel.ghtml", "URL")</f>
        <v/>
      </c>
      <c r="Q1528">
        <f>HYPERLINK("https://raw.githubusercontent.com/marcosmapl/dataset_imigrantes/main/materias_filtered/g1/venezuelanos/2019/04_mai/html/g1_25af94b2-232c-11ed-b24f-6dbe51e79fca_4288.html", "HTML")</f>
        <v/>
      </c>
      <c r="R1528">
        <f>HYPERLINK("https://raw.githubusercontent.com/marcosmapl/dataset_imigrantes/main/materias_filtered/g1/venezuelanos/2019/04_mai/txt/g1_25af94b2-232c-11ed-b24f-6dbe51e79fca_4288.txt", "TXT")</f>
        <v/>
      </c>
    </row>
    <row r="1529">
      <c r="A1529" s="1" t="n">
        <v>1527</v>
      </c>
      <c r="B1529" t="n">
        <v>2019</v>
      </c>
      <c r="C1529" s="2" t="n">
        <v>43602.47707068287</v>
      </c>
      <c r="D1529" t="inlineStr">
        <is>
          <t>G1</t>
        </is>
      </c>
      <c r="E1529" t="inlineStr">
        <is>
          <t>VENEZUELANOS</t>
        </is>
      </c>
      <c r="F1529" t="inlineStr">
        <is>
          <t>MUNDO</t>
        </is>
      </c>
      <c r="G1529" t="inlineStr">
        <is>
          <t>FRANCE PRESSE</t>
        </is>
      </c>
      <c r="H1529" t="inlineStr">
        <is>
          <t>NORUEGA CONFIRMA MEDIAÇÃO ENTRE GOVERNO E OPOSIÇÃO DA VENEZUELA</t>
        </is>
      </c>
      <c r="I1529" t="inlineStr">
        <is>
          <t>SITUAÇÃO E OPOSIÇÃO VENEZUELANAS NÃO FALAM SOBRE NEGOCIAÇÕES. MADURO AFIRMA QUE MANDOU REFORÇAR A SEGURANÇA NA EMBAIXADA DOS ESTADOS UNIDOS EM CARACAS, DIAS DEPOIS DA PRISÃO DOS ÚLTIMOS ATIVISTAS QUE OCUPAVAM A EMBAIXADA VENEZUELANA EM WASHINGTON.</t>
        </is>
      </c>
      <c r="J1529" t="inlineStr"/>
      <c r="K1529" t="n">
        <v>0</v>
      </c>
      <c r="L1529" t="n">
        <v>1</v>
      </c>
      <c r="M1529" t="n">
        <v>0</v>
      </c>
      <c r="N1529" t="n">
        <v>0</v>
      </c>
      <c r="O1529" t="n">
        <v>4</v>
      </c>
      <c r="P1529">
        <f>HYPERLINK("https://g1.globo.com/mundo/noticia/2019/05/17/noruega-confirma-mediacao-entre-governo-e-oposicao-da-venezuela.ghtml", "URL")</f>
        <v/>
      </c>
      <c r="Q1529">
        <f>HYPERLINK("https://raw.githubusercontent.com/marcosmapl/dataset_imigrantes/main/materias_filtered/g1/venezuelanos/2019/04_mai/html/g1_caa3b528-231a-11ed-b24f-6dbe51e79fca_3354.html", "HTML")</f>
        <v/>
      </c>
      <c r="R1529">
        <f>HYPERLINK("https://raw.githubusercontent.com/marcosmapl/dataset_imigrantes/main/materias_filtered/g1/venezuelanos/2019/04_mai/txt/g1_caa3b528-231a-11ed-b24f-6dbe51e79fca_3354.txt", "TXT")</f>
        <v/>
      </c>
    </row>
    <row r="1530">
      <c r="A1530" s="1" t="n">
        <v>1528</v>
      </c>
      <c r="B1530" t="n">
        <v>2019</v>
      </c>
      <c r="C1530" s="2" t="n">
        <v>43601.96501157407</v>
      </c>
      <c r="D1530" t="inlineStr">
        <is>
          <t>A CRITICA</t>
        </is>
      </c>
      <c r="E1530" t="inlineStr">
        <is>
          <t>VENEZUELANOS</t>
        </is>
      </c>
      <c r="F1530" t="inlineStr"/>
      <c r="G1530" t="inlineStr">
        <is>
          <t>AGÊNCIA BRASIL</t>
        </is>
      </c>
      <c r="H1530" t="inlineStr">
        <is>
          <t>BOLSONARO RECEBE PRÊMIO NOS EUA E DIZ QUE SER PRESIDENTE FOI 'MILAGRE'</t>
        </is>
      </c>
      <c r="I1530" t="inlineStr">
        <is>
          <t>"COM VERDADE, COMECEI ANDANDO SOZINHO POR TODO O BRASIL. ÀS VEZES, GENTE DA PRÓPRIA CASA ACHAVA QUE TINHA ALGO ERRADO COMIGO, TENDO EM VISTA O QUE EU ALMEJAVA", COMENTOU O PRESIDENTE</t>
        </is>
      </c>
      <c r="J1530" t="inlineStr"/>
      <c r="K1530" t="n">
        <v>0</v>
      </c>
      <c r="L1530" t="n">
        <v>1</v>
      </c>
      <c r="M1530" t="n">
        <v>0</v>
      </c>
      <c r="N1530" t="n">
        <v>0</v>
      </c>
      <c r="O1530" t="n">
        <v>0</v>
      </c>
      <c r="P1530">
        <f>HYPERLINK("https://www.acritica.com/bolsonaro-recebe-premio-nos-eua-e-diz-que-ser-presidente-foi-milagre-1.65755", "URL")</f>
        <v/>
      </c>
      <c r="Q1530">
        <f>HYPERLINK("https://raw.githubusercontent.com/marcosmapl/dataset_imigrantes/main/materias_filtered/a_critica/venezuelanos/2019/04_mai/html/1.65755_403.html", "HTML")</f>
        <v/>
      </c>
      <c r="R1530">
        <f>HYPERLINK("https://raw.githubusercontent.com/marcosmapl/dataset_imigrantes/main/materias_filtered/a_critica/venezuelanos/2019/04_mai/txt/1.65755_403.txt", "TXT")</f>
        <v/>
      </c>
    </row>
    <row r="1531">
      <c r="A1531" s="1" t="n">
        <v>1529</v>
      </c>
      <c r="B1531" t="n">
        <v>2019</v>
      </c>
      <c r="C1531" s="2" t="n">
        <v>43601.71222591435</v>
      </c>
      <c r="D1531" t="inlineStr">
        <is>
          <t>G1</t>
        </is>
      </c>
      <c r="E1531" t="inlineStr">
        <is>
          <t>VENEZUELANOS</t>
        </is>
      </c>
      <c r="F1531" t="inlineStr">
        <is>
          <t>MUNDO</t>
        </is>
      </c>
      <c r="G1531" t="inlineStr">
        <is>
          <t>G1</t>
        </is>
      </c>
      <c r="H1531" t="inlineStr">
        <is>
          <t>ÚLTIMOS ATIVISTAS PRÓ-MADURO NA EMBAIXADA DA VENEZUELA NOS ESTADOS UNIDOS SÃO PRESOS</t>
        </is>
      </c>
      <c r="I1531" t="inlineStr">
        <is>
          <t>ELES OCUPAVAM O PRÉDIO HÁ CERCA DE UM MÊS. GRUPOS CONTRÁRIOS ÀS PRISÕES ALEGAM QUE ELAS VIOLAM A CONVENÇÃO DE VIENA, QUE ESTABELECE QUE MISSÕES DIPLOMÁTICAS SÃO INVIOLÁVEIS.</t>
        </is>
      </c>
      <c r="J1531" t="inlineStr"/>
      <c r="K1531" t="n">
        <v>0</v>
      </c>
      <c r="L1531" t="n">
        <v>2</v>
      </c>
      <c r="M1531" t="n">
        <v>0</v>
      </c>
      <c r="N1531" t="n">
        <v>0</v>
      </c>
      <c r="O1531" t="n">
        <v>5</v>
      </c>
      <c r="P1531">
        <f>HYPERLINK("https://g1.globo.com/mundo/noticia/2019/05/16/ultimos-ativistas-pro-maduro-na-embaixada-da-venezuela-nos-estados-unidos-sao-presos.ghtml", "URL")</f>
        <v/>
      </c>
      <c r="Q1531">
        <f>HYPERLINK("https://raw.githubusercontent.com/marcosmapl/dataset_imigrantes/main/materias_filtered/g1/venezuelanos/2019/04_mai/html/g1_d70690f6-2306-11ed-b24f-6dbe51e79fca_2281.html", "HTML")</f>
        <v/>
      </c>
      <c r="R1531">
        <f>HYPERLINK("https://raw.githubusercontent.com/marcosmapl/dataset_imigrantes/main/materias_filtered/g1/venezuelanos/2019/04_mai/txt/g1_d70690f6-2306-11ed-b24f-6dbe51e79fca_2281.txt", "TXT")</f>
        <v/>
      </c>
    </row>
    <row r="1532">
      <c r="A1532" s="1" t="n">
        <v>1530</v>
      </c>
      <c r="B1532" t="n">
        <v>2019</v>
      </c>
      <c r="C1532" s="2" t="n">
        <v>43600.73472222222</v>
      </c>
      <c r="D1532" t="inlineStr">
        <is>
          <t>PORTAL AMAZONIA</t>
        </is>
      </c>
      <c r="E1532" t="inlineStr">
        <is>
          <t>VENEZUELANOS</t>
        </is>
      </c>
      <c r="F1532" t="inlineStr">
        <is>
          <t>CIDADES</t>
        </is>
      </c>
      <c r="G1532" t="inlineStr">
        <is>
          <t>REDAÇÃO</t>
        </is>
      </c>
      <c r="H1532" t="inlineStr">
        <is>
          <t>ANO LETIVO PARA 16 MIL ALUNOS DE COMUNIDADES INDÍGENAS DE RORAIMA COMEÇA NESTE MÊS</t>
        </is>
      </c>
      <c r="I1532" t="inlineStr">
        <is>
          <t>O ANO ESCOLAR NO ESTADO COMEÇOU EM MARÇO NAS ESCOLAS DA CAPITAL BOA VISTA E EM ABRIL NO INTERIOR, MAS DEVIDO A PROBLEMAS ENVOLVENDO O TRANSPORTE ESCOLAR, O RETORNO NÃO OCORREU EM TODAS AS UNIDADES. PARA 16 MIL ALUNOS DE COMUNIDADES INDÍGENAS, AS AULA</t>
        </is>
      </c>
      <c r="J1532" t="inlineStr">
        <is>
          <t>ANO LETIVO, EDUCAÇÃO INDÍGENA, RORAIMA</t>
        </is>
      </c>
      <c r="K1532" t="n">
        <v>3</v>
      </c>
      <c r="L1532" t="n">
        <v>2</v>
      </c>
      <c r="M1532" t="n">
        <v>0</v>
      </c>
      <c r="N1532" t="n">
        <v>0</v>
      </c>
      <c r="O1532" t="n">
        <v>8</v>
      </c>
      <c r="P1532">
        <f>HYPERLINK("https://portalamazonia.com/noticias/cidades/ano-letivo-para-16-mil-alunos-de-comunidades-indigenas-de-roraima-comeca-neste-mes", "URL")</f>
        <v/>
      </c>
      <c r="Q1532">
        <f>HYPERLINK("https://raw.githubusercontent.com/marcosmapl/dataset_imigrantes/main/materias_filtered/portal_amazonia/venezuelanos/2019/04_mai/html/22768.22768_1602.html", "HTML")</f>
        <v/>
      </c>
      <c r="R1532">
        <f>HYPERLINK("https://raw.githubusercontent.com/marcosmapl/dataset_imigrantes/main/materias_filtered/portal_amazonia/venezuelanos/2019/04_mai/txt/22768.22768_1602.txt", "TXT")</f>
        <v/>
      </c>
    </row>
    <row r="1533">
      <c r="A1533" s="1" t="n">
        <v>1531</v>
      </c>
      <c r="B1533" t="n">
        <v>2019</v>
      </c>
      <c r="C1533" s="2" t="n">
        <v>43600.67510416666</v>
      </c>
      <c r="D1533" t="inlineStr">
        <is>
          <t>A CRITICA</t>
        </is>
      </c>
      <c r="E1533" t="inlineStr">
        <is>
          <t>VENEZUELANOS</t>
        </is>
      </c>
      <c r="F1533" t="inlineStr">
        <is>
          <t>MANAUS</t>
        </is>
      </c>
      <c r="G1533" t="inlineStr">
        <is>
          <t>WAL LIMA</t>
        </is>
      </c>
      <c r="H1533" t="inlineStr">
        <is>
          <t>INTERDIÇÃO DA RODOVIÁRIA VAI SER PEDIDA AO MINISTÉRIO PÚBLICO DO AMAZONAS</t>
        </is>
      </c>
      <c r="I1533" t="inlineStr">
        <is>
          <t>VEREADOR AFIRMA QUE TERMINAL RODOVIÁRIO DE MANAUS NÃO TEM CONDIÇÕES DE ATENDIMENTO DEVIDO À FALTA DE ESTRUTURA E SANEAMENTO</t>
        </is>
      </c>
      <c r="J1533" t="inlineStr"/>
      <c r="K1533" t="n">
        <v>0</v>
      </c>
      <c r="L1533" t="n">
        <v>1</v>
      </c>
      <c r="M1533" t="n">
        <v>0</v>
      </c>
      <c r="N1533" t="n">
        <v>0</v>
      </c>
      <c r="O1533" t="n">
        <v>0</v>
      </c>
      <c r="P1533">
        <f>HYPERLINK("https://www.acritica.com/manaus/interdic-o-da-rodoviaria-vai-ser-pedida-ao-ministerio-publico-do-amazonas-1.66069", "URL")</f>
        <v/>
      </c>
      <c r="Q1533">
        <f>HYPERLINK("https://raw.githubusercontent.com/marcosmapl/dataset_imigrantes/main/materias_filtered/a_critica/venezuelanos/2019/04_mai/html/1.66069_593.html", "HTML")</f>
        <v/>
      </c>
      <c r="R1533">
        <f>HYPERLINK("https://raw.githubusercontent.com/marcosmapl/dataset_imigrantes/main/materias_filtered/a_critica/venezuelanos/2019/04_mai/txt/1.66069_593.txt", "TXT")</f>
        <v/>
      </c>
    </row>
    <row r="1534">
      <c r="A1534" s="1" t="n">
        <v>1532</v>
      </c>
      <c r="B1534" t="n">
        <v>2019</v>
      </c>
      <c r="C1534" s="2" t="n">
        <v>43600.44333412037</v>
      </c>
      <c r="D1534" t="inlineStr">
        <is>
          <t>G1</t>
        </is>
      </c>
      <c r="E1534" t="inlineStr">
        <is>
          <t>VENEZUELANOS</t>
        </is>
      </c>
      <c r="F1534" t="inlineStr">
        <is>
          <t>PERNAMBUCO</t>
        </is>
      </c>
      <c r="G1534" t="inlineStr">
        <is>
          <t>G1 PE</t>
        </is>
      </c>
      <c r="H1534" t="inlineStr">
        <is>
          <t>VENEZUELANO É PRESO COM 4 QUILOS DE COCAÍNA LÍQUIDA TENTANDO EMBARCAR PARA A EUROPA</t>
        </is>
      </c>
      <c r="I1534" t="inlineStr">
        <is>
          <t>ESSE É O TERCEIRO VENEZUELANO PRESO POR TRÁFICO DE COCAÍNA LÍQUIDA NO AEROPORTO DO RECIFE. AO TODO, 10 QUILOS DA DROGA FORAM APREENDIDAS EM MENOS DE DEZ DIAS.</t>
        </is>
      </c>
      <c r="J1534" t="inlineStr"/>
      <c r="K1534" t="n">
        <v>0</v>
      </c>
      <c r="L1534" t="n">
        <v>2</v>
      </c>
      <c r="M1534" t="n">
        <v>0</v>
      </c>
      <c r="N1534" t="n">
        <v>0</v>
      </c>
      <c r="O1534" t="n">
        <v>6</v>
      </c>
      <c r="P1534">
        <f>HYPERLINK("https://g1.globo.com/pe/pernambuco/noticia/2019/05/15/venezuelano-e-preso-com-4-quilos-de-cocaina-liquida-tentando-embarcar-para-a-europa.ghtml", "URL")</f>
        <v/>
      </c>
      <c r="Q1534">
        <f>HYPERLINK("https://raw.githubusercontent.com/marcosmapl/dataset_imigrantes/main/materias_filtered/g1/venezuelanos/2019/04_mai/html/g1_be40a446-231d-11ed-b24f-6dbe51e79fca_3518.html", "HTML")</f>
        <v/>
      </c>
      <c r="R1534">
        <f>HYPERLINK("https://raw.githubusercontent.com/marcosmapl/dataset_imigrantes/main/materias_filtered/g1/venezuelanos/2019/04_mai/txt/g1_be40a446-231d-11ed-b24f-6dbe51e79fca_3518.txt", "TXT")</f>
        <v/>
      </c>
    </row>
    <row r="1535">
      <c r="A1535" s="1" t="n">
        <v>1533</v>
      </c>
      <c r="B1535" t="n">
        <v>2019</v>
      </c>
      <c r="C1535" s="2" t="n">
        <v>43598.77182870371</v>
      </c>
      <c r="D1535" t="inlineStr">
        <is>
          <t>A CRITICA</t>
        </is>
      </c>
      <c r="E1535" t="inlineStr">
        <is>
          <t>VENEZUELANOS</t>
        </is>
      </c>
      <c r="F1535" t="inlineStr"/>
      <c r="G1535" t="inlineStr">
        <is>
          <t>LARISSA CAVALCANTE</t>
        </is>
      </c>
      <c r="H1535" t="inlineStr">
        <is>
          <t>INFORMALIDADE DE EMPREGADAS DOMÉSTICAS CRESCEU 16% NO AM NOS ÚLTIMOS 2 ANOS</t>
        </is>
      </c>
      <c r="I1535" t="inlineStr">
        <is>
          <t>FAMÍLIAS BUSCAM DIARISTAS E ATÉ IMIGRANTES SEIS ANOS APÓS LEI QUE GARANTIU DIREITOS TRABALHISTAS AOS TRABALHADORES DOMÉSTICOS TER SIDO SANCIONADA</t>
        </is>
      </c>
      <c r="J1535" t="inlineStr"/>
      <c r="K1535" t="n">
        <v>0</v>
      </c>
      <c r="L1535" t="n">
        <v>1</v>
      </c>
      <c r="M1535" t="n">
        <v>0</v>
      </c>
      <c r="N1535" t="n">
        <v>0</v>
      </c>
      <c r="O1535" t="n">
        <v>0</v>
      </c>
      <c r="P1535">
        <f>HYPERLINK("https://www.acritica.com/informalidade-de-empregadas-domesticas-cresceu-16-no-am-nos-ultimos-2-anos-1.66148", "URL")</f>
        <v/>
      </c>
      <c r="Q1535">
        <f>HYPERLINK("https://raw.githubusercontent.com/marcosmapl/dataset_imigrantes/main/materias_filtered/a_critica/venezuelanos/2019/04_mai/html/1.66148_243.html", "HTML")</f>
        <v/>
      </c>
      <c r="R1535">
        <f>HYPERLINK("https://raw.githubusercontent.com/marcosmapl/dataset_imigrantes/main/materias_filtered/a_critica/venezuelanos/2019/04_mai/txt/1.66148_243.txt", "TXT")</f>
        <v/>
      </c>
    </row>
    <row r="1536">
      <c r="A1536" s="1" t="n">
        <v>1534</v>
      </c>
      <c r="B1536" t="n">
        <v>2019</v>
      </c>
      <c r="C1536" s="2" t="n">
        <v>43598.74266849537</v>
      </c>
      <c r="D1536" t="inlineStr">
        <is>
          <t>G1</t>
        </is>
      </c>
      <c r="E1536" t="inlineStr">
        <is>
          <t>VENEZUELANOS</t>
        </is>
      </c>
      <c r="F1536" t="inlineStr">
        <is>
          <t>RIO GRANDE DO NORTE</t>
        </is>
      </c>
      <c r="G1536" t="inlineStr">
        <is>
          <t>EMMILY VIRGÍLIO, G1 RN</t>
        </is>
      </c>
      <c r="H1536" t="inlineStr">
        <is>
          <t>'MINHA VIDA VAI SER AQUI', DIZ AUDITORA FISCAL VENEZUELANA QUE VIROU GARÇONETE NO BRASIL</t>
        </is>
      </c>
      <c r="I1536" t="inlineStr">
        <is>
          <t>ATENDIDAS POR PROGRAMA DE INTERIORIZAÇÃO, FAMÍLIAS AINDA BUSCAM EMPREGO NO INTERIOR DO RN. MAIS DE 5,6 MIL VENEZUELANOS ESTÃO ESPALHADOS EM 17 ESTADOS BRASILEIROS.</t>
        </is>
      </c>
      <c r="J1536" t="inlineStr"/>
      <c r="K1536" t="n">
        <v>0</v>
      </c>
      <c r="L1536" t="n">
        <v>2</v>
      </c>
      <c r="M1536" t="n">
        <v>0</v>
      </c>
      <c r="N1536" t="n">
        <v>0</v>
      </c>
      <c r="O1536" t="n">
        <v>1</v>
      </c>
      <c r="P1536">
        <f>HYPERLINK("https://g1.globo.com/rn/rio-grande-do-norte/noticia/2019/05/13/minha-vida-vai-ser-aqui-diz-auditora-fiscal-venezuelana-que-virou-garconete-no-brasil.ghtml", "URL")</f>
        <v/>
      </c>
      <c r="Q1536">
        <f>HYPERLINK("https://raw.githubusercontent.com/marcosmapl/dataset_imigrantes/main/materias_filtered/g1/venezuelanos/2019/04_mai/html/g1_04d32a44-2316-11ed-b24f-6dbe51e79fca_3121.html", "HTML")</f>
        <v/>
      </c>
      <c r="R1536">
        <f>HYPERLINK("https://raw.githubusercontent.com/marcosmapl/dataset_imigrantes/main/materias_filtered/g1/venezuelanos/2019/04_mai/txt/g1_04d32a44-2316-11ed-b24f-6dbe51e79fca_3121.txt", "TXT")</f>
        <v/>
      </c>
    </row>
    <row r="1537">
      <c r="A1537" s="1" t="n">
        <v>1535</v>
      </c>
      <c r="B1537" t="n">
        <v>2019</v>
      </c>
      <c r="C1537" s="2" t="n">
        <v>43598.48505766204</v>
      </c>
      <c r="D1537" t="inlineStr">
        <is>
          <t>G1</t>
        </is>
      </c>
      <c r="E1537" t="inlineStr">
        <is>
          <t>VENEZUELANOS</t>
        </is>
      </c>
      <c r="F1537" t="inlineStr">
        <is>
          <t>MUNDO</t>
        </is>
      </c>
      <c r="G1537" t="inlineStr">
        <is>
          <t>REUTERS</t>
        </is>
      </c>
      <c r="H1537" t="inlineStr">
        <is>
          <t>'É HORA DE SE LEVANTAR', DIZ GENERAL VENEZUELANO A MILITARES EM VÍDEO</t>
        </is>
      </c>
      <c r="I1537" t="inlineStr">
        <is>
          <t>MILITAR DIZ QUE VENEZUELA É COMANDADA POR COMUNISTAS CUBANOS.</t>
        </is>
      </c>
      <c r="J1537" t="inlineStr"/>
      <c r="K1537" t="n">
        <v>0</v>
      </c>
      <c r="L1537" t="n">
        <v>1</v>
      </c>
      <c r="M1537" t="n">
        <v>0</v>
      </c>
      <c r="N1537" t="n">
        <v>0</v>
      </c>
      <c r="O1537" t="n">
        <v>3</v>
      </c>
      <c r="P1537">
        <f>HYPERLINK("https://g1.globo.com/mundo/noticia/2019/05/13/e-hora-de-se-levantar-diz-general-da-venezuela-a-militares-em-video.ghtml", "URL")</f>
        <v/>
      </c>
      <c r="Q1537">
        <f>HYPERLINK("https://raw.githubusercontent.com/marcosmapl/dataset_imigrantes/main/materias_filtered/g1/venezuelanos/2019/04_mai/html/g1_af5614da-2321-11ed-b24f-6dbe51e79fca_3713.html", "HTML")</f>
        <v/>
      </c>
      <c r="R1537">
        <f>HYPERLINK("https://raw.githubusercontent.com/marcosmapl/dataset_imigrantes/main/materias_filtered/g1/venezuelanos/2019/04_mai/txt/g1_af5614da-2321-11ed-b24f-6dbe51e79fca_3713.txt", "TXT")</f>
        <v/>
      </c>
    </row>
    <row r="1538">
      <c r="A1538" s="1" t="n">
        <v>1536</v>
      </c>
      <c r="B1538" t="n">
        <v>2019</v>
      </c>
      <c r="C1538" s="2" t="n">
        <v>43597.72025462963</v>
      </c>
      <c r="D1538" t="inlineStr">
        <is>
          <t>A CRITICA</t>
        </is>
      </c>
      <c r="E1538" t="inlineStr">
        <is>
          <t>VENEZUELANOS</t>
        </is>
      </c>
      <c r="F1538" t="inlineStr"/>
      <c r="G1538" t="inlineStr">
        <is>
          <t>AGÊNCIA BRASIL</t>
        </is>
      </c>
      <c r="H1538" t="inlineStr">
        <is>
          <t>JUAN GUAIDÓ BUSCA AJUDA DOS EUA PARA RESOLVER CRISE NA VENEZUELA</t>
        </is>
      </c>
      <c r="I1538" t="inlineStr">
        <is>
          <t>CRAIG FALLER, UM DOS LÍDERES DO DEPARTAMENTO DE DEFESA ESTADUNIDENSE, JÁ OFERECEU AJUDA AO OPOSITOR VENEZUELANO</t>
        </is>
      </c>
      <c r="J1538" t="inlineStr"/>
      <c r="K1538" t="n">
        <v>0</v>
      </c>
      <c r="L1538" t="n">
        <v>1</v>
      </c>
      <c r="M1538" t="n">
        <v>0</v>
      </c>
      <c r="N1538" t="n">
        <v>0</v>
      </c>
      <c r="O1538" t="n">
        <v>0</v>
      </c>
      <c r="P1538">
        <f>HYPERLINK("https://www.acritica.com/juan-guaido-busca-ajuda-dos-eua-para-resolver-crise-na-venezuela-1.69482", "URL")</f>
        <v/>
      </c>
      <c r="Q1538">
        <f>HYPERLINK("https://raw.githubusercontent.com/marcosmapl/dataset_imigrantes/main/materias_filtered/a_critica/venezuelanos/2019/04_mai/html/1.69482_1141.html", "HTML")</f>
        <v/>
      </c>
      <c r="R1538">
        <f>HYPERLINK("https://raw.githubusercontent.com/marcosmapl/dataset_imigrantes/main/materias_filtered/a_critica/venezuelanos/2019/04_mai/txt/1.69482_1141.txt", "TXT")</f>
        <v/>
      </c>
    </row>
    <row r="1539">
      <c r="A1539" s="1" t="n">
        <v>1537</v>
      </c>
      <c r="B1539" t="n">
        <v>2019</v>
      </c>
      <c r="C1539" s="2" t="n">
        <v>43596.88368055555</v>
      </c>
      <c r="D1539" t="inlineStr">
        <is>
          <t>A CRITICA</t>
        </is>
      </c>
      <c r="E1539" t="inlineStr">
        <is>
          <t>VENEZUELANOS</t>
        </is>
      </c>
      <c r="F1539" t="inlineStr"/>
      <c r="G1539" t="inlineStr">
        <is>
          <t>AGÊNCIA BRASIL</t>
        </is>
      </c>
      <c r="H1539" t="inlineStr">
        <is>
          <t>BRASIL REGISTRA ENTRADA DE 893 VENEZUELANOS APÓS A REABERTURA DA FRONTEIRA</t>
        </is>
      </c>
      <c r="I1539" t="inlineStr">
        <is>
          <t>COM A REABERTURA, MUITOS VENEZUELANOS TAMBÉM APROVEITARAM PARA COMPRAR ALIMENTOS EM PACARAIMA (RR), CIDADE BRASILEIRA MAIS PRÓXIMA DA FRONTEIRA COM A VENEZUELA</t>
        </is>
      </c>
      <c r="J1539" t="inlineStr"/>
      <c r="K1539" t="n">
        <v>0</v>
      </c>
      <c r="L1539" t="n">
        <v>1</v>
      </c>
      <c r="M1539" t="n">
        <v>0</v>
      </c>
      <c r="N1539" t="n">
        <v>0</v>
      </c>
      <c r="O1539" t="n">
        <v>0</v>
      </c>
      <c r="P1539">
        <f>HYPERLINK("https://www.acritica.com/brasil-registra-entrada-de-893-venezuelanos-apos-a-reabertura-da-fronteira-1.69498", "URL")</f>
        <v/>
      </c>
      <c r="Q1539">
        <f>HYPERLINK("https://raw.githubusercontent.com/marcosmapl/dataset_imigrantes/main/materias_filtered/a_critica/venezuelanos/2019/04_mai/html/1.69498_1102.html", "HTML")</f>
        <v/>
      </c>
      <c r="R1539">
        <f>HYPERLINK("https://raw.githubusercontent.com/marcosmapl/dataset_imigrantes/main/materias_filtered/a_critica/venezuelanos/2019/04_mai/txt/1.69498_1102.txt", "TXT")</f>
        <v/>
      </c>
    </row>
    <row r="1540">
      <c r="A1540" s="1" t="n">
        <v>1538</v>
      </c>
      <c r="B1540" t="n">
        <v>2019</v>
      </c>
      <c r="C1540" s="2" t="n">
        <v>43596.70772730324</v>
      </c>
      <c r="D1540" t="inlineStr">
        <is>
          <t>G1</t>
        </is>
      </c>
      <c r="E1540" t="inlineStr">
        <is>
          <t>VENEZUELANOS</t>
        </is>
      </c>
      <c r="F1540" t="inlineStr">
        <is>
          <t>MUNDO</t>
        </is>
      </c>
      <c r="G1540" t="inlineStr">
        <is>
          <t>FRANCE PRESSE</t>
        </is>
      </c>
      <c r="H1540" t="inlineStr">
        <is>
          <t>OPOSITORES VENEZUELANOS PROTESTAM APÓS OFENSIVA DE MADURO CONTRA ASSEMBLEIA</t>
        </is>
      </c>
      <c r="I1540" t="inlineStr">
        <is>
          <t>MANIFESTAÇÃO ACONTECE DIAS DEPOIS DO FRACASSO DE UMA REBELIÃO MILITAR ANUNCIADA PELO LÍDER DA OPOSIÇÃO QUE TENTAVA TIRAR DO PODER O PRESIDENTE VENEZUELANO, NICOLÁS MADURO.</t>
        </is>
      </c>
      <c r="J1540" t="inlineStr"/>
      <c r="K1540" t="n">
        <v>0</v>
      </c>
      <c r="L1540" t="n">
        <v>2</v>
      </c>
      <c r="M1540" t="n">
        <v>0</v>
      </c>
      <c r="N1540" t="n">
        <v>0</v>
      </c>
      <c r="O1540" t="n">
        <v>1</v>
      </c>
      <c r="P1540">
        <f>HYPERLINK("https://g1.globo.com/mundo/noticia/2019/05/11/opositores-venezuelanos-protestam-em-repudio-a-ofensiva-de-maduro.ghtml", "URL")</f>
        <v/>
      </c>
      <c r="Q1540">
        <f>HYPERLINK("https://raw.githubusercontent.com/marcosmapl/dataset_imigrantes/main/materias_filtered/g1/venezuelanos/2019/04_mai/html/g1_3be691d8-232a-11ed-b24f-6dbe51e79fca_4165.html", "HTML")</f>
        <v/>
      </c>
      <c r="R1540">
        <f>HYPERLINK("https://raw.githubusercontent.com/marcosmapl/dataset_imigrantes/main/materias_filtered/g1/venezuelanos/2019/04_mai/txt/g1_3be691d8-232a-11ed-b24f-6dbe51e79fca_4165.txt", "TXT")</f>
        <v/>
      </c>
    </row>
    <row r="1541">
      <c r="A1541" s="1" t="n">
        <v>1539</v>
      </c>
      <c r="B1541" t="n">
        <v>2019</v>
      </c>
      <c r="C1541" s="2" t="n">
        <v>43595.63189170139</v>
      </c>
      <c r="D1541" t="inlineStr">
        <is>
          <t>G1</t>
        </is>
      </c>
      <c r="E1541" t="inlineStr">
        <is>
          <t>HAITIANOS</t>
        </is>
      </c>
      <c r="F1541" t="inlineStr">
        <is>
          <t>MATO GROSSO</t>
        </is>
      </c>
      <c r="G1541" t="inlineStr">
        <is>
          <t>CINTHYA ROCHA, TV CENTRO AMÉRICA</t>
        </is>
      </c>
      <c r="H1541" t="inlineStr">
        <is>
          <t>CANTORES HAITIANOS FAZEM SHOW EM CUIABÁ E RENDA SERÁ DOADA A ONG</t>
        </is>
      </c>
      <c r="I1541" t="inlineStr">
        <is>
          <t>INGRESSOS SÃO VENDIDOS A R$ 20. A ATRAÇÃO PRINCIPAL DO EVENTO SERÁ O HAITIANO E EX THE VOICE BRASIL, GUIPSON PIERRE.</t>
        </is>
      </c>
      <c r="J1541" t="inlineStr"/>
      <c r="K1541" t="n">
        <v>0</v>
      </c>
      <c r="L1541" t="n">
        <v>1</v>
      </c>
      <c r="M1541" t="n">
        <v>0</v>
      </c>
      <c r="N1541" t="n">
        <v>0</v>
      </c>
      <c r="O1541" t="n">
        <v>0</v>
      </c>
      <c r="P1541">
        <f>HYPERLINK("https://g1.globo.com/mt/mato-grosso/noticia/2019/05/10/cantores-haitianos-fazem-show-em-cuiaba-e-renda-sera-doada-a-ong-que-cuida-de-animais-resgatados-das-ruas.ghtml", "URL")</f>
        <v/>
      </c>
      <c r="Q1541">
        <f>HYPERLINK("https://raw.githubusercontent.com/marcosmapl/dataset_imigrantes/main/materias_filtered/g1/haitianos/2019/04_mai/html/g1_cf16e1dc-22f4-11ed-b24f-6dbe51e79fca_1911.html", "HTML")</f>
        <v/>
      </c>
      <c r="R1541">
        <f>HYPERLINK("https://raw.githubusercontent.com/marcosmapl/dataset_imigrantes/main/materias_filtered/g1/haitianos/2019/04_mai/txt/g1_cf16e1dc-22f4-11ed-b24f-6dbe51e79fca_1911.txt", "TXT")</f>
        <v/>
      </c>
    </row>
    <row r="1542">
      <c r="A1542" s="1" t="n">
        <v>1540</v>
      </c>
      <c r="B1542" t="n">
        <v>2019</v>
      </c>
      <c r="C1542" s="2" t="n">
        <v>43595.55087962963</v>
      </c>
      <c r="D1542" t="inlineStr">
        <is>
          <t>A CRITICA</t>
        </is>
      </c>
      <c r="E1542" t="inlineStr">
        <is>
          <t>VENEZUELANOS</t>
        </is>
      </c>
      <c r="F1542" t="inlineStr"/>
      <c r="G1542" t="inlineStr">
        <is>
          <t>REUTERS</t>
        </is>
      </c>
      <c r="H1542" t="inlineStr">
        <is>
          <t>GUAIDÓ DIZ QUE PROVAVELMENTE ACEITARIA PROPOSTA DE INTERVENÇÃO MILITAR DOS EUA</t>
        </is>
      </c>
      <c r="I1542" t="inlineStr">
        <is>
          <t>"SE OS AMERICANOS PROPUSESSEM UMA INTERVENÇÃO MILITAR, EU PROVAVELMENTE ACEITARIA", DISSE GUAIDÓ EM UMA ENTREVISTA AO JORNAL ITALIANO LA STAMPA</t>
        </is>
      </c>
      <c r="J1542" t="inlineStr"/>
      <c r="K1542" t="n">
        <v>0</v>
      </c>
      <c r="L1542" t="n">
        <v>1</v>
      </c>
      <c r="M1542" t="n">
        <v>0</v>
      </c>
      <c r="N1542" t="n">
        <v>0</v>
      </c>
      <c r="O1542" t="n">
        <v>0</v>
      </c>
      <c r="P1542">
        <f>HYPERLINK("https://www.acritica.com/guaido-diz-que-provavelmente-aceitaria-proposta-de-intervenc-o-militar-dos-eua-1.69556", "URL")</f>
        <v/>
      </c>
      <c r="Q1542">
        <f>HYPERLINK("https://raw.githubusercontent.com/marcosmapl/dataset_imigrantes/main/materias_filtered/a_critica/venezuelanos/2019/04_mai/html/1.69556_1053.html", "HTML")</f>
        <v/>
      </c>
      <c r="R1542">
        <f>HYPERLINK("https://raw.githubusercontent.com/marcosmapl/dataset_imigrantes/main/materias_filtered/a_critica/venezuelanos/2019/04_mai/txt/1.69556_1053.txt", "TXT")</f>
        <v/>
      </c>
    </row>
    <row r="1543">
      <c r="A1543" s="1" t="n">
        <v>1541</v>
      </c>
      <c r="B1543" t="n">
        <v>2019</v>
      </c>
      <c r="C1543" s="2" t="n">
        <v>43595.46447581019</v>
      </c>
      <c r="D1543" t="inlineStr">
        <is>
          <t>G1</t>
        </is>
      </c>
      <c r="E1543" t="inlineStr">
        <is>
          <t>HAITIANOS</t>
        </is>
      </c>
      <c r="F1543" t="inlineStr">
        <is>
          <t>SANTA CATARINA</t>
        </is>
      </c>
      <c r="G1543" t="inlineStr">
        <is>
          <t>NSC TV</t>
        </is>
      </c>
      <c r="H1543" t="inlineStr">
        <is>
          <t>CORPO DE HAITIANA DESAPARECIDA HÁ TRÊS DIAS É ENCONTRADO EM CHÁCARA NO SUL DE SC</t>
        </is>
      </c>
      <c r="I1543" t="inlineStr">
        <is>
          <t>VÍTIMA FOI IDENTIFICADA E TEM 26 ANOS. EM TRÊS DIAS, É O SEGUNDO CASO DE MULHER ENCONTRADA MORTA, NO SUL CATARINENSE.</t>
        </is>
      </c>
      <c r="J1543" t="inlineStr"/>
      <c r="K1543" t="n">
        <v>0</v>
      </c>
      <c r="L1543" t="n">
        <v>1</v>
      </c>
      <c r="M1543" t="n">
        <v>1</v>
      </c>
      <c r="N1543" t="n">
        <v>0</v>
      </c>
      <c r="O1543" t="n">
        <v>3</v>
      </c>
      <c r="P1543">
        <f>HYPERLINK("https://g1.globo.com/sc/santa-catarina/noticia/2019/05/10/corpo-de-haitiana-desaparecida-ha-tres-dias-e-encontrado-em-chacara-no-sul-de-sc.ghtml", "URL")</f>
        <v/>
      </c>
      <c r="Q1543">
        <f>HYPERLINK("https://raw.githubusercontent.com/marcosmapl/dataset_imigrantes/main/materias_filtered/g1/haitianos/2019/04_mai/html/g1_412b5fc0-231b-11ed-b24f-6dbe51e79fca_3374.html", "HTML")</f>
        <v/>
      </c>
      <c r="R1543">
        <f>HYPERLINK("https://raw.githubusercontent.com/marcosmapl/dataset_imigrantes/main/materias_filtered/g1/haitianos/2019/04_mai/txt/g1_412b5fc0-231b-11ed-b24f-6dbe51e79fca_3374.txt", "TXT")</f>
        <v/>
      </c>
    </row>
    <row r="1544">
      <c r="A1544" s="1" t="n">
        <v>1542</v>
      </c>
      <c r="B1544" t="n">
        <v>2019</v>
      </c>
      <c r="C1544" s="2" t="n">
        <v>43595.02608359954</v>
      </c>
      <c r="D1544" t="inlineStr">
        <is>
          <t>G1</t>
        </is>
      </c>
      <c r="E1544" t="inlineStr">
        <is>
          <t>VENEZUELANOS</t>
        </is>
      </c>
      <c r="F1544" t="inlineStr">
        <is>
          <t>MUNDO</t>
        </is>
      </c>
      <c r="G1544" t="inlineStr">
        <is>
          <t>G1</t>
        </is>
      </c>
      <c r="H1544" t="inlineStr">
        <is>
          <t>EMBAIXADA DA VENEZUELA NOS EUA TEM OCUPAÇÃO, PIQUETES, PRISÕES E LUZ CORTADA</t>
        </is>
      </c>
      <c r="I1544" t="inlineStr">
        <is>
          <t>TODOS OS MANIFESTANTES QUE OCUPAM O PRÉDIO SÃO NORTE-AMERICANOS AUTORIZADOS POR NICOLÁS MADURO, SEGUNDO AGÊNCIA. GRUPO QUER EVITAR ENTRADA DE DELEGAÇÃO APONTADA POR JUAN GUAIDÓ.</t>
        </is>
      </c>
      <c r="J1544" t="inlineStr"/>
      <c r="K1544" t="n">
        <v>0</v>
      </c>
      <c r="L1544" t="n">
        <v>3</v>
      </c>
      <c r="M1544" t="n">
        <v>0</v>
      </c>
      <c r="N1544" t="n">
        <v>0</v>
      </c>
      <c r="O1544" t="n">
        <v>5</v>
      </c>
      <c r="P1544">
        <f>HYPERLINK("https://g1.globo.com/mundo/noticia/2019/05/09/embaixada-da-venezuela-nos-eua-tem-ocupacao-piquetes-prisoes-e-luz-cortada.ghtml", "URL")</f>
        <v/>
      </c>
      <c r="Q1544">
        <f>HYPERLINK("https://raw.githubusercontent.com/marcosmapl/dataset_imigrantes/main/materias_filtered/g1/venezuelanos/2019/04_mai/html/g1_e29aec9e-2317-11ed-b24f-6dbe51e79fca_3232.html", "HTML")</f>
        <v/>
      </c>
      <c r="R1544">
        <f>HYPERLINK("https://raw.githubusercontent.com/marcosmapl/dataset_imigrantes/main/materias_filtered/g1/venezuelanos/2019/04_mai/txt/g1_e29aec9e-2317-11ed-b24f-6dbe51e79fca_3232.txt", "TXT")</f>
        <v/>
      </c>
    </row>
    <row r="1545">
      <c r="A1545" s="1" t="n">
        <v>1543</v>
      </c>
      <c r="B1545" t="n">
        <v>2019</v>
      </c>
      <c r="C1545" s="2" t="n">
        <v>43594.49228766204</v>
      </c>
      <c r="D1545" t="inlineStr">
        <is>
          <t>G1</t>
        </is>
      </c>
      <c r="E1545" t="inlineStr">
        <is>
          <t>VENEZUELANOS</t>
        </is>
      </c>
      <c r="F1545" t="inlineStr">
        <is>
          <t>AMAZONAS</t>
        </is>
      </c>
      <c r="G1545" t="inlineStr">
        <is>
          <t>G1 AM</t>
        </is>
      </c>
      <c r="H1545" t="inlineStr">
        <is>
          <t>VENEZUELANO É FLAGRADO COM 1,5 KG DE DROGAS PRESAS AO CORPO, NO AEROPORTO DE MANAUS</t>
        </is>
      </c>
      <c r="I1545" t="inlineStr">
        <is>
          <t>PASSAGEIRO CONFESSOU, AINDA, TER INGERIDO 35 CÁPSULAS DE DROGA.</t>
        </is>
      </c>
      <c r="J1545" t="inlineStr"/>
      <c r="K1545" t="n">
        <v>0</v>
      </c>
      <c r="L1545" t="n">
        <v>1</v>
      </c>
      <c r="M1545" t="n">
        <v>0</v>
      </c>
      <c r="N1545" t="n">
        <v>0</v>
      </c>
      <c r="O1545" t="n">
        <v>0</v>
      </c>
      <c r="P1545">
        <f>HYPERLINK("https://g1.globo.com/am/amazonas/noticia/2019/05/09/venezuelano-e-flagrado-com-15-kg-de-drogas-presas-ao-corpo-no-aeroporto-de-manaus.ghtml", "URL")</f>
        <v/>
      </c>
      <c r="Q1545">
        <f>HYPERLINK("https://raw.githubusercontent.com/marcosmapl/dataset_imigrantes/main/materias_filtered/g1/venezuelanos/2019/04_mai/html/g1_1978d2f0-232a-11ed-b24f-6dbe51e79fca_4157.html", "HTML")</f>
        <v/>
      </c>
      <c r="R1545">
        <f>HYPERLINK("https://raw.githubusercontent.com/marcosmapl/dataset_imigrantes/main/materias_filtered/g1/venezuelanos/2019/04_mai/txt/g1_1978d2f0-232a-11ed-b24f-6dbe51e79fca_4157.txt", "TXT")</f>
        <v/>
      </c>
    </row>
    <row r="1546">
      <c r="A1546" s="1" t="n">
        <v>1544</v>
      </c>
      <c r="B1546" t="n">
        <v>2019</v>
      </c>
      <c r="C1546" s="2" t="n">
        <v>43594.43422052083</v>
      </c>
      <c r="D1546" t="inlineStr">
        <is>
          <t>G1</t>
        </is>
      </c>
      <c r="E1546" t="inlineStr">
        <is>
          <t>HAITIANOS</t>
        </is>
      </c>
      <c r="F1546" t="inlineStr">
        <is>
          <t>ITAPETININGA E REGIÃO</t>
        </is>
      </c>
      <c r="G1546" t="inlineStr">
        <is>
          <t>G1 ITAPETININGA E REGIÃO</t>
        </is>
      </c>
      <c r="H1546" t="inlineStr">
        <is>
          <t>PROFESSOR APOSENTADO ENSINA LÍNGUA PORTUGUESA PARA IMIGRANTES HAITIANOS NO INTERIOR DE SP</t>
        </is>
      </c>
      <c r="I1546" t="inlineStr">
        <is>
          <t>ANTONIO MARMO ALEXANDRINI, DE PEREIRAS (SP), DEU AULA DURANTE 36 ANOS E AGORA SEU OBJETIVO É ALFABETIZAR VOLUNTARIAMENTE CERCA DE 31 IMIGRANTES.</t>
        </is>
      </c>
      <c r="J1546" t="inlineStr"/>
      <c r="K1546" t="n">
        <v>0</v>
      </c>
      <c r="L1546" t="n">
        <v>2</v>
      </c>
      <c r="M1546" t="n">
        <v>1</v>
      </c>
      <c r="N1546" t="n">
        <v>0</v>
      </c>
      <c r="O1546" t="n">
        <v>1</v>
      </c>
      <c r="P1546">
        <f>HYPERLINK("https://g1.globo.com/sp/itapetininga-regiao/noticia/2019/05/09/professor-aposentado-ensina-lingua-portuguesa-para-imigrantes-haitianos-no-interior-de-sp.ghtml", "URL")</f>
        <v/>
      </c>
      <c r="Q1546">
        <f>HYPERLINK("https://raw.githubusercontent.com/marcosmapl/dataset_imigrantes/main/materias_filtered/g1/haitianos/2019/04_mai/html/g1_3445208e-22f3-11ed-b24f-6dbe51e79fca_1829.html", "HTML")</f>
        <v/>
      </c>
      <c r="R1546">
        <f>HYPERLINK("https://raw.githubusercontent.com/marcosmapl/dataset_imigrantes/main/materias_filtered/g1/haitianos/2019/04_mai/txt/g1_3445208e-22f3-11ed-b24f-6dbe51e79fca_1829.txt", "TXT")</f>
        <v/>
      </c>
    </row>
    <row r="1547">
      <c r="A1547" s="1" t="n">
        <v>1545</v>
      </c>
      <c r="B1547" t="n">
        <v>2019</v>
      </c>
      <c r="C1547" s="2" t="n">
        <v>43593.37579493056</v>
      </c>
      <c r="D1547" t="inlineStr">
        <is>
          <t>G1</t>
        </is>
      </c>
      <c r="E1547" t="inlineStr">
        <is>
          <t>VENEZUELANOS</t>
        </is>
      </c>
      <c r="F1547" t="inlineStr">
        <is>
          <t>RORAIMA</t>
        </is>
      </c>
      <c r="G1547" t="inlineStr">
        <is>
          <t>EMILY COSTA, G1 RR — PACARAIMA</t>
        </is>
      </c>
      <c r="H1547" t="inlineStr">
        <is>
          <t>CRIANÇAS VENEZUELANAS SE ARRISCAM A CRUZAR ROTAS ILEGAIS PARA ESTUDAR NO BRASIL</t>
        </is>
      </c>
      <c r="I1547" t="inlineStr">
        <is>
          <t>COM FRONTEIRA FECHADA HÁ 2 MESES, ALUNOS SE VEEM FORÇADOS A USAR TRILHAS PARA ESTUDAR NA CIDADE BRASILEIRA DE PACARAIMA. ALÉM DE AULAS, MERENDA ESCOLAR TAMBÉM ATRAI VENEZUELANOS: 'PEDEM COMIDA PARA LEVAR PARA CASA'.</t>
        </is>
      </c>
      <c r="J1547" t="inlineStr"/>
      <c r="K1547" t="n">
        <v>0</v>
      </c>
      <c r="L1547" t="n">
        <v>1</v>
      </c>
      <c r="M1547" t="n">
        <v>0</v>
      </c>
      <c r="N1547" t="n">
        <v>0</v>
      </c>
      <c r="O1547" t="n">
        <v>10</v>
      </c>
      <c r="P1547">
        <f>HYPERLINK("https://g1.globo.com/rr/roraima/noticia/2019/05/08/criancas-venezuelanas-se-arriscam-a-cruzar-rotas-ilegais-para-estudar-no-brasil.ghtml", "URL")</f>
        <v/>
      </c>
      <c r="Q1547">
        <f>HYPERLINK("https://raw.githubusercontent.com/marcosmapl/dataset_imigrantes/main/materias_filtered/g1/venezuelanos/2019/04_mai/html/g1_7efc2318-231e-11ed-b24f-6dbe51e79fca_3565.html", "HTML")</f>
        <v/>
      </c>
      <c r="R1547">
        <f>HYPERLINK("https://raw.githubusercontent.com/marcosmapl/dataset_imigrantes/main/materias_filtered/g1/venezuelanos/2019/04_mai/txt/g1_7efc2318-231e-11ed-b24f-6dbe51e79fca_3565.txt", "TXT")</f>
        <v/>
      </c>
    </row>
    <row r="1548">
      <c r="A1548" s="1" t="n">
        <v>1546</v>
      </c>
      <c r="B1548" t="n">
        <v>2019</v>
      </c>
      <c r="C1548" s="2" t="n">
        <v>43592.91718915509</v>
      </c>
      <c r="D1548" t="inlineStr">
        <is>
          <t>G1</t>
        </is>
      </c>
      <c r="E1548" t="inlineStr">
        <is>
          <t>VENEZUELANOS</t>
        </is>
      </c>
      <c r="F1548" t="inlineStr">
        <is>
          <t>MUNDO</t>
        </is>
      </c>
      <c r="G1548" t="inlineStr">
        <is>
          <t>FRANCE PRESSE</t>
        </is>
      </c>
      <c r="H1548" t="inlineStr">
        <is>
          <t>EUA RETIRAM SANÇÕES A EX-CHEFE DE INTELIGÊNCIA VENEZUELANO APÓS DESERÇÃO</t>
        </is>
      </c>
      <c r="I1548" t="inlineStr">
        <is>
          <t>VICE MIKE PENCE TAMBÉM ANUNCIOU QUE NAVIO HOSPITAL VOLTARÁ A ÁGUAS PRÓXIMAS À VENEZUELA PARA AJUDAR PAÍSES VIZINHOS QUE RECEBERAM IMIGRANTES VENEZUELANOS.</t>
        </is>
      </c>
      <c r="J1548" t="inlineStr"/>
      <c r="K1548" t="n">
        <v>0</v>
      </c>
      <c r="L1548" t="n">
        <v>1</v>
      </c>
      <c r="M1548" t="n">
        <v>0</v>
      </c>
      <c r="N1548" t="n">
        <v>0</v>
      </c>
      <c r="O1548" t="n">
        <v>1</v>
      </c>
      <c r="P1548">
        <f>HYPERLINK("https://g1.globo.com/mundo/noticia/2019/05/07/eua-retiram-sancoes-a-ex-chefe-de-inteligencia-venezuelano-apos-desercao.ghtml", "URL")</f>
        <v/>
      </c>
      <c r="Q1548">
        <f>HYPERLINK("https://raw.githubusercontent.com/marcosmapl/dataset_imigrantes/main/materias_filtered/g1/venezuelanos/2019/04_mai/html/g1_5033b46a-2323-11ed-b24f-6dbe51e79fca_3799.html", "HTML")</f>
        <v/>
      </c>
      <c r="R1548">
        <f>HYPERLINK("https://raw.githubusercontent.com/marcosmapl/dataset_imigrantes/main/materias_filtered/g1/venezuelanos/2019/04_mai/txt/g1_5033b46a-2323-11ed-b24f-6dbe51e79fca_3799.txt", "TXT")</f>
        <v/>
      </c>
    </row>
    <row r="1549">
      <c r="A1549" s="1" t="n">
        <v>1547</v>
      </c>
      <c r="B1549" t="n">
        <v>2019</v>
      </c>
      <c r="C1549" s="2" t="n">
        <v>43592.89513888889</v>
      </c>
      <c r="D1549" t="inlineStr">
        <is>
          <t>A CRITICA</t>
        </is>
      </c>
      <c r="E1549" t="inlineStr">
        <is>
          <t>VENEZUELANOS</t>
        </is>
      </c>
      <c r="F1549" t="inlineStr">
        <is>
          <t>MANAUS</t>
        </is>
      </c>
      <c r="G1549" t="inlineStr">
        <is>
          <t>SUELEN GONÇALVES</t>
        </is>
      </c>
      <c r="H1549" t="inlineStr">
        <is>
          <t>MPF RECOMENDA QUE PREFEITURA MUDE FORMA DE ABRIGO DE INDÍGENAS WARAO</t>
        </is>
      </c>
      <c r="I1549" t="inlineStr">
        <is>
          <t>O MINISTÉRIO PÚBLICO SUGERE QUE OS VENEZUELANOS EM MANAUS SEJAM LEVADOS PARA VIVER EM GRUPOS FAMILIARES EM CASAS E DE ACORDO COM AFINIDADES. HOJE, 761 INDÍGENAS WARAO ESTÃO EM ABRIGOS NA CAPITAL</t>
        </is>
      </c>
      <c r="J1549" t="inlineStr"/>
      <c r="K1549" t="n">
        <v>0</v>
      </c>
      <c r="L1549" t="n">
        <v>1</v>
      </c>
      <c r="M1549" t="n">
        <v>0</v>
      </c>
      <c r="N1549" t="n">
        <v>0</v>
      </c>
      <c r="O1549" t="n">
        <v>1</v>
      </c>
      <c r="P1549">
        <f>HYPERLINK("https://www.acritica.com/manaus/mpf-recomenda-que-prefeitura-mude-forma-de-abrigo-de-indigenas-warao-1.68203", "URL")</f>
        <v/>
      </c>
      <c r="Q1549">
        <f>HYPERLINK("https://raw.githubusercontent.com/marcosmapl/dataset_imigrantes/main/materias_filtered/a_critica/venezuelanos/2019/04_mai/html/1.68203_1056.html", "HTML")</f>
        <v/>
      </c>
      <c r="R1549">
        <f>HYPERLINK("https://raw.githubusercontent.com/marcosmapl/dataset_imigrantes/main/materias_filtered/a_critica/venezuelanos/2019/04_mai/txt/1.68203_1056.txt", "TXT")</f>
        <v/>
      </c>
    </row>
    <row r="1550">
      <c r="A1550" s="1" t="n">
        <v>1548</v>
      </c>
      <c r="B1550" t="n">
        <v>2019</v>
      </c>
      <c r="C1550" s="2" t="n">
        <v>43592.40932822917</v>
      </c>
      <c r="D1550" t="inlineStr">
        <is>
          <t>G1</t>
        </is>
      </c>
      <c r="E1550" t="inlineStr">
        <is>
          <t>VENEZUELANOS</t>
        </is>
      </c>
      <c r="F1550" t="inlineStr">
        <is>
          <t>PERNAMBUCO</t>
        </is>
      </c>
      <c r="G1550" t="inlineStr">
        <is>
          <t>G1 PE</t>
        </is>
      </c>
      <c r="H1550" t="inlineStr">
        <is>
          <t>VENEZUELANAS SÃO PRESAS COM 6 QUILOS DE COCAÍNA LÍQUIDA AO TENTAR EMBARCAR PARA A EUROPA</t>
        </is>
      </c>
      <c r="I1550" t="inlineStr">
        <is>
          <t>ABORDADAS NO AEROPORTO DO RECIFE, MULHERES AFIRMARAM À PF QUE FORAM AMEAÇADAS POR TRAFICANTES PARA FAZER O TRANSPORTE. DROGA ESTAVA ESCONDIDA EM MALAS.</t>
        </is>
      </c>
      <c r="J1550" t="inlineStr"/>
      <c r="K1550" t="n">
        <v>0</v>
      </c>
      <c r="L1550" t="n">
        <v>2</v>
      </c>
      <c r="M1550" t="n">
        <v>1</v>
      </c>
      <c r="N1550" t="n">
        <v>0</v>
      </c>
      <c r="O1550" t="n">
        <v>3</v>
      </c>
      <c r="P1550">
        <f>HYPERLINK("https://g1.globo.com/pe/pernambuco/noticia/2019/05/07/venezuelanas-sao-presas-com-6-quilos-de-cocaina-liquida-ao-tentar-embarcar-para-a-europa.ghtml", "URL")</f>
        <v/>
      </c>
      <c r="Q1550">
        <f>HYPERLINK("https://raw.githubusercontent.com/marcosmapl/dataset_imigrantes/main/materias_filtered/g1/venezuelanos/2019/04_mai/html/g1_188147b2-2314-11ed-b24f-6dbe51e79fca_3045.html", "HTML")</f>
        <v/>
      </c>
      <c r="R1550">
        <f>HYPERLINK("https://raw.githubusercontent.com/marcosmapl/dataset_imigrantes/main/materias_filtered/g1/venezuelanos/2019/04_mai/txt/g1_188147b2-2314-11ed-b24f-6dbe51e79fca_3045.txt", "TXT")</f>
        <v/>
      </c>
    </row>
    <row r="1551">
      <c r="A1551" s="1" t="n">
        <v>1549</v>
      </c>
      <c r="B1551" t="n">
        <v>2019</v>
      </c>
      <c r="C1551" s="2" t="n">
        <v>43591.91493623843</v>
      </c>
      <c r="D1551" t="inlineStr">
        <is>
          <t>G1</t>
        </is>
      </c>
      <c r="E1551" t="inlineStr">
        <is>
          <t>VENEZUELANOS</t>
        </is>
      </c>
      <c r="F1551" t="inlineStr">
        <is>
          <t>SANTARÉM E REGIÃO</t>
        </is>
      </c>
      <c r="G1551" t="inlineStr">
        <is>
          <t>GEOVANE BRITO, G1 SANTARÉM — PARÁ</t>
        </is>
      </c>
      <c r="H1551" t="inlineStr">
        <is>
          <t>FAMÍLIA VENEZUELANA CONTA COM AJUDA SOLIDÁRIA PARA RECOMEÇAR A VIDA NO PA: ‘SANTARÉM É MUITO ACOLHEDORA’</t>
        </is>
      </c>
      <c r="I1551" t="inlineStr">
        <is>
          <t>O CABELEIREIRO KENNY MONTEÑO E A MANICURE ADELEYNS MORALES E OS DOIS FILHOS CHEGARAM A SANTARÉM HÁ POUCO MAIS DE UM MÊS.</t>
        </is>
      </c>
      <c r="J1551" t="inlineStr"/>
      <c r="K1551" t="n">
        <v>0</v>
      </c>
      <c r="L1551" t="n">
        <v>1</v>
      </c>
      <c r="M1551" t="n">
        <v>0</v>
      </c>
      <c r="N1551" t="n">
        <v>0</v>
      </c>
      <c r="O1551" t="n">
        <v>0</v>
      </c>
      <c r="P1551">
        <f>HYPERLINK("https://g1.globo.com/pa/santarem-regiao/noticia/2019/05/06/familia-venezuelana-conta-com-ajuda-solidaria-para-recomecar-a-vida-no-pa-santarem-e-muito-acolhedora.ghtml", "URL")</f>
        <v/>
      </c>
      <c r="Q1551">
        <f>HYPERLINK("https://raw.githubusercontent.com/marcosmapl/dataset_imigrantes/main/materias_filtered/g1/venezuelanos/2019/04_mai/html/g1_ac240ff8-2306-11ed-b24f-6dbe51e79fca_2272.html", "HTML")</f>
        <v/>
      </c>
      <c r="R1551">
        <f>HYPERLINK("https://raw.githubusercontent.com/marcosmapl/dataset_imigrantes/main/materias_filtered/g1/venezuelanos/2019/04_mai/txt/g1_ac240ff8-2306-11ed-b24f-6dbe51e79fca_2272.txt", "TXT")</f>
        <v/>
      </c>
    </row>
    <row r="1552">
      <c r="A1552" s="1" t="n">
        <v>1550</v>
      </c>
      <c r="B1552" t="n">
        <v>2019</v>
      </c>
      <c r="C1552" s="2" t="n">
        <v>43591.51587962963</v>
      </c>
      <c r="D1552" t="inlineStr">
        <is>
          <t>A CRITICA</t>
        </is>
      </c>
      <c r="E1552" t="inlineStr">
        <is>
          <t>VENEZUELANOS</t>
        </is>
      </c>
      <c r="F1552" t="inlineStr"/>
      <c r="G1552" t="inlineStr">
        <is>
          <t>AGÊNCIA BRASIL</t>
        </is>
      </c>
      <c r="H1552" t="inlineStr">
        <is>
          <t>JUAN GUAIDÓ ESTUDA OPÇÕES PARA TIRAR MADURO DO PODER</t>
        </is>
      </c>
      <c r="I1552" t="inlineStr">
        <is>
          <t>EM ENTREVISTA À BBC, ELE NÃO DESCARTA UM PEDIDO DE AJUDA AOS ESTADOS UNIDOS PARA UMA INTERVENÇÃO MILITAR</t>
        </is>
      </c>
      <c r="J1552" t="inlineStr"/>
      <c r="K1552" t="n">
        <v>0</v>
      </c>
      <c r="L1552" t="n">
        <v>1</v>
      </c>
      <c r="M1552" t="n">
        <v>0</v>
      </c>
      <c r="N1552" t="n">
        <v>0</v>
      </c>
      <c r="O1552" t="n">
        <v>0</v>
      </c>
      <c r="P1552">
        <f>HYPERLINK("https://www.acritica.com/juan-guaido-estuda-opc-es-para-tirar-maduro-do-poder-1.75372", "URL")</f>
        <v/>
      </c>
      <c r="Q1552">
        <f>HYPERLINK("https://raw.githubusercontent.com/marcosmapl/dataset_imigrantes/main/materias_filtered/a_critica/venezuelanos/2019/04_mai/html/1.75372_52.html", "HTML")</f>
        <v/>
      </c>
      <c r="R1552">
        <f>HYPERLINK("https://raw.githubusercontent.com/marcosmapl/dataset_imigrantes/main/materias_filtered/a_critica/venezuelanos/2019/04_mai/txt/1.75372_52.txt", "TXT")</f>
        <v/>
      </c>
    </row>
    <row r="1553">
      <c r="A1553" s="1" t="n">
        <v>1551</v>
      </c>
      <c r="B1553" t="n">
        <v>2019</v>
      </c>
      <c r="C1553" s="2" t="n">
        <v>43591.31597222222</v>
      </c>
      <c r="D1553" t="inlineStr">
        <is>
          <t>A CRITICA</t>
        </is>
      </c>
      <c r="E1553" t="inlineStr">
        <is>
          <t>VENEZUELANOS</t>
        </is>
      </c>
      <c r="F1553" t="inlineStr"/>
      <c r="G1553" t="inlineStr">
        <is>
          <t>LUIZ G. MELO</t>
        </is>
      </c>
      <c r="H1553" t="inlineStr">
        <is>
          <t>SUS PARA RIBEIRINHOS E INDÍGENAS É PERMEADO DE DIFICULDADES NO AM</t>
        </is>
      </c>
      <c r="I1553" t="inlineStr">
        <is>
          <t>SEJAM POPULAÇÕES ESPECÍFICAS QUE VIVEM NAS RUAS DE MANAUS OU RIBEIRINHOS E INDÍGENAS QUE MORAM EM COMUNIDADES MAIS DISTANTES, TODOS DEMANDAM ATENÇÃO ESPECIAL DO PODER PÚBLICO</t>
        </is>
      </c>
      <c r="J1553" t="inlineStr"/>
      <c r="K1553" t="n">
        <v>0</v>
      </c>
      <c r="L1553" t="n">
        <v>1</v>
      </c>
      <c r="M1553" t="n">
        <v>0</v>
      </c>
      <c r="N1553" t="n">
        <v>0</v>
      </c>
      <c r="O1553" t="n">
        <v>0</v>
      </c>
      <c r="P1553">
        <f>HYPERLINK("https://www.acritica.com/sus-para-ribeirinhos-e-indigenas-e-permeado-de-dificuldades-no-am-1.68322", "URL")</f>
        <v/>
      </c>
      <c r="Q1553">
        <f>HYPERLINK("https://raw.githubusercontent.com/marcosmapl/dataset_imigrantes/main/materias_filtered/a_critica/venezuelanos/2019/04_mai/html/1.68322_898.html", "HTML")</f>
        <v/>
      </c>
      <c r="R1553">
        <f>HYPERLINK("https://raw.githubusercontent.com/marcosmapl/dataset_imigrantes/main/materias_filtered/a_critica/venezuelanos/2019/04_mai/txt/1.68322_898.txt", "TXT")</f>
        <v/>
      </c>
    </row>
    <row r="1554">
      <c r="A1554" s="1" t="n">
        <v>1552</v>
      </c>
      <c r="B1554" t="n">
        <v>2019</v>
      </c>
      <c r="C1554" s="2" t="n">
        <v>43589.88194444445</v>
      </c>
      <c r="D1554" t="inlineStr">
        <is>
          <t>A CRITICA</t>
        </is>
      </c>
      <c r="E1554" t="inlineStr">
        <is>
          <t>VENEZUELANOS</t>
        </is>
      </c>
      <c r="F1554" t="inlineStr">
        <is>
          <t>MANAUS</t>
        </is>
      </c>
      <c r="G1554" t="inlineStr">
        <is>
          <t>DANIEL AMORIM</t>
        </is>
      </c>
      <c r="H1554" t="inlineStr">
        <is>
          <t>RUAS DE MANAUS 'ABRIGAM' IMIGRANTES E REFLETEM CAOS VENEZUELANO</t>
        </is>
      </c>
      <c r="I1554" t="inlineStr">
        <is>
          <t>ESPALHADOS PELA CIDADE, REFUGIADOS CONTAM COM A SOLIDARIEDADE DE QUEM MORA EM MANAUS PARA SOBREVIVER</t>
        </is>
      </c>
      <c r="J1554" t="inlineStr"/>
      <c r="K1554" t="n">
        <v>0</v>
      </c>
      <c r="L1554" t="n">
        <v>1</v>
      </c>
      <c r="M1554" t="n">
        <v>0</v>
      </c>
      <c r="N1554" t="n">
        <v>0</v>
      </c>
      <c r="O1554" t="n">
        <v>0</v>
      </c>
      <c r="P1554">
        <f>HYPERLINK("https://www.acritica.com/manaus/ruas-de-manaus-abrigam-imigrantes-e-refletem-caos-venezuelano-1.68289", "URL")</f>
        <v/>
      </c>
      <c r="Q1554">
        <f>HYPERLINK("https://raw.githubusercontent.com/marcosmapl/dataset_imigrantes/main/materias_filtered/a_critica/venezuelanos/2019/04_mai/html/1.68289_807.html", "HTML")</f>
        <v/>
      </c>
      <c r="R1554">
        <f>HYPERLINK("https://raw.githubusercontent.com/marcosmapl/dataset_imigrantes/main/materias_filtered/a_critica/venezuelanos/2019/04_mai/txt/1.68289_807.txt", "TXT")</f>
        <v/>
      </c>
    </row>
    <row r="1555">
      <c r="A1555" s="1" t="n">
        <v>1553</v>
      </c>
      <c r="B1555" t="n">
        <v>2019</v>
      </c>
      <c r="C1555" s="2" t="n">
        <v>43589.83444412037</v>
      </c>
      <c r="D1555" t="inlineStr">
        <is>
          <t>G1</t>
        </is>
      </c>
      <c r="E1555" t="inlineStr">
        <is>
          <t>VENEZUELANOS</t>
        </is>
      </c>
      <c r="F1555" t="inlineStr">
        <is>
          <t>MUNDO</t>
        </is>
      </c>
      <c r="G1555" t="inlineStr">
        <is>
          <t>AGÊNCIA EFE</t>
        </is>
      </c>
      <c r="H1555" t="inlineStr">
        <is>
          <t>POMPEO AFIRMA QUE REPRESSÃO DE MADURO NA VENEZUELA 'NÃO TEM LIMITES'</t>
        </is>
      </c>
      <c r="I1555" t="inlineStr">
        <is>
          <t>EM MENSAGEM PUBLICADA NO TWITTER, CHEFE DA DIPLOMACIA AMERICANA REITEROU O APOIO DOS EUA AO LÍDER DA OPOSIÇÃO VENEZUELANA, JUAN GUAIDÓ.</t>
        </is>
      </c>
      <c r="J1555" t="inlineStr"/>
      <c r="K1555" t="n">
        <v>0</v>
      </c>
      <c r="L1555" t="n">
        <v>0</v>
      </c>
      <c r="M1555" t="n">
        <v>0</v>
      </c>
      <c r="N1555" t="n">
        <v>0</v>
      </c>
      <c r="O1555" t="n">
        <v>1</v>
      </c>
      <c r="P1555">
        <f>HYPERLINK("https://g1.globo.com/mundo/noticia/2019/05/04/pompeo-afirma-que-repressao-de-maduro-na-venezuela-nao-tem-limites.ghtml", "URL")</f>
        <v/>
      </c>
      <c r="Q1555">
        <f>HYPERLINK("https://raw.githubusercontent.com/marcosmapl/dataset_imigrantes/main/materias_filtered/g1/venezuelanos/2019/04_mai/html/g1_cbf21168-2306-11ed-b24f-6dbe51e79fca_2278.html", "HTML")</f>
        <v/>
      </c>
      <c r="R1555">
        <f>HYPERLINK("https://raw.githubusercontent.com/marcosmapl/dataset_imigrantes/main/materias_filtered/g1/venezuelanos/2019/04_mai/txt/g1_cbf21168-2306-11ed-b24f-6dbe51e79fca_2278.txt", "TXT")</f>
        <v/>
      </c>
    </row>
    <row r="1556">
      <c r="A1556" s="1" t="n">
        <v>1554</v>
      </c>
      <c r="B1556" t="n">
        <v>2019</v>
      </c>
      <c r="C1556" s="2" t="n">
        <v>43589.5609375</v>
      </c>
      <c r="D1556" t="inlineStr">
        <is>
          <t>A CRITICA</t>
        </is>
      </c>
      <c r="E1556" t="inlineStr">
        <is>
          <t>VENEZUELANOS</t>
        </is>
      </c>
      <c r="F1556" t="inlineStr"/>
      <c r="G1556" t="inlineStr">
        <is>
          <t>REUTERS</t>
        </is>
      </c>
      <c r="H1556" t="inlineStr">
        <is>
          <t>BOLSONARO DIZ QUE MADURO NÃO CAI SEM ENVOLVIMENTO DE GENERAIS VENEZUELANOS</t>
        </is>
      </c>
      <c r="I1556" t="inlineStr">
        <is>
          <t>O PRESIDENTE TAMBÉM AFIRMOU QUE O BRASIL NÃO PRETENDE ABRIR DIÁLOGO COM O ATUAL GOVERNO PORQUE MADURO NÃO IRIA CEDER AO QUE SERIA PROPOSTO</t>
        </is>
      </c>
      <c r="J1556" t="inlineStr"/>
      <c r="K1556" t="n">
        <v>0</v>
      </c>
      <c r="L1556" t="n">
        <v>1</v>
      </c>
      <c r="M1556" t="n">
        <v>0</v>
      </c>
      <c r="N1556" t="n">
        <v>0</v>
      </c>
      <c r="O1556" t="n">
        <v>0</v>
      </c>
      <c r="P1556">
        <f>HYPERLINK("https://www.acritica.com/bolsonaro-diz-que-maduro-n-o-cai-sem-envolvimento-de-generais-venezuelanos-1.75409", "URL")</f>
        <v/>
      </c>
      <c r="Q1556">
        <f>HYPERLINK("https://raw.githubusercontent.com/marcosmapl/dataset_imigrantes/main/materias_filtered/a_critica/venezuelanos/2019/04_mai/html/1.75409_855.html", "HTML")</f>
        <v/>
      </c>
      <c r="R1556">
        <f>HYPERLINK("https://raw.githubusercontent.com/marcosmapl/dataset_imigrantes/main/materias_filtered/a_critica/venezuelanos/2019/04_mai/txt/1.75409_855.txt", "TXT")</f>
        <v/>
      </c>
    </row>
    <row r="1557">
      <c r="A1557" s="1" t="n">
        <v>1555</v>
      </c>
      <c r="B1557" t="n">
        <v>2019</v>
      </c>
      <c r="C1557" s="2" t="n">
        <v>43588.98749655092</v>
      </c>
      <c r="D1557" t="inlineStr">
        <is>
          <t>G1</t>
        </is>
      </c>
      <c r="E1557" t="inlineStr">
        <is>
          <t>VENEZUELANOS</t>
        </is>
      </c>
      <c r="F1557" t="inlineStr">
        <is>
          <t>JORNAL NACIONAL</t>
        </is>
      </c>
      <c r="G1557" t="inlineStr">
        <is>
          <t>JORNAL NACIONAL</t>
        </is>
      </c>
      <c r="H1557" t="inlineStr">
        <is>
          <t>BOLSONARO DIZ QUE MADURO SÓ DEIXA O PODER SE O EXÉRCITO VENEZUELANO ENFRAQUECER</t>
        </is>
      </c>
      <c r="I1557" t="inlineStr">
        <is>
          <t>NA FORMATURA DE NOVOS DIPLOMATAS, PRESIDENTE AFIRMOU AINDA ESTAR PREOCUPADO COM A SUCESSÃO PRESIDENCIAL NA ARGENTINA: ‘NÃO QUEREMOS OUTRA VENEZUELA’.</t>
        </is>
      </c>
      <c r="J1557" t="inlineStr"/>
      <c r="K1557" t="n">
        <v>0</v>
      </c>
      <c r="L1557" t="n">
        <v>1</v>
      </c>
      <c r="M1557" t="n">
        <v>1</v>
      </c>
      <c r="N1557" t="n">
        <v>0</v>
      </c>
      <c r="O1557" t="n">
        <v>0</v>
      </c>
      <c r="P1557">
        <f>HYPERLINK("https://g1.globo.com/jornal-nacional/noticia/2019/05/03/maduro-so-deixa-o-poder-com-exercito-venezuelano-enfraquecido-diz-bolsonaro.ghtml", "URL")</f>
        <v/>
      </c>
      <c r="Q1557">
        <f>HYPERLINK("https://raw.githubusercontent.com/marcosmapl/dataset_imigrantes/main/materias_filtered/g1/venezuelanos/2019/04_mai/html/g1_9a5fcba4-231f-11ed-b24f-6dbe51e79fca_3633.html", "HTML")</f>
        <v/>
      </c>
      <c r="R1557">
        <f>HYPERLINK("https://raw.githubusercontent.com/marcosmapl/dataset_imigrantes/main/materias_filtered/g1/venezuelanos/2019/04_mai/txt/g1_9a5fcba4-231f-11ed-b24f-6dbe51e79fca_3633.txt", "TXT")</f>
        <v/>
      </c>
    </row>
    <row r="1558">
      <c r="A1558" s="1" t="n">
        <v>1556</v>
      </c>
      <c r="B1558" t="n">
        <v>2019</v>
      </c>
      <c r="C1558" s="2" t="n">
        <v>43587.64158859954</v>
      </c>
      <c r="D1558" t="inlineStr">
        <is>
          <t>G1</t>
        </is>
      </c>
      <c r="E1558" t="inlineStr">
        <is>
          <t>VENEZUELANOS</t>
        </is>
      </c>
      <c r="F1558" t="inlineStr">
        <is>
          <t>MUNDO</t>
        </is>
      </c>
      <c r="G1558" t="inlineStr">
        <is>
          <t>BORIS MIRANDA, BBC</t>
        </is>
      </c>
      <c r="H1558" t="inlineStr">
        <is>
          <t>AS 5 VEZES EM QUE A OPOSIÇÃO ANUNCIOU ‘OFENSIVA FINAL’ CONTRA MADURO NA VENEZUELA, MAS FRACASSOU</t>
        </is>
      </c>
      <c r="I1558" t="inlineStr">
        <is>
          <t>NOS ÚLTIMOS ANOS, A OPOSIÇÃO VENEZUELANA TEM INDICADO REPETIDAMENTE QUE ESTÁ PRESTES A DERRUBAR O GOVERNO. MAS, ATÉ AGORA, NÃO CONSEGUIU.</t>
        </is>
      </c>
      <c r="J1558" t="inlineStr"/>
      <c r="K1558" t="n">
        <v>0</v>
      </c>
      <c r="L1558" t="n">
        <v>1</v>
      </c>
      <c r="M1558" t="n">
        <v>0</v>
      </c>
      <c r="N1558" t="n">
        <v>0</v>
      </c>
      <c r="O1558" t="n">
        <v>15</v>
      </c>
      <c r="P1558">
        <f>HYPERLINK("https://g1.globo.com/mundo/noticia/2019/05/02/as-5-vezes-em-que-a-oposicao-anunciou-ofensiva-final-contra-maduro-na-venezuela-mas-fracassou.ghtml", "URL")</f>
        <v/>
      </c>
      <c r="Q1558">
        <f>HYPERLINK("https://raw.githubusercontent.com/marcosmapl/dataset_imigrantes/main/materias_filtered/g1/venezuelanos/2019/04_mai/html/g1_49bb6fee-230d-11ed-b24f-6dbe51e79fca_2679.html", "HTML")</f>
        <v/>
      </c>
      <c r="R1558">
        <f>HYPERLINK("https://raw.githubusercontent.com/marcosmapl/dataset_imigrantes/main/materias_filtered/g1/venezuelanos/2019/04_mai/txt/g1_49bb6fee-230d-11ed-b24f-6dbe51e79fca_2679.txt", "TXT")</f>
        <v/>
      </c>
    </row>
    <row r="1559">
      <c r="A1559" s="1" t="n">
        <v>1557</v>
      </c>
      <c r="B1559" t="n">
        <v>2019</v>
      </c>
      <c r="C1559" s="2" t="n">
        <v>43587.49305555555</v>
      </c>
      <c r="D1559" t="inlineStr">
        <is>
          <t>A CRITICA</t>
        </is>
      </c>
      <c r="E1559" t="inlineStr">
        <is>
          <t>VENEZUELANOS</t>
        </is>
      </c>
      <c r="F1559" t="inlineStr"/>
      <c r="G1559" t="inlineStr">
        <is>
          <t>AGÊNCIA BRASIL</t>
        </is>
      </c>
      <c r="H1559" t="inlineStr">
        <is>
          <t>'JUSTIÇA BUSCA RESPONSÁVEIS PELO GOLPE', DIZ NICOLÁS MADURO</t>
        </is>
      </c>
      <c r="I1559" t="inlineStr">
        <is>
          <t>PRESIDENTE DA VENEZUELA AFIRMOU QUE "MAIS CEDO OU MAIS TARDE", OS RESPONSÁVEIS PELA REVOLTA MILITAR PAGARÃO COM A PRISÃO PELO CRIME DE TRAIÇÃO</t>
        </is>
      </c>
      <c r="J1559" t="inlineStr"/>
      <c r="K1559" t="n">
        <v>0</v>
      </c>
      <c r="L1559" t="n">
        <v>1</v>
      </c>
      <c r="M1559" t="n">
        <v>0</v>
      </c>
      <c r="N1559" t="n">
        <v>0</v>
      </c>
      <c r="O1559" t="n">
        <v>0</v>
      </c>
      <c r="P1559">
        <f>HYPERLINK("https://www.acritica.com/justica-busca-responsaveis-pelo-golpe-diz-nicolas-maduro-1.75303", "URL")</f>
        <v/>
      </c>
      <c r="Q1559">
        <f>HYPERLINK("https://raw.githubusercontent.com/marcosmapl/dataset_imigrantes/main/materias_filtered/a_critica/venezuelanos/2019/04_mai/html/1.75303_968.html", "HTML")</f>
        <v/>
      </c>
      <c r="R1559">
        <f>HYPERLINK("https://raw.githubusercontent.com/marcosmapl/dataset_imigrantes/main/materias_filtered/a_critica/venezuelanos/2019/04_mai/txt/1.75303_968.txt", "TXT")</f>
        <v/>
      </c>
    </row>
    <row r="1560">
      <c r="A1560" s="1" t="n">
        <v>1558</v>
      </c>
      <c r="B1560" t="n">
        <v>2019</v>
      </c>
      <c r="C1560" s="2" t="n">
        <v>43587.48197916667</v>
      </c>
      <c r="D1560" t="inlineStr">
        <is>
          <t>A CRITICA</t>
        </is>
      </c>
      <c r="E1560" t="inlineStr">
        <is>
          <t>VENEZUELANOS</t>
        </is>
      </c>
      <c r="F1560" t="inlineStr"/>
      <c r="G1560" t="inlineStr">
        <is>
          <t>AGÊNCIA BRASIL</t>
        </is>
      </c>
      <c r="H1560" t="inlineStr">
        <is>
          <t>PROTESTOS NA VENEZUELA JÁ FIZERAM DOIS MORTOS E DEZENAS DE FERIDOS</t>
        </is>
      </c>
      <c r="I1560" t="inlineStr">
        <is>
          <t>JUAN GUAIDÓ CONFIRMOU A SEGUNDA MORTE EM SUA PÁGINA NO TWITTER</t>
        </is>
      </c>
      <c r="J1560" t="inlineStr"/>
      <c r="K1560" t="n">
        <v>0</v>
      </c>
      <c r="L1560" t="n">
        <v>1</v>
      </c>
      <c r="M1560" t="n">
        <v>0</v>
      </c>
      <c r="N1560" t="n">
        <v>0</v>
      </c>
      <c r="O1560" t="n">
        <v>0</v>
      </c>
      <c r="P1560">
        <f>HYPERLINK("https://www.acritica.com/protestos-na-venezuela-ja-fizeram-dois-mortos-e-dezenas-de-feridos-1.75307", "URL")</f>
        <v/>
      </c>
      <c r="Q1560">
        <f>HYPERLINK("https://raw.githubusercontent.com/marcosmapl/dataset_imigrantes/main/materias_filtered/a_critica/venezuelanos/2019/04_mai/html/1.75307_5.html", "HTML")</f>
        <v/>
      </c>
      <c r="R1560">
        <f>HYPERLINK("https://raw.githubusercontent.com/marcosmapl/dataset_imigrantes/main/materias_filtered/a_critica/venezuelanos/2019/04_mai/txt/1.75307_5.txt", "TXT")</f>
        <v/>
      </c>
    </row>
    <row r="1561">
      <c r="A1561" s="1" t="n">
        <v>1559</v>
      </c>
      <c r="B1561" t="n">
        <v>2019</v>
      </c>
      <c r="C1561" s="2" t="n">
        <v>43587.23140756944</v>
      </c>
      <c r="D1561" t="inlineStr">
        <is>
          <t>G1</t>
        </is>
      </c>
      <c r="E1561" t="inlineStr">
        <is>
          <t>VENEZUELANOS</t>
        </is>
      </c>
      <c r="F1561" t="inlineStr">
        <is>
          <t>MUNDO</t>
        </is>
      </c>
      <c r="G1561" t="inlineStr">
        <is>
          <t>AGÊNCIA EFE</t>
        </is>
      </c>
      <c r="H1561" t="inlineStr">
        <is>
          <t>CASA DE OPOSITOR VENEZUELANO LEOPOLDO LÓPEZ É INVADIDA E ROUBADA EM CARACAS</t>
        </is>
      </c>
      <c r="I1561" t="inlineStr">
        <is>
          <t>MULHER DE LÓPEZ DIZ QUE AGENTES DO SERVIÇO BOLIVARIANO DE INTELIGÊNCIA NACIONAL (SEBIN), ÓRGÃO LIGADO AO CHAVISMO, ENTRARAM NO IMÓVEL.</t>
        </is>
      </c>
      <c r="J1561" t="inlineStr"/>
      <c r="K1561" t="n">
        <v>0</v>
      </c>
      <c r="L1561" t="n">
        <v>2</v>
      </c>
      <c r="M1561" t="n">
        <v>1</v>
      </c>
      <c r="N1561" t="n">
        <v>0</v>
      </c>
      <c r="O1561" t="n">
        <v>16</v>
      </c>
      <c r="P1561">
        <f>HYPERLINK("https://g1.globo.com/mundo/noticia/2019/05/02/casa-de-opositor-leopoldo-lopez-e-invadida-e-roubada-em-caracas.ghtml", "URL")</f>
        <v/>
      </c>
      <c r="Q1561">
        <f>HYPERLINK("https://raw.githubusercontent.com/marcosmapl/dataset_imigrantes/main/materias_filtered/g1/venezuelanos/2019/04_mai/html/g1_a5a1c76c-231d-11ed-b24f-6dbe51e79fca_3512.html", "HTML")</f>
        <v/>
      </c>
      <c r="R1561">
        <f>HYPERLINK("https://raw.githubusercontent.com/marcosmapl/dataset_imigrantes/main/materias_filtered/g1/venezuelanos/2019/04_mai/txt/g1_a5a1c76c-231d-11ed-b24f-6dbe51e79fca_3512.txt", "TXT")</f>
        <v/>
      </c>
    </row>
    <row r="1562">
      <c r="A1562" s="1" t="n">
        <v>1560</v>
      </c>
      <c r="B1562" t="n">
        <v>2019</v>
      </c>
      <c r="C1562" s="2" t="n">
        <v>43586.98435481481</v>
      </c>
      <c r="D1562" t="inlineStr">
        <is>
          <t>G1</t>
        </is>
      </c>
      <c r="E1562" t="inlineStr">
        <is>
          <t>VENEZUELANOS</t>
        </is>
      </c>
      <c r="F1562" t="inlineStr">
        <is>
          <t>JORNAL NACIONAL</t>
        </is>
      </c>
      <c r="G1562" t="inlineStr">
        <is>
          <t>JORNAL NACIONAL</t>
        </is>
      </c>
      <c r="H1562" t="inlineStr">
        <is>
          <t>NA FRONTEIRA, NÚMERO RECORDE DE VENEZUELANOS ATRAVESSA PARA O BRASIL</t>
        </is>
      </c>
      <c r="I1562" t="inlineStr">
        <is>
          <t>SÓ NESTA TERÇA (30), MAIS DE 800 IMIGRANTES ENTRARAM NO BRASIL PASSANDO POR RORAIMA. ELES CHEGARAM A PÉ POR TRILHAS CLANDESTINAS.</t>
        </is>
      </c>
      <c r="J1562" t="inlineStr"/>
      <c r="K1562" t="n">
        <v>0</v>
      </c>
      <c r="L1562" t="n">
        <v>1</v>
      </c>
      <c r="M1562" t="n">
        <v>1</v>
      </c>
      <c r="N1562" t="n">
        <v>0</v>
      </c>
      <c r="O1562" t="n">
        <v>0</v>
      </c>
      <c r="P1562">
        <f>HYPERLINK("https://g1.globo.com/jornal-nacional/noticia/2019/05/01/na-fronteira-numero-recorde-de-venezuelanos-atravessa-para-o-brasil.ghtml", "URL")</f>
        <v/>
      </c>
      <c r="Q1562">
        <f>HYPERLINK("https://raw.githubusercontent.com/marcosmapl/dataset_imigrantes/main/materias_filtered/g1/venezuelanos/2019/04_mai/html/g1_21c0b42e-231f-11ed-b24f-6dbe51e79fca_3603.html", "HTML")</f>
        <v/>
      </c>
      <c r="R1562">
        <f>HYPERLINK("https://raw.githubusercontent.com/marcosmapl/dataset_imigrantes/main/materias_filtered/g1/venezuelanos/2019/04_mai/txt/g1_21c0b42e-231f-11ed-b24f-6dbe51e79fca_3603.txt", "TXT")</f>
        <v/>
      </c>
    </row>
    <row r="1563">
      <c r="A1563" s="1" t="n">
        <v>1561</v>
      </c>
      <c r="B1563" t="n">
        <v>2019</v>
      </c>
      <c r="C1563" s="2" t="n">
        <v>43586.92041666667</v>
      </c>
      <c r="D1563" t="inlineStr">
        <is>
          <t>A CRITICA</t>
        </is>
      </c>
      <c r="E1563" t="inlineStr">
        <is>
          <t>VENEZUELANOS</t>
        </is>
      </c>
      <c r="F1563" t="inlineStr"/>
      <c r="G1563" t="inlineStr">
        <is>
          <t>AGÊNCIA BRASIL</t>
        </is>
      </c>
      <c r="H1563" t="inlineStr">
        <is>
          <t>SITUAÇÃO NA VENEZUELA PODE ELEVAR PREÇO DE COMBUSTÍVEIS NO BRASIL, DIZ BOLSONARO</t>
        </is>
      </c>
      <c r="I1563" t="inlineStr">
        <is>
          <t>A VENEZUELA É UM GRANDE PRODUTOR DE PETRÓLEO E SOFRE COM SANÇÕES ECONÔMICAS E EMBARGOS DE DIVERSOS PAÍSES, LIDERADOS PELOS ESTADOS UNIDOS, À COMMODITY</t>
        </is>
      </c>
      <c r="J1563" t="inlineStr"/>
      <c r="K1563" t="n">
        <v>0</v>
      </c>
      <c r="L1563" t="n">
        <v>1</v>
      </c>
      <c r="M1563" t="n">
        <v>0</v>
      </c>
      <c r="N1563" t="n">
        <v>0</v>
      </c>
      <c r="O1563" t="n">
        <v>0</v>
      </c>
      <c r="P1563">
        <f>HYPERLINK("https://www.acritica.com/situac-o-na-venezuela-pode-elevar-preco-de-combustiveis-no-brasil-diz-bolsonaro-1.71222", "URL")</f>
        <v/>
      </c>
      <c r="Q1563">
        <f>HYPERLINK("https://raw.githubusercontent.com/marcosmapl/dataset_imigrantes/main/materias_filtered/a_critica/venezuelanos/2019/04_mai/html/1.71222_565.html", "HTML")</f>
        <v/>
      </c>
      <c r="R1563">
        <f>HYPERLINK("https://raw.githubusercontent.com/marcosmapl/dataset_imigrantes/main/materias_filtered/a_critica/venezuelanos/2019/04_mai/txt/1.71222_565.txt", "TXT")</f>
        <v/>
      </c>
    </row>
    <row r="1564">
      <c r="A1564" s="1" t="n">
        <v>1562</v>
      </c>
      <c r="B1564" t="n">
        <v>2019</v>
      </c>
      <c r="C1564" s="2" t="n">
        <v>43586.59252314815</v>
      </c>
      <c r="D1564" t="inlineStr">
        <is>
          <t>A CRITICA</t>
        </is>
      </c>
      <c r="E1564" t="inlineStr">
        <is>
          <t>VENEZUELANOS</t>
        </is>
      </c>
      <c r="F1564" t="inlineStr"/>
      <c r="G1564" t="inlineStr">
        <is>
          <t>REUTERS</t>
        </is>
      </c>
      <c r="H1564" t="inlineStr">
        <is>
          <t>TEMOS INFORMAÇÕES DE QUE HÁ FISSURAS ENTRE MILITARES VENEZUELANOS, DIZ BOLSONARO</t>
        </is>
      </c>
      <c r="I1564" t="inlineStr">
        <is>
          <t>O PRESIDENTE DISSE QUE NÃO HÁ DERROTA DE GUAIDÓ APÓS O MOVIMENTO DA TERÇA-FEIRA E EXPRESSOU PREOCUPAÇÃO COM OS REFLEXOS DA CRISE VENEZUELANA NO BRASIL</t>
        </is>
      </c>
      <c r="J1564" t="inlineStr"/>
      <c r="K1564" t="n">
        <v>0</v>
      </c>
      <c r="L1564" t="n">
        <v>1</v>
      </c>
      <c r="M1564" t="n">
        <v>0</v>
      </c>
      <c r="N1564" t="n">
        <v>0</v>
      </c>
      <c r="O1564" t="n">
        <v>0</v>
      </c>
      <c r="P1564">
        <f>HYPERLINK("https://www.acritica.com/temos-informac-es-de-que-ha-fissuras-entre-militares-venezuelanos-diz-bolsonaro-1.71244", "URL")</f>
        <v/>
      </c>
      <c r="Q1564">
        <f>HYPERLINK("https://raw.githubusercontent.com/marcosmapl/dataset_imigrantes/main/materias_filtered/a_critica/venezuelanos/2019/04_mai/html/1.71244_443.html", "HTML")</f>
        <v/>
      </c>
      <c r="R1564">
        <f>HYPERLINK("https://raw.githubusercontent.com/marcosmapl/dataset_imigrantes/main/materias_filtered/a_critica/venezuelanos/2019/04_mai/txt/1.71244_443.txt", "TXT")</f>
        <v/>
      </c>
    </row>
    <row r="1565">
      <c r="A1565" s="1" t="n">
        <v>1563</v>
      </c>
      <c r="B1565" t="n">
        <v>2019</v>
      </c>
      <c r="C1565" s="2" t="n">
        <v>43586.5609375</v>
      </c>
      <c r="D1565" t="inlineStr">
        <is>
          <t>A CRITICA</t>
        </is>
      </c>
      <c r="E1565" t="inlineStr">
        <is>
          <t>VENEZUELANOS</t>
        </is>
      </c>
      <c r="F1565" t="inlineStr"/>
      <c r="G1565" t="inlineStr">
        <is>
          <t>AGÊNCIA BRASIL</t>
        </is>
      </c>
      <c r="H1565" t="inlineStr">
        <is>
          <t>GUAIDÓ CONVOCA OPOSICIONISTAS VENEZUELANOS PARA NOVOS PROTESTOS</t>
        </is>
      </c>
      <c r="I1565" t="inlineStr">
        <is>
          <t>O PRESIDENTE AUTOPROCLAMADO DA VENEZUELA USOU A SUA CONTA NO TWITTER PARA IREM ÀS RUAS NOVAMENTE. MADURO FALA EM FRACASSO</t>
        </is>
      </c>
      <c r="J1565" t="inlineStr"/>
      <c r="K1565" t="n">
        <v>0</v>
      </c>
      <c r="L1565" t="n">
        <v>1</v>
      </c>
      <c r="M1565" t="n">
        <v>0</v>
      </c>
      <c r="N1565" t="n">
        <v>0</v>
      </c>
      <c r="O1565" t="n">
        <v>0</v>
      </c>
      <c r="P1565">
        <f>HYPERLINK("https://www.acritica.com/guaido-convoca-oposicionistas-venezuelanos-para-novos-protestos-1.75096", "URL")</f>
        <v/>
      </c>
      <c r="Q1565">
        <f>HYPERLINK("https://raw.githubusercontent.com/marcosmapl/dataset_imigrantes/main/materias_filtered/a_critica/venezuelanos/2019/04_mai/html/1.75096_95.html", "HTML")</f>
        <v/>
      </c>
      <c r="R1565">
        <f>HYPERLINK("https://raw.githubusercontent.com/marcosmapl/dataset_imigrantes/main/materias_filtered/a_critica/venezuelanos/2019/04_mai/txt/1.75096_95.txt", "TXT")</f>
        <v/>
      </c>
    </row>
    <row r="1566">
      <c r="A1566" s="1" t="n">
        <v>1564</v>
      </c>
      <c r="B1566" t="n">
        <v>2019</v>
      </c>
      <c r="C1566" s="2" t="n">
        <v>43585.9930787037</v>
      </c>
      <c r="D1566" t="inlineStr">
        <is>
          <t>A CRITICA</t>
        </is>
      </c>
      <c r="E1566" t="inlineStr">
        <is>
          <t>VENEZUELANOS</t>
        </is>
      </c>
      <c r="F1566" t="inlineStr"/>
      <c r="G1566" t="inlineStr">
        <is>
          <t>AGÊNCIA BRASIL</t>
        </is>
      </c>
      <c r="H1566" t="inlineStr">
        <is>
          <t>GOVERNO CONFIRMA QUE 25 MILITARES VENEZUELANOS PEDIRAM ASILO AO BRASIL</t>
        </is>
      </c>
      <c r="I1566" t="inlineStr">
        <is>
          <t>SEGUNDO O PORTA-VOZ DA  PRESIDÊNCIA, O PRESIDENTE JAIR BOLSONARO JÁ AUTORIZOU A MEDIDA. ATUALMENTE, O PAÍS ACOLHE 70 DESERTORES VENEZUELANOS</t>
        </is>
      </c>
      <c r="J1566" t="inlineStr"/>
      <c r="K1566" t="n">
        <v>0</v>
      </c>
      <c r="L1566" t="n">
        <v>1</v>
      </c>
      <c r="M1566" t="n">
        <v>0</v>
      </c>
      <c r="N1566" t="n">
        <v>0</v>
      </c>
      <c r="O1566" t="n">
        <v>0</v>
      </c>
      <c r="P1566">
        <f>HYPERLINK("https://www.acritica.com/governo-confirma-que-25-militares-venezuelanos-pediram-asilo-ao-brasil-1.75108", "URL")</f>
        <v/>
      </c>
      <c r="Q1566">
        <f>HYPERLINK("https://raw.githubusercontent.com/marcosmapl/dataset_imigrantes/main/materias_filtered/a_critica/venezuelanos/2019/03_abr/html/1.75108_332.html", "HTML")</f>
        <v/>
      </c>
      <c r="R1566">
        <f>HYPERLINK("https://raw.githubusercontent.com/marcosmapl/dataset_imigrantes/main/materias_filtered/a_critica/venezuelanos/2019/03_abr/txt/1.75108_332.txt", "TXT")</f>
        <v/>
      </c>
    </row>
    <row r="1567">
      <c r="A1567" s="1" t="n">
        <v>1565</v>
      </c>
      <c r="B1567" t="n">
        <v>2019</v>
      </c>
      <c r="C1567" s="2" t="n">
        <v>43585.82034166667</v>
      </c>
      <c r="D1567" t="inlineStr">
        <is>
          <t>G1</t>
        </is>
      </c>
      <c r="E1567" t="inlineStr">
        <is>
          <t>VENEZUELANOS</t>
        </is>
      </c>
      <c r="F1567" t="inlineStr">
        <is>
          <t>MUNDO</t>
        </is>
      </c>
      <c r="G1567" t="inlineStr">
        <is>
          <t>G1</t>
        </is>
      </c>
      <c r="H1567" t="inlineStr">
        <is>
          <t>EMBAIXADOR DA VENEZUELA NA ONU DIZ QUE GOVERNO MADURO DERROTOU 'TENTATIVA DE CRIAR GUERRA CIVIL'</t>
        </is>
      </c>
      <c r="I1567" t="inlineStr">
        <is>
          <t>OPOSITOR LEOPOLDO LÓPEZ CHEGOU A IR PARA A RESIDÊNCIA DO EMBAIXADOR DO CHILE APÓS APARECER LIDERANDO PROTESTOS COM JUAN GUAIDÓ; DEPOIS, FOI PARA A EMBAIXADA DA ESPANHA. DIA TEVE PROTESTOS E CONFRONTO COM FORÇAS DE SEGURANÇA.</t>
        </is>
      </c>
      <c r="J1567" t="inlineStr"/>
      <c r="K1567" t="n">
        <v>0</v>
      </c>
      <c r="L1567" t="n">
        <v>3</v>
      </c>
      <c r="M1567" t="n">
        <v>2</v>
      </c>
      <c r="N1567" t="n">
        <v>0</v>
      </c>
      <c r="O1567" t="n">
        <v>19</v>
      </c>
      <c r="P1567">
        <f>HYPERLINK("https://g1.globo.com/mundo/noticia/2019/04/30/embaixador-da-venezuela-na-onu-diz-que-governo-maduro-derrotou-tentativa-de-criar-guerra-civil.ghtml", "URL")</f>
        <v/>
      </c>
      <c r="Q1567">
        <f>HYPERLINK("https://raw.githubusercontent.com/marcosmapl/dataset_imigrantes/main/materias_filtered/g1/venezuelanos/2019/03_abr/html/g1_52db6f24-2318-11ed-b24f-6dbe51e79fca_3253.html", "HTML")</f>
        <v/>
      </c>
      <c r="R1567">
        <f>HYPERLINK("https://raw.githubusercontent.com/marcosmapl/dataset_imigrantes/main/materias_filtered/g1/venezuelanos/2019/03_abr/txt/g1_52db6f24-2318-11ed-b24f-6dbe51e79fca_3253.txt", "TXT")</f>
        <v/>
      </c>
    </row>
    <row r="1568">
      <c r="A1568" s="1" t="n">
        <v>1566</v>
      </c>
      <c r="B1568" t="n">
        <v>2019</v>
      </c>
      <c r="C1568" s="2" t="n">
        <v>43585.73038194444</v>
      </c>
      <c r="D1568" t="inlineStr">
        <is>
          <t>A CRITICA</t>
        </is>
      </c>
      <c r="E1568" t="inlineStr">
        <is>
          <t>VENEZUELANOS</t>
        </is>
      </c>
      <c r="F1568" t="inlineStr"/>
      <c r="G1568" t="inlineStr">
        <is>
          <t>AGÊNCIA BRASIL</t>
        </is>
      </c>
      <c r="H1568" t="inlineStr">
        <is>
          <t>COMUNIDADE INTERNACIONAL REPERCUTE DIA DE VIOLÊNCIA NA VENEZUELA</t>
        </is>
      </c>
      <c r="I1568" t="inlineStr">
        <is>
          <t>NA MANHÃ DESTA TERÇA-FEIRA JUAN GUAIDÓ DIVULGOU UMA MENSAGEM AFIRMANDO TER OBTIDO APOIO DE OFICIAIS DAS FORÇAS ARMADAS PARA TIRAR O PRESIDENTE NICOLÁS MADURO DO PODER</t>
        </is>
      </c>
      <c r="J1568" t="inlineStr"/>
      <c r="K1568" t="n">
        <v>0</v>
      </c>
      <c r="L1568" t="n">
        <v>1</v>
      </c>
      <c r="M1568" t="n">
        <v>0</v>
      </c>
      <c r="N1568" t="n">
        <v>0</v>
      </c>
      <c r="O1568" t="n">
        <v>0</v>
      </c>
      <c r="P1568">
        <f>HYPERLINK("https://www.acritica.com/comunidade-internacional-repercute-dia-de-violencia-na-venezuela-1.75148", "URL")</f>
        <v/>
      </c>
      <c r="Q1568">
        <f>HYPERLINK("https://raw.githubusercontent.com/marcosmapl/dataset_imigrantes/main/materias_filtered/a_critica/venezuelanos/2019/03_abr/html/1.75148_831.html", "HTML")</f>
        <v/>
      </c>
      <c r="R1568">
        <f>HYPERLINK("https://raw.githubusercontent.com/marcosmapl/dataset_imigrantes/main/materias_filtered/a_critica/venezuelanos/2019/03_abr/txt/1.75148_831.txt", "TXT")</f>
        <v/>
      </c>
    </row>
    <row r="1569">
      <c r="A1569" s="1" t="n">
        <v>1567</v>
      </c>
      <c r="B1569" t="n">
        <v>2019</v>
      </c>
      <c r="C1569" s="2" t="n">
        <v>43585.72511574074</v>
      </c>
      <c r="D1569" t="inlineStr">
        <is>
          <t>A CRITICA</t>
        </is>
      </c>
      <c r="E1569" t="inlineStr">
        <is>
          <t>VENEZUELANOS</t>
        </is>
      </c>
      <c r="F1569" t="inlineStr"/>
      <c r="G1569" t="inlineStr">
        <is>
          <t>AGÊNCIA BRASIL</t>
        </is>
      </c>
      <c r="H1569" t="inlineStr">
        <is>
          <t>GOVERNO BRASILEIRO INCENTIVA PAÍSES A APOIAREM JUAN GUAIDÓ</t>
        </is>
      </c>
      <c r="I1569" t="inlineStr">
        <is>
          <t>O PRESIDENTE JAIR BOLSONARO SE REÚNE AINDA NESTA TERÇA-FEIRA (30), COM MINISTROS DE ESTADO E O VICE-PRESIDENTE HAMILTON MOURÃO, NO PALÁCIO DO PLANALTO, PARA TRATAR DA SITUAÇÃO DA VENEZUELA</t>
        </is>
      </c>
      <c r="J1569" t="inlineStr"/>
      <c r="K1569" t="n">
        <v>0</v>
      </c>
      <c r="L1569" t="n">
        <v>1</v>
      </c>
      <c r="M1569" t="n">
        <v>0</v>
      </c>
      <c r="N1569" t="n">
        <v>0</v>
      </c>
      <c r="O1569" t="n">
        <v>0</v>
      </c>
      <c r="P1569">
        <f>HYPERLINK("https://www.acritica.com/governo-brasileiro-incentiva-paises-a-apoiarem-juan-guaido-1.75150", "URL")</f>
        <v/>
      </c>
      <c r="Q1569">
        <f>HYPERLINK("https://raw.githubusercontent.com/marcosmapl/dataset_imigrantes/main/materias_filtered/a_critica/venezuelanos/2019/03_abr/html/1.75150_476.html", "HTML")</f>
        <v/>
      </c>
      <c r="R1569">
        <f>HYPERLINK("https://raw.githubusercontent.com/marcosmapl/dataset_imigrantes/main/materias_filtered/a_critica/venezuelanos/2019/03_abr/txt/1.75150_476.txt", "TXT")</f>
        <v/>
      </c>
    </row>
    <row r="1570">
      <c r="A1570" s="1" t="n">
        <v>1568</v>
      </c>
      <c r="B1570" t="n">
        <v>2019</v>
      </c>
      <c r="C1570" s="2" t="n">
        <v>43585.62627267361</v>
      </c>
      <c r="D1570" t="inlineStr">
        <is>
          <t>G1</t>
        </is>
      </c>
      <c r="E1570" t="inlineStr">
        <is>
          <t>VENEZUELANOS</t>
        </is>
      </c>
      <c r="F1570" t="inlineStr">
        <is>
          <t>MUNDO</t>
        </is>
      </c>
      <c r="G1570" t="inlineStr">
        <is>
          <t>G1</t>
        </is>
      </c>
      <c r="H1570" t="inlineStr">
        <is>
          <t>CRONOLOGIA: RELEMBRE OS FATOS MAIS IMPORTANTES DA CRISE VENEZUELANA</t>
        </is>
      </c>
      <c r="I1570" t="inlineStr">
        <is>
          <t>JUAN GUAIDÓ ANUNCIA TER CONQUISTADO APOIO DE MILITARES PARA PÔR FIM "A USURPAÇÃO" DO PODER NO PAÍS. MADURO FALA EM GOLPE.</t>
        </is>
      </c>
      <c r="J1570" t="inlineStr"/>
      <c r="K1570" t="n">
        <v>0</v>
      </c>
      <c r="L1570" t="n">
        <v>3</v>
      </c>
      <c r="M1570" t="n">
        <v>2</v>
      </c>
      <c r="N1570" t="n">
        <v>0</v>
      </c>
      <c r="O1570" t="n">
        <v>40</v>
      </c>
      <c r="P1570">
        <f>HYPERLINK("https://g1.globo.com/mundo/noticia/2019/04/30/cronologia-relembre-os-fatos-mais-importantes-na-crise-venezuelana.ghtml", "URL")</f>
        <v/>
      </c>
      <c r="Q1570">
        <f>HYPERLINK("https://raw.githubusercontent.com/marcosmapl/dataset_imigrantes/main/materias_filtered/g1/venezuelanos/2019/03_abr/html/g1_589568ee-230d-11ed-b24f-6dbe51e79fca_2682.html", "HTML")</f>
        <v/>
      </c>
      <c r="R1570">
        <f>HYPERLINK("https://raw.githubusercontent.com/marcosmapl/dataset_imigrantes/main/materias_filtered/g1/venezuelanos/2019/03_abr/txt/g1_589568ee-230d-11ed-b24f-6dbe51e79fca_2682.txt", "TXT")</f>
        <v/>
      </c>
    </row>
    <row r="1571">
      <c r="A1571" s="1" t="n">
        <v>1569</v>
      </c>
      <c r="B1571" t="n">
        <v>2019</v>
      </c>
      <c r="C1571" s="2" t="n">
        <v>43585.59981770833</v>
      </c>
      <c r="D1571" t="inlineStr">
        <is>
          <t>G1</t>
        </is>
      </c>
      <c r="E1571" t="inlineStr">
        <is>
          <t>VENEZUELANOS</t>
        </is>
      </c>
      <c r="F1571" t="inlineStr">
        <is>
          <t>RORAIMA</t>
        </is>
      </c>
      <c r="G1571" t="inlineStr">
        <is>
          <t>REDE AMAZÔNICA RORAIMA — BOA VISTA</t>
        </is>
      </c>
      <c r="H1571" t="inlineStr">
        <is>
          <t>COMISSÃO FORMADA POR DEPUTADOS ANALISA IMPACTOS DA IMIGRAÇÃO VENEZUELANA DURANTE VISITA A RR</t>
        </is>
      </c>
      <c r="I1571" t="inlineStr">
        <is>
          <t>DEPUTADOS FEDERAIS DEVEM BUSCAR RECURSOS PARA AJUDAR O ESTADO A LIDAR COM A CRISE. NA SEGUNDA (29) ELES VISITARAM UNIDADES SUPERLOTADAS, COMO O HOSPITAL GERAL DE RORAIMA E A MATERNIDADE NOSSA SENHORA DE NAZARETH.</t>
        </is>
      </c>
      <c r="J1571" t="inlineStr"/>
      <c r="K1571" t="n">
        <v>0</v>
      </c>
      <c r="L1571" t="n">
        <v>2</v>
      </c>
      <c r="M1571" t="n">
        <v>0</v>
      </c>
      <c r="N1571" t="n">
        <v>0</v>
      </c>
      <c r="O1571" t="n">
        <v>2</v>
      </c>
      <c r="P1571">
        <f>HYPERLINK("https://g1.globo.com/rr/roraima/noticia/2019/04/30/comissao-formada-por-deputados-analisa-impactos-da-imigracao-venezuelana-durante-visita-a-rr.ghtml", "URL")</f>
        <v/>
      </c>
      <c r="Q1571">
        <f>HYPERLINK("https://raw.githubusercontent.com/marcosmapl/dataset_imigrantes/main/materias_filtered/g1/venezuelanos/2019/03_abr/html/g1_8e7b3a02-230c-11ed-b24f-6dbe51e79fca_2632.html", "HTML")</f>
        <v/>
      </c>
      <c r="R1571">
        <f>HYPERLINK("https://raw.githubusercontent.com/marcosmapl/dataset_imigrantes/main/materias_filtered/g1/venezuelanos/2019/03_abr/txt/g1_8e7b3a02-230c-11ed-b24f-6dbe51e79fca_2632.txt", "TXT")</f>
        <v/>
      </c>
    </row>
    <row r="1572">
      <c r="A1572" s="1" t="n">
        <v>1570</v>
      </c>
      <c r="B1572" t="n">
        <v>2019</v>
      </c>
      <c r="C1572" s="2" t="n">
        <v>43585.57704861111</v>
      </c>
      <c r="D1572" t="inlineStr">
        <is>
          <t>A CRITICA</t>
        </is>
      </c>
      <c r="E1572" t="inlineStr">
        <is>
          <t>VENEZUELANOS</t>
        </is>
      </c>
      <c r="F1572" t="inlineStr"/>
      <c r="G1572" t="inlineStr">
        <is>
          <t>AFP</t>
        </is>
      </c>
      <c r="H1572" t="inlineStr">
        <is>
          <t>BRASIL ACHA POSITIVO O MOVIMENTO DE MILITARES EM APOIO A GUAIDÓ, DIZ MINISTRO</t>
        </is>
      </c>
      <c r="I1572" t="inlineStr">
        <is>
          <t>"O BRASIL APOIA O PROCESSO DE TRANSIÇÃO DEMOCRÁTICA E ESPERA QUE OS MILITARES VENEZUELANOS SEJAM PARTE DESSE PROCESSO DE TRANSIÇÃO DEMOCRÁTICA", AFIRMOU O CHANCELER ERNESTO ARAÚJO</t>
        </is>
      </c>
      <c r="J1572" t="inlineStr"/>
      <c r="K1572" t="n">
        <v>0</v>
      </c>
      <c r="L1572" t="n">
        <v>1</v>
      </c>
      <c r="M1572" t="n">
        <v>0</v>
      </c>
      <c r="N1572" t="n">
        <v>0</v>
      </c>
      <c r="O1572" t="n">
        <v>0</v>
      </c>
      <c r="P1572">
        <f>HYPERLINK("https://www.acritica.com/brasil-acha-positivo-o-movimento-de-militares-em-apoio-a-guaido-diz-ministro-1.75170", "URL")</f>
        <v/>
      </c>
      <c r="Q1572">
        <f>HYPERLINK("https://raw.githubusercontent.com/marcosmapl/dataset_imigrantes/main/materias_filtered/a_critica/venezuelanos/2019/03_abr/html/1.75170_1335.html", "HTML")</f>
        <v/>
      </c>
      <c r="R1572">
        <f>HYPERLINK("https://raw.githubusercontent.com/marcosmapl/dataset_imigrantes/main/materias_filtered/a_critica/venezuelanos/2019/03_abr/txt/1.75170_1335.txt", "TXT")</f>
        <v/>
      </c>
    </row>
    <row r="1573">
      <c r="A1573" s="1" t="n">
        <v>1571</v>
      </c>
      <c r="B1573" t="n">
        <v>2019</v>
      </c>
      <c r="C1573" s="2" t="n">
        <v>43585.52060185185</v>
      </c>
      <c r="D1573" t="inlineStr">
        <is>
          <t>A CRITICA</t>
        </is>
      </c>
      <c r="E1573" t="inlineStr">
        <is>
          <t>VENEZUELANOS</t>
        </is>
      </c>
      <c r="F1573" t="inlineStr"/>
      <c r="G1573" t="inlineStr">
        <is>
          <t>AGÊNCIA BRASIL</t>
        </is>
      </c>
      <c r="H1573" t="inlineStr">
        <is>
          <t>GOVERNO DA VENEZUELA TENTA DESARTICULAR TENTATIVA DE GOLPE DE ESTADO, DIZ MINISTRO</t>
        </is>
      </c>
      <c r="I1573" t="inlineStr">
        <is>
          <t>PRESIDENTE MADURO USOU SUA CONTA NO TWITTER PARA MOBILIZAR A POPULAÇÃO. HÁ REGISTRO DE CONFRONTOS ENTRE FORÇAS POLICIAIS E MANIFESTANTES EM ALGUMAS PARTES DO PAÍS</t>
        </is>
      </c>
      <c r="J1573" t="inlineStr"/>
      <c r="K1573" t="n">
        <v>0</v>
      </c>
      <c r="L1573" t="n">
        <v>1</v>
      </c>
      <c r="M1573" t="n">
        <v>0</v>
      </c>
      <c r="N1573" t="n">
        <v>0</v>
      </c>
      <c r="O1573" t="n">
        <v>0</v>
      </c>
      <c r="P1573">
        <f>HYPERLINK("https://www.acritica.com/governo-da-venezuela-tenta-desarticular-tentativa-de-golpe-de-estado-diz-ministro-1.75180", "URL")</f>
        <v/>
      </c>
      <c r="Q1573">
        <f>HYPERLINK("https://raw.githubusercontent.com/marcosmapl/dataset_imigrantes/main/materias_filtered/a_critica/venezuelanos/2019/03_abr/html/1.75180_1191.html", "HTML")</f>
        <v/>
      </c>
      <c r="R1573">
        <f>HYPERLINK("https://raw.githubusercontent.com/marcosmapl/dataset_imigrantes/main/materias_filtered/a_critica/venezuelanos/2019/03_abr/txt/1.75180_1191.txt", "TXT")</f>
        <v/>
      </c>
    </row>
    <row r="1574">
      <c r="A1574" s="1" t="n">
        <v>1572</v>
      </c>
      <c r="B1574" t="n">
        <v>2019</v>
      </c>
      <c r="C1574" s="2" t="n">
        <v>43585.46944444445</v>
      </c>
      <c r="D1574" t="inlineStr">
        <is>
          <t>A CRITICA</t>
        </is>
      </c>
      <c r="E1574" t="inlineStr">
        <is>
          <t>VENEZUELANOS</t>
        </is>
      </c>
      <c r="F1574" t="inlineStr"/>
      <c r="G1574" t="inlineStr">
        <is>
          <t>REUTERS</t>
        </is>
      </c>
      <c r="H1574" t="inlineStr">
        <is>
          <t>AO LADO DE MILITARES, GUAIDÓ DIZ TER APOIO PARA ACABAR COM A ‘USURPAÇÃO’ NA VENEZUELA</t>
        </is>
      </c>
      <c r="I1574" t="inlineStr">
        <is>
          <t>NESTE MOMENTO, “FAZEMOS UM GRANDE APELO AOS FUNCIONÁRIOS PÚBLICOS E A UM COMPONENTE FUNDAMENTAL: NOSSAS FORÇAS ARMADAS”, DISSE O LÍDER OPOSITOR RODEADO POR CARROS BLINDADOS</t>
        </is>
      </c>
      <c r="J1574" t="inlineStr"/>
      <c r="K1574" t="n">
        <v>0</v>
      </c>
      <c r="L1574" t="n">
        <v>1</v>
      </c>
      <c r="M1574" t="n">
        <v>0</v>
      </c>
      <c r="N1574" t="n">
        <v>0</v>
      </c>
      <c r="O1574" t="n">
        <v>0</v>
      </c>
      <c r="P1574">
        <f>HYPERLINK("https://www.acritica.com/ao-lado-de-militares-guaido-diz-ter-apoio-para-acabar-com-a-usurpac-o-na-venezuela-1.75186", "URL")</f>
        <v/>
      </c>
      <c r="Q1574">
        <f>HYPERLINK("https://raw.githubusercontent.com/marcosmapl/dataset_imigrantes/main/materias_filtered/a_critica/venezuelanos/2019/03_abr/html/1.75186_1136.html", "HTML")</f>
        <v/>
      </c>
      <c r="R1574">
        <f>HYPERLINK("https://raw.githubusercontent.com/marcosmapl/dataset_imigrantes/main/materias_filtered/a_critica/venezuelanos/2019/03_abr/txt/1.75186_1136.txt", "TXT")</f>
        <v/>
      </c>
    </row>
    <row r="1575">
      <c r="A1575" s="1" t="n">
        <v>1573</v>
      </c>
      <c r="B1575" t="n">
        <v>2019</v>
      </c>
      <c r="C1575" s="2" t="n">
        <v>43584.57511884259</v>
      </c>
      <c r="D1575" t="inlineStr">
        <is>
          <t>G1</t>
        </is>
      </c>
      <c r="E1575" t="inlineStr">
        <is>
          <t>VENEZUELANOS</t>
        </is>
      </c>
      <c r="F1575" t="inlineStr">
        <is>
          <t>CEARÁ</t>
        </is>
      </c>
      <c r="G1575" t="inlineStr">
        <is>
          <t>G1 CE</t>
        </is>
      </c>
      <c r="H1575" t="inlineStr">
        <is>
          <t>VENEZUELANO É PRESO COM 8,9 KG DE COCAÍNA NA BAGAGEM NO AEROPORTO DE FORTALEZA</t>
        </is>
      </c>
      <c r="I1575" t="inlineStr">
        <is>
          <t>HOMEM ESTAVA TENTANDO EMBARCAR PARA A ESPANHA COM A DROGA ESCONDIDA EM MALAS.</t>
        </is>
      </c>
      <c r="J1575" t="inlineStr"/>
      <c r="K1575" t="n">
        <v>0</v>
      </c>
      <c r="L1575" t="n">
        <v>1</v>
      </c>
      <c r="M1575" t="n">
        <v>0</v>
      </c>
      <c r="N1575" t="n">
        <v>0</v>
      </c>
      <c r="O1575" t="n">
        <v>0</v>
      </c>
      <c r="P1575">
        <f>HYPERLINK("https://g1.globo.com/ce/ceara/noticia/2019/04/29/venezuelano-e-preso-com-89-kg-de-cocaina-na-bagagem-no-aeroporto-de-fortaleza.ghtml", "URL")</f>
        <v/>
      </c>
      <c r="Q1575">
        <f>HYPERLINK("https://raw.githubusercontent.com/marcosmapl/dataset_imigrantes/main/materias_filtered/g1/venezuelanos/2019/03_abr/html/g1_0304f548-2312-11ed-b24f-6dbe51e79fca_2945.html", "HTML")</f>
        <v/>
      </c>
      <c r="R1575">
        <f>HYPERLINK("https://raw.githubusercontent.com/marcosmapl/dataset_imigrantes/main/materias_filtered/g1/venezuelanos/2019/03_abr/txt/g1_0304f548-2312-11ed-b24f-6dbe51e79fca_2945.txt", "TXT")</f>
        <v/>
      </c>
    </row>
    <row r="1576">
      <c r="A1576" s="1" t="n">
        <v>1574</v>
      </c>
      <c r="B1576" t="n">
        <v>2019</v>
      </c>
      <c r="C1576" s="2" t="n">
        <v>43583.79435276621</v>
      </c>
      <c r="D1576" t="inlineStr">
        <is>
          <t>G1</t>
        </is>
      </c>
      <c r="E1576" t="inlineStr">
        <is>
          <t>VENEZUELANOS</t>
        </is>
      </c>
      <c r="F1576" t="inlineStr">
        <is>
          <t>RORAIMA</t>
        </is>
      </c>
      <c r="G1576" t="inlineStr">
        <is>
          <t>G1 RR — BOA VISTA</t>
        </is>
      </c>
      <c r="H1576" t="inlineStr">
        <is>
          <t>CAMPANHA ARRECADA CALÇADOS PARA DOAR A CRIANÇAS VENEZUELANAS CARENTES EM BOA VISTA</t>
        </is>
      </c>
      <c r="I1576" t="inlineStr">
        <is>
          <t>GRUPO DE VOLUNTÁRIOS QUE DISTRIBUI SOPA A REFUGIADOS NAS RUAS DA CAPITAL ENCONTRA MUITAS CRIANÇAS DESCALÇAS E COM OS PÉS MACHUCADOS: 'DECIDIMOS AJUDAR'. VEJA COMO DOAR.</t>
        </is>
      </c>
      <c r="J1576" t="inlineStr"/>
      <c r="K1576" t="n">
        <v>0</v>
      </c>
      <c r="L1576" t="n">
        <v>1</v>
      </c>
      <c r="M1576" t="n">
        <v>0</v>
      </c>
      <c r="N1576" t="n">
        <v>0</v>
      </c>
      <c r="O1576" t="n">
        <v>2</v>
      </c>
      <c r="P1576">
        <f>HYPERLINK("https://g1.globo.com/rr/roraima/noticia/2019/04/28/campanha-arrecada-calcados-para-doar-a-criancas-venezuelanas-carentes-em-boa-vista.ghtml", "URL")</f>
        <v/>
      </c>
      <c r="Q1576">
        <f>HYPERLINK("https://raw.githubusercontent.com/marcosmapl/dataset_imigrantes/main/materias_filtered/g1/venezuelanos/2019/03_abr/html/g1_96b01c02-231f-11ed-b24f-6dbe51e79fca_3632.html", "HTML")</f>
        <v/>
      </c>
      <c r="R1576">
        <f>HYPERLINK("https://raw.githubusercontent.com/marcosmapl/dataset_imigrantes/main/materias_filtered/g1/venezuelanos/2019/03_abr/txt/g1_96b01c02-231f-11ed-b24f-6dbe51e79fca_3632.txt", "TXT")</f>
        <v/>
      </c>
    </row>
    <row r="1577">
      <c r="A1577" s="1" t="n">
        <v>1575</v>
      </c>
      <c r="B1577" t="n">
        <v>2019</v>
      </c>
      <c r="C1577" s="2" t="n">
        <v>43582.96420519676</v>
      </c>
      <c r="D1577" t="inlineStr">
        <is>
          <t>G1</t>
        </is>
      </c>
      <c r="E1577" t="inlineStr">
        <is>
          <t>HAITIANOS</t>
        </is>
      </c>
      <c r="F1577" t="inlineStr">
        <is>
          <t>MATO GROSSO DO SUL</t>
        </is>
      </c>
      <c r="G1577" t="inlineStr">
        <is>
          <t>TV MORENA — CAMPO GRANDE</t>
        </is>
      </c>
      <c r="H1577" t="inlineStr">
        <is>
          <t>MUNICÍPIO DE CORUMBÁ FAZ MUTIRÃO PARA VACINAR IMIGRANTES HAITIANOS COM A TRÍPLICE VIRAL</t>
        </is>
      </c>
      <c r="I1577" t="inlineStr">
        <is>
          <t>A VACINAÇÃO ACONTECEU EM UM HOTEL NA REGIÃO CENTRAL DA CIDADE, ONDE MAIS DE 80 HAITIANOS ESTÃO HOSPEDADOS. ELES RECEBERAM A VACINA QUE PROTEGE CONTRA SARAMPO RUBÉOLA E CAXUMBA, ANTITETÂNICA, ALÉM DE HEPATITE “B” E FEBRE AMARELA.</t>
        </is>
      </c>
      <c r="J1577" t="inlineStr"/>
      <c r="K1577" t="n">
        <v>0</v>
      </c>
      <c r="L1577" t="n">
        <v>2</v>
      </c>
      <c r="M1577" t="n">
        <v>1</v>
      </c>
      <c r="N1577" t="n">
        <v>0</v>
      </c>
      <c r="O1577" t="n">
        <v>0</v>
      </c>
      <c r="P1577">
        <f>HYPERLINK("https://g1.globo.com/ms/mato-grosso-do-sul/noticia/2019/04/27/municipio-de-corumba-faz-mutirao-para-vacinar-imigrantes-haitianos-com-a-triplice-viral.ghtml", "URL")</f>
        <v/>
      </c>
      <c r="Q1577">
        <f>HYPERLINK("https://raw.githubusercontent.com/marcosmapl/dataset_imigrantes/main/materias_filtered/g1/haitianos/2019/03_abr/html/g1_f0d64a66-22f3-11ed-b24f-6dbe51e79fca_1865.html", "HTML")</f>
        <v/>
      </c>
      <c r="R1577">
        <f>HYPERLINK("https://raw.githubusercontent.com/marcosmapl/dataset_imigrantes/main/materias_filtered/g1/haitianos/2019/03_abr/txt/g1_f0d64a66-22f3-11ed-b24f-6dbe51e79fca_1865.txt", "TXT")</f>
        <v/>
      </c>
    </row>
    <row r="1578">
      <c r="A1578" s="1" t="n">
        <v>1576</v>
      </c>
      <c r="B1578" t="n">
        <v>2019</v>
      </c>
      <c r="C1578" s="2" t="n">
        <v>43582.63449074074</v>
      </c>
      <c r="D1578" t="inlineStr">
        <is>
          <t>A CRITICA</t>
        </is>
      </c>
      <c r="E1578" t="inlineStr">
        <is>
          <t>VENEZUELANOS</t>
        </is>
      </c>
      <c r="F1578" t="inlineStr"/>
      <c r="G1578" t="inlineStr">
        <is>
          <t>PORTAL A CRÍTICA</t>
        </is>
      </c>
      <c r="H1578" t="inlineStr">
        <is>
          <t>COMITIVA DE DEPUTADOS VAI INSPECIONAR FRONTEIRA  BRASIL - VENEZUELA</t>
        </is>
      </c>
      <c r="I1578" t="inlineStr">
        <is>
          <t>DELEGADO PABLO (PSL-AM) PARTICIPARÁ DA VIAGEM, QUE ACONTECE NESTA SEGUNDA-FEIRA, E CONTA COM A PRESENÇA DO DEPUTADO FEDERAL EDUARDO BOLSONARO</t>
        </is>
      </c>
      <c r="J1578" t="inlineStr"/>
      <c r="K1578" t="n">
        <v>0</v>
      </c>
      <c r="L1578" t="n">
        <v>1</v>
      </c>
      <c r="M1578" t="n">
        <v>0</v>
      </c>
      <c r="N1578" t="n">
        <v>0</v>
      </c>
      <c r="O1578" t="n">
        <v>0</v>
      </c>
      <c r="P1578">
        <f>HYPERLINK("https://www.acritica.com/comitiva-de-deputados-vai-inspecionar-fronteira-brasil-venezuela-1.70988", "URL")</f>
        <v/>
      </c>
      <c r="Q1578">
        <f>HYPERLINK("https://raw.githubusercontent.com/marcosmapl/dataset_imigrantes/main/materias_filtered/a_critica/venezuelanos/2019/03_abr/html/1.70988_444.html", "HTML")</f>
        <v/>
      </c>
      <c r="R1578">
        <f>HYPERLINK("https://raw.githubusercontent.com/marcosmapl/dataset_imigrantes/main/materias_filtered/a_critica/venezuelanos/2019/03_abr/txt/1.70988_444.txt", "TXT")</f>
        <v/>
      </c>
    </row>
    <row r="1579">
      <c r="A1579" s="1" t="n">
        <v>1577</v>
      </c>
      <c r="B1579" t="n">
        <v>2019</v>
      </c>
      <c r="C1579" s="2" t="n">
        <v>43581.90943287037</v>
      </c>
      <c r="D1579" t="inlineStr">
        <is>
          <t>A CRITICA</t>
        </is>
      </c>
      <c r="E1579" t="inlineStr">
        <is>
          <t>VENEZUELANOS</t>
        </is>
      </c>
      <c r="F1579" t="inlineStr">
        <is>
          <t>ESPORTES</t>
        </is>
      </c>
      <c r="G1579" t="inlineStr">
        <is>
          <t>PORTAL A CRÍTICA</t>
        </is>
      </c>
      <c r="H1579" t="inlineStr">
        <is>
          <t>ÍDOLOS DO PARÁ E ATOR GLOBAL REFORÇAM DUELO ENTRE AMIGOS DO IRANDUBA E LENDAS DO FLA</t>
        </is>
      </c>
      <c r="I1579" t="inlineStr">
        <is>
          <t>DUELO NA ARENA DA AMAZÔNIA NESTA TERÇA-FEIRA (30) TERÁ PARTICIPAÇÃO DE CHARLES GUERREIRO, LECHEVA, ROBGOL E DO ATOR BRUNO CABRERIZO</t>
        </is>
      </c>
      <c r="J1579" t="inlineStr"/>
      <c r="K1579" t="n">
        <v>0</v>
      </c>
      <c r="L1579" t="n">
        <v>1</v>
      </c>
      <c r="M1579" t="n">
        <v>0</v>
      </c>
      <c r="N1579" t="n">
        <v>0</v>
      </c>
      <c r="O1579" t="n">
        <v>1</v>
      </c>
      <c r="P1579">
        <f>HYPERLINK("https://www.acritica.com/esportes/idolos-do-para-e-ator-global-reforcam-duelo-entre-amigos-do-iranduba-e-lendas-do-fla-1.71018", "URL")</f>
        <v/>
      </c>
      <c r="Q1579">
        <f>HYPERLINK("https://raw.githubusercontent.com/marcosmapl/dataset_imigrantes/main/materias_filtered/a_critica/venezuelanos/2019/03_abr/html/1.71018_161.html", "HTML")</f>
        <v/>
      </c>
      <c r="R1579">
        <f>HYPERLINK("https://raw.githubusercontent.com/marcosmapl/dataset_imigrantes/main/materias_filtered/a_critica/venezuelanos/2019/03_abr/txt/1.71018_161.txt", "TXT")</f>
        <v/>
      </c>
    </row>
    <row r="1580">
      <c r="A1580" s="1" t="n">
        <v>1578</v>
      </c>
      <c r="B1580" t="n">
        <v>2019</v>
      </c>
      <c r="C1580" s="2" t="n">
        <v>43581.66767793981</v>
      </c>
      <c r="D1580" t="inlineStr">
        <is>
          <t>G1</t>
        </is>
      </c>
      <c r="E1580" t="inlineStr">
        <is>
          <t>VENEZUELANOS</t>
        </is>
      </c>
      <c r="F1580" t="inlineStr">
        <is>
          <t>MUNDO</t>
        </is>
      </c>
      <c r="G1580" t="inlineStr"/>
      <c r="H1580" t="inlineStr">
        <is>
          <t>OPOSIÇÃO VENEZUELANA DENUNCIA PRISÃO DE DEPUTADO</t>
        </is>
      </c>
      <c r="I1580" t="inlineStr">
        <is>
          <t>ASSEMBLEIA NACIONAL PUBLICA TUÍTE EM QUE AFIRMA QUE DETENÇÃO VIOLA A IMUNIDADE PARLAMENTAR.</t>
        </is>
      </c>
      <c r="J1580" t="inlineStr"/>
      <c r="K1580" t="n">
        <v>0</v>
      </c>
      <c r="L1580" t="n">
        <v>1</v>
      </c>
      <c r="M1580" t="n">
        <v>0</v>
      </c>
      <c r="N1580" t="n">
        <v>0</v>
      </c>
      <c r="O1580" t="n">
        <v>0</v>
      </c>
      <c r="P1580">
        <f>HYPERLINK("https://g1.globo.com/mundo/noticia/2019/04/26/oposicao-venezuelana-denuncia-prisao-de-deputado.ghtml", "URL")</f>
        <v/>
      </c>
      <c r="Q1580">
        <f>HYPERLINK("https://raw.githubusercontent.com/marcosmapl/dataset_imigrantes/main/materias_filtered/g1/venezuelanos/2019/03_abr/html/g1_55f2e562-2321-11ed-b24f-6dbe51e79fca_3694.html", "HTML")</f>
        <v/>
      </c>
      <c r="R1580">
        <f>HYPERLINK("https://raw.githubusercontent.com/marcosmapl/dataset_imigrantes/main/materias_filtered/g1/venezuelanos/2019/03_abr/txt/g1_55f2e562-2321-11ed-b24f-6dbe51e79fca_3694.txt", "TXT")</f>
        <v/>
      </c>
    </row>
    <row r="1581">
      <c r="A1581" s="1" t="n">
        <v>1579</v>
      </c>
      <c r="B1581" t="n">
        <v>2019</v>
      </c>
      <c r="C1581" s="2" t="n">
        <v>43581.64813657408</v>
      </c>
      <c r="D1581" t="inlineStr">
        <is>
          <t>A CRITICA</t>
        </is>
      </c>
      <c r="E1581" t="inlineStr">
        <is>
          <t>VENEZUELANOS</t>
        </is>
      </c>
      <c r="F1581" t="inlineStr">
        <is>
          <t>POLICIA</t>
        </is>
      </c>
      <c r="G1581" t="inlineStr">
        <is>
          <t>KAROL ROCHA</t>
        </is>
      </c>
      <c r="H1581" t="inlineStr">
        <is>
          <t>HOMEM É PRESO APÓS MATAR VENEZUELANO A TIROS NA PRAÇA DA SAUDADE</t>
        </is>
      </c>
      <c r="I1581" t="inlineStr">
        <is>
          <t>DELEGACIA ESPECIALIZADA EM HOMICÍDIOS E SEQUESTROS (DEHS) INFORMOU QUE RODRIGO LEMOS BACURI, 24, EFETUOU QUATRO DISPAROS CONTRA A VÍTIMA</t>
        </is>
      </c>
      <c r="J1581" t="inlineStr"/>
      <c r="K1581" t="n">
        <v>0</v>
      </c>
      <c r="L1581" t="n">
        <v>1</v>
      </c>
      <c r="M1581" t="n">
        <v>0</v>
      </c>
      <c r="N1581" t="n">
        <v>0</v>
      </c>
      <c r="O1581" t="n">
        <v>0</v>
      </c>
      <c r="P1581">
        <f>HYPERLINK("https://www.acritica.com/policia/homem-e-preso-apos-matar-venezuelano-a-tiros-na-praca-da-saudade-1.71044", "URL")</f>
        <v/>
      </c>
      <c r="Q1581">
        <f>HYPERLINK("https://raw.githubusercontent.com/marcosmapl/dataset_imigrantes/main/materias_filtered/a_critica/venezuelanos/2019/03_abr/html/1.71044_1117.html", "HTML")</f>
        <v/>
      </c>
      <c r="R1581">
        <f>HYPERLINK("https://raw.githubusercontent.com/marcosmapl/dataset_imigrantes/main/materias_filtered/a_critica/venezuelanos/2019/03_abr/txt/1.71044_1117.txt", "TXT")</f>
        <v/>
      </c>
    </row>
    <row r="1582">
      <c r="A1582" s="1" t="n">
        <v>1580</v>
      </c>
      <c r="B1582" t="n">
        <v>2019</v>
      </c>
      <c r="C1582" s="2" t="n">
        <v>43581.5102525</v>
      </c>
      <c r="D1582" t="inlineStr">
        <is>
          <t>G1</t>
        </is>
      </c>
      <c r="E1582" t="inlineStr">
        <is>
          <t>VENEZUELANOS</t>
        </is>
      </c>
      <c r="F1582" t="inlineStr">
        <is>
          <t>AMAZONAS</t>
        </is>
      </c>
      <c r="G1582" t="inlineStr">
        <is>
          <t>G1 AM</t>
        </is>
      </c>
      <c r="H1582" t="inlineStr">
        <is>
          <t>AMBULANTE VENEZUELANO É MORTO A TIROS NA PRAÇA DA SAUDADE, EM MANAUS</t>
        </is>
      </c>
      <c r="I1582" t="inlineStr">
        <is>
          <t>SUSPEITO DE PARTICIPAR DE HOMICÍDIO FOI PRESO.</t>
        </is>
      </c>
      <c r="J1582" t="inlineStr"/>
      <c r="K1582" t="n">
        <v>0</v>
      </c>
      <c r="L1582" t="n">
        <v>1</v>
      </c>
      <c r="M1582" t="n">
        <v>0</v>
      </c>
      <c r="N1582" t="n">
        <v>0</v>
      </c>
      <c r="O1582" t="n">
        <v>0</v>
      </c>
      <c r="P1582">
        <f>HYPERLINK("https://g1.globo.com/am/amazonas/noticia/2019/04/26/ambulante-venezuelano-e-morto-a-tiros-na-praca-da-saudade-em-manaus.ghtml", "URL")</f>
        <v/>
      </c>
      <c r="Q1582">
        <f>HYPERLINK("https://raw.githubusercontent.com/marcosmapl/dataset_imigrantes/main/materias_filtered/g1/venezuelanos/2019/03_abr/html/g1_c6bfb0da-231d-11ed-b24f-6dbe51e79fca_3519.html", "HTML")</f>
        <v/>
      </c>
      <c r="R1582">
        <f>HYPERLINK("https://raw.githubusercontent.com/marcosmapl/dataset_imigrantes/main/materias_filtered/g1/venezuelanos/2019/03_abr/txt/g1_c6bfb0da-231d-11ed-b24f-6dbe51e79fca_3519.txt", "TXT")</f>
        <v/>
      </c>
    </row>
    <row r="1583">
      <c r="A1583" s="1" t="n">
        <v>1581</v>
      </c>
      <c r="B1583" t="n">
        <v>2019</v>
      </c>
      <c r="C1583" s="2" t="n">
        <v>43578.53055555555</v>
      </c>
      <c r="D1583" t="inlineStr">
        <is>
          <t>A CRITICA</t>
        </is>
      </c>
      <c r="E1583" t="inlineStr">
        <is>
          <t>VENEZUELANOS</t>
        </is>
      </c>
      <c r="F1583" t="inlineStr">
        <is>
          <t>MANAUS</t>
        </is>
      </c>
      <c r="G1583" t="inlineStr">
        <is>
          <t>PORTAL A CRÍTICA</t>
        </is>
      </c>
      <c r="H1583" t="inlineStr">
        <is>
          <t>CACIQUE É PRIMEIRO WARAO A INICIAR PROCESSO DE REVALIDAÇÃO DE DIPLOMA EM MANAUS</t>
        </is>
      </c>
      <c r="I1583" t="inlineStr">
        <is>
          <t>NOBERTO JESUS, DE 26 ANOS, NÃO ESTÁ SOZINHO NESSA JORNADA. NO INÍCIO DO MÊS, OUTROS 19 VENEZUELANOS PUDERAM ENTRAR COM O PEDIDO FACILITADO DE REVALIDAÇÃO DE DIPLOMA NA UEA</t>
        </is>
      </c>
      <c r="J1583" t="inlineStr"/>
      <c r="K1583" t="n">
        <v>0</v>
      </c>
      <c r="L1583" t="n">
        <v>1</v>
      </c>
      <c r="M1583" t="n">
        <v>0</v>
      </c>
      <c r="N1583" t="n">
        <v>0</v>
      </c>
      <c r="O1583" t="n">
        <v>0</v>
      </c>
      <c r="P1583">
        <f>HYPERLINK("https://www.acritica.com/manaus/cacique-e-primeiro-warao-a-iniciar-processo-de-revalidac-o-de-diploma-em-manaus-1.70814", "URL")</f>
        <v/>
      </c>
      <c r="Q1583">
        <f>HYPERLINK("https://raw.githubusercontent.com/marcosmapl/dataset_imigrantes/main/materias_filtered/a_critica/venezuelanos/2019/03_abr/html/1.70814_365.html", "HTML")</f>
        <v/>
      </c>
      <c r="R1583">
        <f>HYPERLINK("https://raw.githubusercontent.com/marcosmapl/dataset_imigrantes/main/materias_filtered/a_critica/venezuelanos/2019/03_abr/txt/1.70814_365.txt", "TXT")</f>
        <v/>
      </c>
    </row>
    <row r="1584">
      <c r="A1584" s="1" t="n">
        <v>1582</v>
      </c>
      <c r="B1584" t="n">
        <v>2019</v>
      </c>
      <c r="C1584" s="2" t="n">
        <v>43578.46914305555</v>
      </c>
      <c r="D1584" t="inlineStr">
        <is>
          <t>G1</t>
        </is>
      </c>
      <c r="E1584" t="inlineStr">
        <is>
          <t>VENEZUELANOS</t>
        </is>
      </c>
      <c r="F1584" t="inlineStr">
        <is>
          <t>BAHIA</t>
        </is>
      </c>
      <c r="G1584" t="inlineStr">
        <is>
          <t>RAPHAEL MARQUES, TV BAHIA</t>
        </is>
      </c>
      <c r="H1584" t="inlineStr">
        <is>
          <t>'VIM PARA O BRASIL PARA OFERECER À MINHA FAMÍLIA UMA SITUAÇÃO MELHOR', DIZ VENEZUELANO RESGATADO DE TRABALHO ANÁLOGO AO ESCRAVO</t>
        </is>
      </c>
      <c r="I1584" t="inlineStr">
        <is>
          <t>DEZ VENEZUELANOS FORAM RESGATADOS NA QUINTA-FEIRA (18), NA BR-415, EM ITABUNA. DOIS HOMENS FORAM PRESOS EM FLAGRANTE NA AÇÃO.</t>
        </is>
      </c>
      <c r="J1584" t="inlineStr"/>
      <c r="K1584" t="n">
        <v>0</v>
      </c>
      <c r="L1584" t="n">
        <v>2</v>
      </c>
      <c r="M1584" t="n">
        <v>1</v>
      </c>
      <c r="N1584" t="n">
        <v>0</v>
      </c>
      <c r="O1584" t="n">
        <v>1</v>
      </c>
      <c r="P1584">
        <f>HYPERLINK("https://g1.globo.com/ba/bahia/noticia/2019/04/23/venezuelanos-resgatados-de-trabalho-escravo-na-ba-receberao-seguro-desemprego-e-agradecem-ao-brasil-voces-sao-especiais.ghtml", "URL")</f>
        <v/>
      </c>
      <c r="Q1584">
        <f>HYPERLINK("https://raw.githubusercontent.com/marcosmapl/dataset_imigrantes/main/materias_filtered/g1/venezuelanos/2019/03_abr/html/g1_2db77978-2308-11ed-b24f-6dbe51e79fca_2370.html", "HTML")</f>
        <v/>
      </c>
      <c r="R1584">
        <f>HYPERLINK("https://raw.githubusercontent.com/marcosmapl/dataset_imigrantes/main/materias_filtered/g1/venezuelanos/2019/03_abr/txt/g1_2db77978-2308-11ed-b24f-6dbe51e79fca_2370.txt", "TXT")</f>
        <v/>
      </c>
    </row>
    <row r="1585">
      <c r="A1585" s="1" t="n">
        <v>1583</v>
      </c>
      <c r="B1585" t="n">
        <v>2019</v>
      </c>
      <c r="C1585" s="2" t="n">
        <v>43576.68376443287</v>
      </c>
      <c r="D1585" t="inlineStr">
        <is>
          <t>G1</t>
        </is>
      </c>
      <c r="E1585" t="inlineStr">
        <is>
          <t>VENEZUELANOS</t>
        </is>
      </c>
      <c r="F1585" t="inlineStr"/>
      <c r="G1585" t="inlineStr">
        <is>
          <t>AGÊNCIA EFE</t>
        </is>
      </c>
      <c r="H1585" t="inlineStr">
        <is>
          <t>EM MEIO A RACIONAMENTO DE ENERGIA, ESTADO VENEZUELANO SOFRE OUTRO BLECAUTE</t>
        </is>
      </c>
      <c r="I1585" t="inlineStr">
        <is>
          <t>CORPOELEC AFIRMOU QUE TRABALHA PARA RESTITUIR O SERVIÇO, QUE JÁ É INTERROMPIDO DIARIAMENTE PELO RACIONAMENTO ELÉTRICO APLICADO PELO GOVERNO DE NICOLÁS MADURO EM 20 DOS 23 ESTADOS DO PAÍS DESDE 31 DE MARÇO APÓS A SEQUÊNCIA DE BLECAUTES.</t>
        </is>
      </c>
      <c r="J1585" t="inlineStr"/>
      <c r="K1585" t="n">
        <v>0</v>
      </c>
      <c r="L1585" t="n">
        <v>1</v>
      </c>
      <c r="M1585" t="n">
        <v>0</v>
      </c>
      <c r="N1585" t="n">
        <v>0</v>
      </c>
      <c r="O1585" t="n">
        <v>0</v>
      </c>
      <c r="P1585">
        <f>HYPERLINK("https://g1.globo.com/mundo/noticia/2019/04/21/em-meio-a-racionamento-de-energia-estado-venezuelano-sofre-outro-blecaute.ghtml", "URL")</f>
        <v/>
      </c>
      <c r="Q1585">
        <f>HYPERLINK("https://raw.githubusercontent.com/marcosmapl/dataset_imigrantes/main/materias_filtered/g1/venezuelanos/2019/03_abr/html/g1_2c4982ea-2310-11ed-b24f-6dbe51e79fca_2843.html", "HTML")</f>
        <v/>
      </c>
      <c r="R1585">
        <f>HYPERLINK("https://raw.githubusercontent.com/marcosmapl/dataset_imigrantes/main/materias_filtered/g1/venezuelanos/2019/03_abr/txt/g1_2c4982ea-2310-11ed-b24f-6dbe51e79fca_2843.txt", "TXT")</f>
        <v/>
      </c>
    </row>
    <row r="1586">
      <c r="A1586" s="1" t="n">
        <v>1584</v>
      </c>
      <c r="B1586" t="n">
        <v>2019</v>
      </c>
      <c r="C1586" s="2" t="n">
        <v>43576.51424083333</v>
      </c>
      <c r="D1586" t="inlineStr">
        <is>
          <t>G1</t>
        </is>
      </c>
      <c r="E1586" t="inlineStr">
        <is>
          <t>VENEZUELANOS</t>
        </is>
      </c>
      <c r="F1586" t="inlineStr">
        <is>
          <t>CAMPINAS E REGIÃO</t>
        </is>
      </c>
      <c r="G1586" t="inlineStr">
        <is>
          <t>G1 CAMPINAS E REGIÃO</t>
        </is>
      </c>
      <c r="H1586" t="inlineStr">
        <is>
          <t>RECEITA FEDERAL EM VIRACOPOS FLAGRA VENEZUELANO DE 26 ANOS COM 3 QUILOS DE COCAÍNA</t>
        </is>
      </c>
      <c r="I1586" t="inlineStr">
        <is>
          <t>PASSAGEIRO EMBARCARIA PARA A FRANÇA E A DROGA FOI AVALIADA EM R$ 750 MIL. FOI O SEGUNDO FLAGRANTE EM SEIS DIAS.</t>
        </is>
      </c>
      <c r="J1586" t="inlineStr"/>
      <c r="K1586" t="n">
        <v>0</v>
      </c>
      <c r="L1586" t="n">
        <v>2</v>
      </c>
      <c r="M1586" t="n">
        <v>1</v>
      </c>
      <c r="N1586" t="n">
        <v>0</v>
      </c>
      <c r="O1586" t="n">
        <v>2</v>
      </c>
      <c r="P1586">
        <f>HYPERLINK("https://g1.globo.com/sp/campinas-regiao/noticia/2019/04/21/receita-federal-em-viracopos-flagra-venezuelano-com-3-quilos-de-cocaina.ghtml", "URL")</f>
        <v/>
      </c>
      <c r="Q1586">
        <f>HYPERLINK("https://raw.githubusercontent.com/marcosmapl/dataset_imigrantes/main/materias_filtered/g1/venezuelanos/2019/03_abr/html/g1_69849b72-2329-11ed-b24f-6dbe51e79fca_4115.html", "HTML")</f>
        <v/>
      </c>
      <c r="R1586">
        <f>HYPERLINK("https://raw.githubusercontent.com/marcosmapl/dataset_imigrantes/main/materias_filtered/g1/venezuelanos/2019/03_abr/txt/g1_69849b72-2329-11ed-b24f-6dbe51e79fca_4115.txt", "TXT")</f>
        <v/>
      </c>
    </row>
    <row r="1587">
      <c r="A1587" s="1" t="n">
        <v>1585</v>
      </c>
      <c r="B1587" t="n">
        <v>2019</v>
      </c>
      <c r="C1587" s="2" t="n">
        <v>43575.56111111111</v>
      </c>
      <c r="D1587" t="inlineStr">
        <is>
          <t>A CRITICA</t>
        </is>
      </c>
      <c r="E1587" t="inlineStr">
        <is>
          <t>VENEZUELANOS</t>
        </is>
      </c>
      <c r="F1587" t="inlineStr"/>
      <c r="G1587" t="inlineStr">
        <is>
          <t>AGÊNCIA BRASIL</t>
        </is>
      </c>
      <c r="H1587" t="inlineStr">
        <is>
          <t>FECHAMENTO DA FRONTEIRA COM A VENEZUELA COMPLETA DOIS MESES NESTE DOMINGO</t>
        </is>
      </c>
      <c r="I1587" t="inlineStr">
        <is>
          <t>PARA CONTORNAR O BLOQUEIO E TENTAR CHEGAR AO BRASIL, VENEZUELANOS SE AVENTURAM POR ROTAS ALTERNATIVAS</t>
        </is>
      </c>
      <c r="J1587" t="inlineStr"/>
      <c r="K1587" t="n">
        <v>0</v>
      </c>
      <c r="L1587" t="n">
        <v>1</v>
      </c>
      <c r="M1587" t="n">
        <v>0</v>
      </c>
      <c r="N1587" t="n">
        <v>0</v>
      </c>
      <c r="O1587" t="n">
        <v>1</v>
      </c>
      <c r="P1587">
        <f>HYPERLINK("https://www.acritica.com/fechamento-da-fronteira-com-a-venezuela-completa-dois-meses-neste-domingo-1.70468", "URL")</f>
        <v/>
      </c>
      <c r="Q1587">
        <f>HYPERLINK("https://raw.githubusercontent.com/marcosmapl/dataset_imigrantes/main/materias_filtered/a_critica/venezuelanos/2019/03_abr/html/1.70468_338.html", "HTML")</f>
        <v/>
      </c>
      <c r="R1587">
        <f>HYPERLINK("https://raw.githubusercontent.com/marcosmapl/dataset_imigrantes/main/materias_filtered/a_critica/venezuelanos/2019/03_abr/txt/1.70468_338.txt", "TXT")</f>
        <v/>
      </c>
    </row>
    <row r="1588">
      <c r="A1588" s="1" t="n">
        <v>1586</v>
      </c>
      <c r="B1588" t="n">
        <v>2019</v>
      </c>
      <c r="C1588" s="2" t="n">
        <v>43575.0086572338</v>
      </c>
      <c r="D1588" t="inlineStr">
        <is>
          <t>G1</t>
        </is>
      </c>
      <c r="E1588" t="inlineStr">
        <is>
          <t>VENEZUELANOS</t>
        </is>
      </c>
      <c r="F1588" t="inlineStr">
        <is>
          <t>JORNAL NACIONAL</t>
        </is>
      </c>
      <c r="G1588" t="inlineStr">
        <is>
          <t>JORNAL NACIONAL</t>
        </is>
      </c>
      <c r="H1588" t="inlineStr">
        <is>
          <t>LEVANTAMENTO MOSTRA AVANÇO DAS GUERRILHAS COLOMBIANAS PELO TERRITÓRIO VENEZUELANO</t>
        </is>
      </c>
      <c r="I1588" t="inlineStr">
        <is>
          <t>DE ACORDO COM FUNDAÇÃO, AS GUERRILHAS SE ESPALHARAM POR 12 ESTADOS, DOMINAM TERRITÓRIOS INTEIROS, INCLUSIVE COM ARMAS DO PRÓPRIO GOVERNO DE NICOLÁS MADURO.</t>
        </is>
      </c>
      <c r="J1588" t="inlineStr"/>
      <c r="K1588" t="n">
        <v>0</v>
      </c>
      <c r="L1588" t="n">
        <v>1</v>
      </c>
      <c r="M1588" t="n">
        <v>1</v>
      </c>
      <c r="N1588" t="n">
        <v>0</v>
      </c>
      <c r="O1588" t="n">
        <v>0</v>
      </c>
      <c r="P1588">
        <f>HYPERLINK("https://g1.globo.com/jornal-nacional/noticia/2019/04/19/levantamento-mostra-avanco-das-guerrilhas-colombianas-pelo-territorio-venezuelano.ghtml", "URL")</f>
        <v/>
      </c>
      <c r="Q1588">
        <f>HYPERLINK("https://raw.githubusercontent.com/marcosmapl/dataset_imigrantes/main/materias_filtered/g1/venezuelanos/2019/03_abr/html/g1_9c9dd486-232b-11ed-b24f-6dbe51e79fca_4258.html", "HTML")</f>
        <v/>
      </c>
      <c r="R1588">
        <f>HYPERLINK("https://raw.githubusercontent.com/marcosmapl/dataset_imigrantes/main/materias_filtered/g1/venezuelanos/2019/03_abr/txt/g1_9c9dd486-232b-11ed-b24f-6dbe51e79fca_4258.txt", "TXT")</f>
        <v/>
      </c>
    </row>
    <row r="1589">
      <c r="A1589" s="1" t="n">
        <v>1587</v>
      </c>
      <c r="B1589" t="n">
        <v>2019</v>
      </c>
      <c r="C1589" s="2" t="n">
        <v>43574.78859953704</v>
      </c>
      <c r="D1589" t="inlineStr">
        <is>
          <t>A CRITICA</t>
        </is>
      </c>
      <c r="E1589" t="inlineStr">
        <is>
          <t>VENEZUELANOS</t>
        </is>
      </c>
      <c r="F1589" t="inlineStr"/>
      <c r="G1589" t="inlineStr">
        <is>
          <t>REUTERS</t>
        </is>
      </c>
      <c r="H1589" t="inlineStr">
        <is>
          <t>GUAIDÓ CONVOCA VENEZUELANOS PARA 'MAIOR MARCHA DA HISTÓRIA' CONTRA MADURO</t>
        </is>
      </c>
      <c r="I1589" t="inlineStr">
        <is>
          <t>GUAIDÓ INVOCOU A CONSTITUIÇÃO EM JANEIRO PARA SE AUTOPROCLAMAR PRESIDENTE INTERINO. O LÍDER OPOSITOR FOI RECONHECIDO POR DEZENAS DE PAÍSES QUE REJEITARAM A REELEIÇÃO DE MADURO</t>
        </is>
      </c>
      <c r="J1589" t="inlineStr"/>
      <c r="K1589" t="n">
        <v>0</v>
      </c>
      <c r="L1589" t="n">
        <v>1</v>
      </c>
      <c r="M1589" t="n">
        <v>0</v>
      </c>
      <c r="N1589" t="n">
        <v>0</v>
      </c>
      <c r="O1589" t="n">
        <v>0</v>
      </c>
      <c r="P1589">
        <f>HYPERLINK("https://www.acritica.com/guaido-convoca-venezuelanos-para-maior-marcha-da-historia-contra-maduro-1.70488", "URL")</f>
        <v/>
      </c>
      <c r="Q1589">
        <f>HYPERLINK("https://raw.githubusercontent.com/marcosmapl/dataset_imigrantes/main/materias_filtered/a_critica/venezuelanos/2019/03_abr/html/1.70488_325.html", "HTML")</f>
        <v/>
      </c>
      <c r="R1589">
        <f>HYPERLINK("https://raw.githubusercontent.com/marcosmapl/dataset_imigrantes/main/materias_filtered/a_critica/venezuelanos/2019/03_abr/txt/1.70488_325.txt", "TXT")</f>
        <v/>
      </c>
    </row>
    <row r="1590">
      <c r="A1590" s="1" t="n">
        <v>1588</v>
      </c>
      <c r="B1590" t="n">
        <v>2019</v>
      </c>
      <c r="C1590" s="2" t="n">
        <v>43573.62668981482</v>
      </c>
      <c r="D1590" t="inlineStr">
        <is>
          <t>A CRITICA</t>
        </is>
      </c>
      <c r="E1590" t="inlineStr">
        <is>
          <t>VENEZUELANOS</t>
        </is>
      </c>
      <c r="F1590" t="inlineStr">
        <is>
          <t>POLICIA</t>
        </is>
      </c>
      <c r="G1590" t="inlineStr">
        <is>
          <t>MÁRCIA MONTEIRO</t>
        </is>
      </c>
      <c r="H1590" t="inlineStr">
        <is>
          <t>VENEZUELANO É PRESO SUSPEITO DE TENTAR MATAR FLANELINHA POR DINHEIRO EM MANAUS</t>
        </is>
      </c>
      <c r="I1590" t="inlineStr">
        <is>
          <t>O CRIME TERIA SIDO PLANEJADO PELO SUSPEITO E A COMPANHEIRA DELE. A VÍTIMA INFORMOU QUE ABRIU A PORTA DE CASA QUANDO FOI SURPREENDIDO PELA DUPLA</t>
        </is>
      </c>
      <c r="J1590" t="inlineStr"/>
      <c r="K1590" t="n">
        <v>0</v>
      </c>
      <c r="L1590" t="n">
        <v>1</v>
      </c>
      <c r="M1590" t="n">
        <v>0</v>
      </c>
      <c r="N1590" t="n">
        <v>0</v>
      </c>
      <c r="O1590" t="n">
        <v>0</v>
      </c>
      <c r="P1590">
        <f>HYPERLINK("https://www.acritica.com/policia/venezuelano-e-preso-suspeito-de-tentar-matar-flanelinha-por-dinheiro-em-manaus-1.70582", "URL")</f>
        <v/>
      </c>
      <c r="Q1590">
        <f>HYPERLINK("https://raw.githubusercontent.com/marcosmapl/dataset_imigrantes/main/materias_filtered/a_critica/venezuelanos/2019/03_abr/html/1.70582_14.html", "HTML")</f>
        <v/>
      </c>
      <c r="R1590">
        <f>HYPERLINK("https://raw.githubusercontent.com/marcosmapl/dataset_imigrantes/main/materias_filtered/a_critica/venezuelanos/2019/03_abr/txt/1.70582_14.txt", "TXT")</f>
        <v/>
      </c>
    </row>
    <row r="1591">
      <c r="A1591" s="1" t="n">
        <v>1589</v>
      </c>
      <c r="B1591" t="n">
        <v>2019</v>
      </c>
      <c r="C1591" s="2" t="n">
        <v>43571.65553037037</v>
      </c>
      <c r="D1591" t="inlineStr">
        <is>
          <t>G1</t>
        </is>
      </c>
      <c r="E1591" t="inlineStr">
        <is>
          <t>HAITIANOS</t>
        </is>
      </c>
      <c r="F1591" t="inlineStr">
        <is>
          <t>SUL DE MINAS</t>
        </is>
      </c>
      <c r="G1591" t="inlineStr">
        <is>
          <t>EPTV 1 — EXTREMA, MG</t>
        </is>
      </c>
      <c r="H1591" t="inlineStr">
        <is>
          <t>CABELEIREIRA DE 28 ANOS É MORTA DENTRO DO PRÓPRIO SALÃO EM MG; EX-COMPANHEIRO É SUSPEITO</t>
        </is>
      </c>
      <c r="I1591" t="inlineStr">
        <is>
          <t>CRIME ACONTECEU NA MANHÃ DESTA TERÇA-FEIRA EM EXTREMA. MULHER É HAITIANA E FOI MORTA COM PELO MENOS 20 GOLPES DE TESOURA, DIZ POLÍCIA.</t>
        </is>
      </c>
      <c r="J1591" t="inlineStr"/>
      <c r="K1591" t="n">
        <v>0</v>
      </c>
      <c r="L1591" t="n">
        <v>2</v>
      </c>
      <c r="M1591" t="n">
        <v>1</v>
      </c>
      <c r="N1591" t="n">
        <v>0</v>
      </c>
      <c r="O1591" t="n">
        <v>1</v>
      </c>
      <c r="P1591">
        <f>HYPERLINK("https://g1.globo.com/mg/sul-de-minas/noticia/2019/04/16/cabeleireira-de-28-anos-e-morta-dentro-do-proprio-salao-em-extrema-companheiro-e-suspeito-do-crime.ghtml", "URL")</f>
        <v/>
      </c>
      <c r="Q1591">
        <f>HYPERLINK("https://raw.githubusercontent.com/marcosmapl/dataset_imigrantes/main/materias_filtered/g1/haitianos/2019/03_abr/html/g1_f0f57150-2309-11ed-b24f-6dbe51e79fca_2475.html", "HTML")</f>
        <v/>
      </c>
      <c r="R1591">
        <f>HYPERLINK("https://raw.githubusercontent.com/marcosmapl/dataset_imigrantes/main/materias_filtered/g1/haitianos/2019/03_abr/txt/g1_f0f57150-2309-11ed-b24f-6dbe51e79fca_2475.txt", "TXT")</f>
        <v/>
      </c>
    </row>
    <row r="1592">
      <c r="A1592" s="1" t="n">
        <v>1590</v>
      </c>
      <c r="B1592" t="n">
        <v>2019</v>
      </c>
      <c r="C1592" s="2" t="n">
        <v>43571.65553037037</v>
      </c>
      <c r="D1592" t="inlineStr">
        <is>
          <t>G1</t>
        </is>
      </c>
      <c r="E1592" t="inlineStr">
        <is>
          <t>HAITIANOS</t>
        </is>
      </c>
      <c r="F1592" t="inlineStr">
        <is>
          <t>SUL DE MINAS</t>
        </is>
      </c>
      <c r="G1592" t="inlineStr">
        <is>
          <t>EPTV 1 — EXTREMA, MG</t>
        </is>
      </c>
      <c r="H1592" t="inlineStr">
        <is>
          <t>CABELEIREIRA DE 28 ANOS É MORTA DENTRO DO PRÓPRIO SALÃO EM MG; EX-COMPANHEIRO É SUSPEITO</t>
        </is>
      </c>
      <c r="I1592" t="inlineStr">
        <is>
          <t>CRIME ACONTECEU NA MANHÃ DESTA TERÇA-FEIRA EM EXTREMA. MULHER É HAITIANA E FOI MORTA COM PELO MENOS 20 GOLPES DE TESOURA, DIZ POLÍCIA.</t>
        </is>
      </c>
      <c r="J1592" t="inlineStr"/>
      <c r="K1592" t="n">
        <v>0</v>
      </c>
      <c r="L1592" t="n">
        <v>0</v>
      </c>
      <c r="M1592" t="n">
        <v>0</v>
      </c>
      <c r="N1592" t="n">
        <v>0</v>
      </c>
      <c r="O1592" t="n">
        <v>8</v>
      </c>
      <c r="P1592">
        <f>HYPERLINK("https://g1.globo.com/mg/sul-de-minas/noticia/2019/04/16/cabeleireira-de-28-anos-e-morta-dentro-do-proprio-salao-em-extrema-companheiro-e-suspeito-do-crime.ghtml", "URL")</f>
        <v/>
      </c>
      <c r="Q1592">
        <f>HYPERLINK("https://raw.githubusercontent.com/marcosmapl/dataset_imigrantes/main/materias_filtered/g1/haitianos/2019/03_abr/html/g1_c506df25-7e94-4a47-a8ec-921d31044911_1620.html", "HTML")</f>
        <v/>
      </c>
      <c r="R1592">
        <f>HYPERLINK("https://raw.githubusercontent.com/marcosmapl/dataset_imigrantes/main/materias_filtered/g1/haitianos/2019/03_abr/txt/g1_c506df25-7e94-4a47-a8ec-921d31044911_1620.txt", "TXT")</f>
        <v/>
      </c>
    </row>
    <row r="1593">
      <c r="A1593" s="1" t="n">
        <v>1591</v>
      </c>
      <c r="B1593" t="n">
        <v>2019</v>
      </c>
      <c r="C1593" s="2" t="n">
        <v>43570.87269675926</v>
      </c>
      <c r="D1593" t="inlineStr">
        <is>
          <t>A CRITICA</t>
        </is>
      </c>
      <c r="E1593" t="inlineStr">
        <is>
          <t>VENEZUELANOS</t>
        </is>
      </c>
      <c r="F1593" t="inlineStr">
        <is>
          <t>POLICIA</t>
        </is>
      </c>
      <c r="G1593" t="inlineStr">
        <is>
          <t>PORTAL A CRÍTICA</t>
        </is>
      </c>
      <c r="H1593" t="inlineStr">
        <is>
          <t>PF E PM PRENDEM QUATRO VENEZUELANOS NO AM POR TRÁFICO INTERNACIONAL DE DROGAS</t>
        </is>
      </c>
      <c r="I1593" t="inlineStr">
        <is>
          <t>GRUPO EM TABATINGA ESTAVA COM 12 KG DE COCAÍNA PURA ADQUIRIDA NA COLÔMBIA E ESCONDIDA DEBAIXO DAS ROUPAS. A DROGA TINHA COMO DESTINO A CAPITAL AMAZONENSE</t>
        </is>
      </c>
      <c r="J1593" t="inlineStr"/>
      <c r="K1593" t="n">
        <v>0</v>
      </c>
      <c r="L1593" t="n">
        <v>1</v>
      </c>
      <c r="M1593" t="n">
        <v>0</v>
      </c>
      <c r="N1593" t="n">
        <v>0</v>
      </c>
      <c r="O1593" t="n">
        <v>0</v>
      </c>
      <c r="P1593">
        <f>HYPERLINK("https://www.acritica.com/policia/pf-e-pm-prendem-quatro-venezuelanos-no-am-por-trafico-internacional-de-drogas-1.70268", "URL")</f>
        <v/>
      </c>
      <c r="Q1593">
        <f>HYPERLINK("https://raw.githubusercontent.com/marcosmapl/dataset_imigrantes/main/materias_filtered/a_critica/venezuelanos/2019/03_abr/html/1.70268_1362.html", "HTML")</f>
        <v/>
      </c>
      <c r="R1593">
        <f>HYPERLINK("https://raw.githubusercontent.com/marcosmapl/dataset_imigrantes/main/materias_filtered/a_critica/venezuelanos/2019/03_abr/txt/1.70268_1362.txt", "TXT")</f>
        <v/>
      </c>
    </row>
    <row r="1594">
      <c r="A1594" s="1" t="n">
        <v>1592</v>
      </c>
      <c r="B1594" t="n">
        <v>2019</v>
      </c>
      <c r="C1594" s="2" t="n">
        <v>43568.73649305556</v>
      </c>
      <c r="D1594" t="inlineStr">
        <is>
          <t>A CRITICA</t>
        </is>
      </c>
      <c r="E1594" t="inlineStr">
        <is>
          <t>VENEZUELANOS</t>
        </is>
      </c>
      <c r="F1594" t="inlineStr">
        <is>
          <t>MANAUS</t>
        </is>
      </c>
      <c r="G1594" t="inlineStr">
        <is>
          <t>ACRITICA.COM*</t>
        </is>
      </c>
      <c r="H1594" t="inlineStr">
        <is>
          <t>AÇÃO INTEGRADA DE ÓRGÃOS BUSCA ESPAÇO PARA ÍNDIOS WARAO EM MANAUS</t>
        </is>
      </c>
      <c r="I1594" t="inlineStr">
        <is>
          <t>ATUALMENTE, 448 INDÍGENAS DESSA ETNIA ESTÃO ACOLHIDOS NOS ABRIGOS DOS BAIRROS ALFREDO NASCIMENTO, NA ZONA NORTE, E NA PRAÇA 14 DE JANEIRO, ZONA SUL</t>
        </is>
      </c>
      <c r="J1594" t="inlineStr"/>
      <c r="K1594" t="n">
        <v>0</v>
      </c>
      <c r="L1594" t="n">
        <v>1</v>
      </c>
      <c r="M1594" t="n">
        <v>0</v>
      </c>
      <c r="N1594" t="n">
        <v>0</v>
      </c>
      <c r="O1594" t="n">
        <v>0</v>
      </c>
      <c r="P1594">
        <f>HYPERLINK("https://www.acritica.com/manaus/ac-o-integrada-de-org-os-busca-espaco-para-indios-warao-em-manaus-1.70125", "URL")</f>
        <v/>
      </c>
      <c r="Q1594">
        <f>HYPERLINK("https://raw.githubusercontent.com/marcosmapl/dataset_imigrantes/main/materias_filtered/a_critica/venezuelanos/2019/03_abr/html/1.70125_241.html", "HTML")</f>
        <v/>
      </c>
      <c r="R1594">
        <f>HYPERLINK("https://raw.githubusercontent.com/marcosmapl/dataset_imigrantes/main/materias_filtered/a_critica/venezuelanos/2019/03_abr/txt/1.70125_241.txt", "TXT")</f>
        <v/>
      </c>
    </row>
    <row r="1595">
      <c r="A1595" s="1" t="n">
        <v>1593</v>
      </c>
      <c r="B1595" t="n">
        <v>2019</v>
      </c>
      <c r="C1595" s="2" t="n">
        <v>43565.37561692129</v>
      </c>
      <c r="D1595" t="inlineStr">
        <is>
          <t>G1</t>
        </is>
      </c>
      <c r="E1595" t="inlineStr">
        <is>
          <t>VENEZUELANOS</t>
        </is>
      </c>
      <c r="F1595" t="inlineStr">
        <is>
          <t>PARÁ</t>
        </is>
      </c>
      <c r="G1595" t="inlineStr">
        <is>
          <t>TAYMÃ CARNEIRO, GLAUCE MONTEIRO E GIL SÓTER, G1 PA — BELÉM</t>
        </is>
      </c>
      <c r="H1595" t="inlineStr">
        <is>
          <t>INDÍGENAS VENEZUELANAS REFUGIADAS EM BELÉM CRIAM MARCA DE ARTESANATO E DEIXAM DE PEDIR DINHEIRO NAS RUAS</t>
        </is>
      </c>
      <c r="I1595" t="inlineStr">
        <is>
          <t>O GRUPO ESTÁ PRODUZINDO CESTARIAS, COSTURAS E BIJUTERIAS PARA VENDER PELA INTERNET. NO PRIMEIRO DIA DE VENDAS, SLINGS PARA BEBÊS ESGOTARAM RAPIDAMENTE.</t>
        </is>
      </c>
      <c r="J1595" t="inlineStr"/>
      <c r="K1595" t="n">
        <v>0</v>
      </c>
      <c r="L1595" t="n">
        <v>2</v>
      </c>
      <c r="M1595" t="n">
        <v>0</v>
      </c>
      <c r="N1595" t="n">
        <v>0</v>
      </c>
      <c r="O1595" t="n">
        <v>2</v>
      </c>
      <c r="P1595">
        <f>HYPERLINK("https://g1.globo.com/pa/para/noticia/2019/04/10/indigenas-venezuelanas-refugiadas-em-belem-criam-marca-de-artesanato-e-deixam-de-pedir-dinheiro-nas-ruas.ghtml", "URL")</f>
        <v/>
      </c>
      <c r="Q1595">
        <f>HYPERLINK("https://raw.githubusercontent.com/marcosmapl/dataset_imigrantes/main/materias_filtered/g1/venezuelanos/2019/03_abr/html/g1_a274f9aa-2323-11ed-b24f-6dbe51e79fca_3818.html", "HTML")</f>
        <v/>
      </c>
      <c r="R1595">
        <f>HYPERLINK("https://raw.githubusercontent.com/marcosmapl/dataset_imigrantes/main/materias_filtered/g1/venezuelanos/2019/03_abr/txt/g1_a274f9aa-2323-11ed-b24f-6dbe51e79fca_3818.txt", "TXT")</f>
        <v/>
      </c>
    </row>
    <row r="1596">
      <c r="A1596" s="1" t="n">
        <v>1594</v>
      </c>
      <c r="B1596" t="n">
        <v>2019</v>
      </c>
      <c r="C1596" s="2" t="n">
        <v>43563.84346064815</v>
      </c>
      <c r="D1596" t="inlineStr">
        <is>
          <t>A CRITICA</t>
        </is>
      </c>
      <c r="E1596" t="inlineStr">
        <is>
          <t>VENEZUELANOS</t>
        </is>
      </c>
      <c r="F1596" t="inlineStr">
        <is>
          <t>ESPORTES</t>
        </is>
      </c>
      <c r="G1596" t="inlineStr">
        <is>
          <t>REUTERS</t>
        </is>
      </c>
      <c r="H1596" t="inlineStr">
        <is>
          <t>ÍDOLO DO FUTEBOL ARGENTINO, MARADONA PENSA EM DEIXAR DE TRABALHAR NO MÉXICO</t>
        </is>
      </c>
      <c r="I1596" t="inlineStr">
        <is>
          <t>EX-CRAQUE E ATUAL TÉCNICO DO FUTEBOL, MARADONA DIZ QUE SUA PRESENÇA TEM AFETADO A ROTINA DO CLUBE DORADOS DE SINALOA</t>
        </is>
      </c>
      <c r="J1596" t="inlineStr"/>
      <c r="K1596" t="n">
        <v>0</v>
      </c>
      <c r="L1596" t="n">
        <v>1</v>
      </c>
      <c r="M1596" t="n">
        <v>0</v>
      </c>
      <c r="N1596" t="n">
        <v>0</v>
      </c>
      <c r="O1596" t="n">
        <v>0</v>
      </c>
      <c r="P1596">
        <f>HYPERLINK("https://www.acritica.com/esportes/idolo-do-futebol-argentino-maradona-pensa-em-deixar-de-trabalhar-no-mexico-1.69758", "URL")</f>
        <v/>
      </c>
      <c r="Q1596">
        <f>HYPERLINK("https://raw.githubusercontent.com/marcosmapl/dataset_imigrantes/main/materias_filtered/a_critica/venezuelanos/2019/03_abr/html/1.69758_244.html", "HTML")</f>
        <v/>
      </c>
      <c r="R1596">
        <f>HYPERLINK("https://raw.githubusercontent.com/marcosmapl/dataset_imigrantes/main/materias_filtered/a_critica/venezuelanos/2019/03_abr/txt/1.69758_244.txt", "TXT")</f>
        <v/>
      </c>
    </row>
    <row r="1597">
      <c r="A1597" s="1" t="n">
        <v>1595</v>
      </c>
      <c r="B1597" t="n">
        <v>2019</v>
      </c>
      <c r="C1597" s="2" t="n">
        <v>43562.64693564815</v>
      </c>
      <c r="D1597" t="inlineStr">
        <is>
          <t>G1</t>
        </is>
      </c>
      <c r="E1597" t="inlineStr">
        <is>
          <t>VENEZUELANOS</t>
        </is>
      </c>
      <c r="F1597" t="inlineStr">
        <is>
          <t>RORAIMA</t>
        </is>
      </c>
      <c r="G1597" t="inlineStr">
        <is>
          <t>G1 RR — BOA VISTA</t>
        </is>
      </c>
      <c r="H1597" t="inlineStr">
        <is>
          <t>VENEZUELANO É ENCONTRADO MORTO EM OBRA ONDE TRABALHAVA EM BOA VISTA</t>
        </is>
      </c>
      <c r="I1597" t="inlineStr">
        <is>
          <t>PATRÃO ENCONTROU FUNCIONÁRIO MORTO NA MANHÃ DESTE DOMINGO (7) AO CHEGAR A CONDOMÍNIO EM CONSTRUÇÃO; CELULAR E CARTEIRA DA VÍTIMA SUMIRAM. POLÍCIA INVESTIGA.</t>
        </is>
      </c>
      <c r="J1597" t="inlineStr"/>
      <c r="K1597" t="n">
        <v>0</v>
      </c>
      <c r="L1597" t="n">
        <v>0</v>
      </c>
      <c r="M1597" t="n">
        <v>0</v>
      </c>
      <c r="N1597" t="n">
        <v>0</v>
      </c>
      <c r="O1597" t="n">
        <v>1</v>
      </c>
      <c r="P1597">
        <f>HYPERLINK("https://g1.globo.com/rr/roraima/noticia/2019/04/07/venezuelano-e-encontrado-morto-em-obra-onde-trabalhava-em-boa-vista.ghtml", "URL")</f>
        <v/>
      </c>
      <c r="Q1597">
        <f>HYPERLINK("https://raw.githubusercontent.com/marcosmapl/dataset_imigrantes/main/materias_filtered/g1/venezuelanos/2019/03_abr/html/g1_04c0f256-2326-11ed-b24f-6dbe51e79fca_3950.html", "HTML")</f>
        <v/>
      </c>
      <c r="R1597">
        <f>HYPERLINK("https://raw.githubusercontent.com/marcosmapl/dataset_imigrantes/main/materias_filtered/g1/venezuelanos/2019/03_abr/txt/g1_04c0f256-2326-11ed-b24f-6dbe51e79fca_3950.txt", "TXT")</f>
        <v/>
      </c>
    </row>
    <row r="1598">
      <c r="A1598" s="1" t="n">
        <v>1596</v>
      </c>
      <c r="B1598" t="n">
        <v>2019</v>
      </c>
      <c r="C1598" s="2" t="n">
        <v>43561.57083333333</v>
      </c>
      <c r="D1598" t="inlineStr">
        <is>
          <t>A CRITICA</t>
        </is>
      </c>
      <c r="E1598" t="inlineStr">
        <is>
          <t>VENEZUELANOS</t>
        </is>
      </c>
      <c r="F1598" t="inlineStr"/>
      <c r="G1598" t="inlineStr">
        <is>
          <t>AFP</t>
        </is>
      </c>
      <c r="H1598" t="inlineStr">
        <is>
          <t>GUAIDÓ PRESSIONA MADURO NAS RUAS COM MANIFESTAÇÕES CONTRA APAGÕES</t>
        </is>
      </c>
      <c r="I1598" t="inlineStr">
        <is>
          <t>'VAMOS SEGUIR ATÉ CONSEGUIR O FIM DA USURPAÇÃO', PROMETEU NA SEXTA-FEIRA GUAIDÓ, RECONHECIDO COMO PRESIDENTE INTERINO DA VENEZUELA POR MAIS DE 50 PAÍSES.</t>
        </is>
      </c>
      <c r="J1598" t="inlineStr"/>
      <c r="K1598" t="n">
        <v>0</v>
      </c>
      <c r="L1598" t="n">
        <v>1</v>
      </c>
      <c r="M1598" t="n">
        <v>0</v>
      </c>
      <c r="N1598" t="n">
        <v>0</v>
      </c>
      <c r="O1598" t="n">
        <v>0</v>
      </c>
      <c r="P1598">
        <f>HYPERLINK("https://www.acritica.com/guaido-pressiona-maduro-nas-ruas-com-manifestac-es-contra-apag-es-1.69683", "URL")</f>
        <v/>
      </c>
      <c r="Q1598">
        <f>HYPERLINK("https://raw.githubusercontent.com/marcosmapl/dataset_imigrantes/main/materias_filtered/a_critica/venezuelanos/2019/03_abr/html/1.69683_975.html", "HTML")</f>
        <v/>
      </c>
      <c r="R1598">
        <f>HYPERLINK("https://raw.githubusercontent.com/marcosmapl/dataset_imigrantes/main/materias_filtered/a_critica/venezuelanos/2019/03_abr/txt/1.69683_975.txt", "TXT")</f>
        <v/>
      </c>
    </row>
    <row r="1599">
      <c r="A1599" s="1" t="n">
        <v>1597</v>
      </c>
      <c r="B1599" t="n">
        <v>2019</v>
      </c>
      <c r="C1599" s="2" t="n">
        <v>43560.55364583333</v>
      </c>
      <c r="D1599" t="inlineStr">
        <is>
          <t>A CRITICA</t>
        </is>
      </c>
      <c r="E1599" t="inlineStr">
        <is>
          <t>VENEZUELANOS</t>
        </is>
      </c>
      <c r="F1599" t="inlineStr"/>
      <c r="G1599" t="inlineStr">
        <is>
          <t>AGÊNCIA BRASIL</t>
        </is>
      </c>
      <c r="H1599" t="inlineStr">
        <is>
          <t>POBREZA ATINGE 43,5 MILHÕES DE PESSOAS NO BRASIL, DIZ BANCO MUNDIAL</t>
        </is>
      </c>
      <c r="I1599" t="inlineStr">
        <is>
          <t>O BANCO MUNDIAL AVALIA QUE O FRACO CRESCIMENTO DA AMÉRICA LATINA E CARIBE, ESPECIALMENTE NA AMÉRICA DO SUL, AFETOU OS INDICADORES SOCIAIS NO BRASIL</t>
        </is>
      </c>
      <c r="J1599" t="inlineStr"/>
      <c r="K1599" t="n">
        <v>0</v>
      </c>
      <c r="L1599" t="n">
        <v>1</v>
      </c>
      <c r="M1599" t="n">
        <v>0</v>
      </c>
      <c r="N1599" t="n">
        <v>0</v>
      </c>
      <c r="O1599" t="n">
        <v>0</v>
      </c>
      <c r="P1599">
        <f>HYPERLINK("https://www.acritica.com/pobreza-atinge-43-5-milh-es-de-pessoas-no-brasil-diz-banco-mundial-1.71253", "URL")</f>
        <v/>
      </c>
      <c r="Q1599">
        <f>HYPERLINK("https://raw.githubusercontent.com/marcosmapl/dataset_imigrantes/main/materias_filtered/a_critica/venezuelanos/2019/03_abr/html/1.71253_423.html", "HTML")</f>
        <v/>
      </c>
      <c r="R1599">
        <f>HYPERLINK("https://raw.githubusercontent.com/marcosmapl/dataset_imigrantes/main/materias_filtered/a_critica/venezuelanos/2019/03_abr/txt/1.71253_423.txt", "TXT")</f>
        <v/>
      </c>
    </row>
    <row r="1600">
      <c r="A1600" s="1" t="n">
        <v>1598</v>
      </c>
      <c r="B1600" t="n">
        <v>2019</v>
      </c>
      <c r="C1600" s="2" t="n">
        <v>43558.73255787037</v>
      </c>
      <c r="D1600" t="inlineStr">
        <is>
          <t>A CRITICA</t>
        </is>
      </c>
      <c r="E1600" t="inlineStr">
        <is>
          <t>VENEZUELANOS</t>
        </is>
      </c>
      <c r="F1600" t="inlineStr"/>
      <c r="G1600" t="inlineStr">
        <is>
          <t>FERNANDA CRUZ - AGÊNCIA BRASIL</t>
        </is>
      </c>
      <c r="H1600" t="inlineStr">
        <is>
          <t>ONU LANÇA SITE PARA AJUDAR REFUGIADOS A ENCONTRAR EMPREGO NO BRASIL</t>
        </is>
      </c>
      <c r="I1600" t="inlineStr">
        <is>
          <t>A PLATAFORMA É VOLTADA PARA AS EMPRESAS, QUE PODEM BUSCAR, NO SITE, ORIENTAÇÃO SOBRE O PROCESSO DE CONTRATAÇÃO DE REFUGIADOS</t>
        </is>
      </c>
      <c r="J1600" t="inlineStr"/>
      <c r="K1600" t="n">
        <v>0</v>
      </c>
      <c r="L1600" t="n">
        <v>1</v>
      </c>
      <c r="M1600" t="n">
        <v>0</v>
      </c>
      <c r="N1600" t="n">
        <v>0</v>
      </c>
      <c r="O1600" t="n">
        <v>0</v>
      </c>
      <c r="P1600">
        <f>HYPERLINK("https://www.acritica.com/onu-lanca-site-para-ajudar-refugiados-a-encontrar-emprego-no-brasil-1.71364", "URL")</f>
        <v/>
      </c>
      <c r="Q1600">
        <f>HYPERLINK("https://raw.githubusercontent.com/marcosmapl/dataset_imigrantes/main/materias_filtered/a_critica/venezuelanos/2019/03_abr/html/1.71364_422.html", "HTML")</f>
        <v/>
      </c>
      <c r="R1600">
        <f>HYPERLINK("https://raw.githubusercontent.com/marcosmapl/dataset_imigrantes/main/materias_filtered/a_critica/venezuelanos/2019/03_abr/txt/1.71364_422.txt", "TXT")</f>
        <v/>
      </c>
    </row>
    <row r="1601">
      <c r="A1601" s="1" t="n">
        <v>1599</v>
      </c>
      <c r="B1601" t="n">
        <v>2019</v>
      </c>
      <c r="C1601" s="2" t="n">
        <v>43558.47572020833</v>
      </c>
      <c r="D1601" t="inlineStr">
        <is>
          <t>G1</t>
        </is>
      </c>
      <c r="E1601" t="inlineStr">
        <is>
          <t>HAITIANOS</t>
        </is>
      </c>
      <c r="F1601" t="inlineStr">
        <is>
          <t>DISTRITO FEDERAL</t>
        </is>
      </c>
      <c r="G1601" t="inlineStr">
        <is>
          <t>MARA PULJIZ, TV GLOBO</t>
        </is>
      </c>
      <c r="H1601" t="inlineStr">
        <is>
          <t>GRUPO ESPECIALIZADO EM FURTOS DENTRO DE CASAS É ALVO DE OPERAÇÃO NO VARJÃO, NO DF</t>
        </is>
      </c>
      <c r="I1601" t="inlineStr">
        <is>
          <t>DOIS SUSPEITOS SÃO INVESTIGADOS POR TENTATIVA DE HOMICÍDIO. VÍTIMA É HAITIANO QUE MORA NA REGIÃO.</t>
        </is>
      </c>
      <c r="J1601" t="inlineStr"/>
      <c r="K1601" t="n">
        <v>0</v>
      </c>
      <c r="L1601" t="n">
        <v>1</v>
      </c>
      <c r="M1601" t="n">
        <v>0</v>
      </c>
      <c r="N1601" t="n">
        <v>0</v>
      </c>
      <c r="O1601" t="n">
        <v>1</v>
      </c>
      <c r="P1601">
        <f>HYPERLINK("https://g1.globo.com/df/distrito-federal/noticia/2019/04/03/grupo-especializado-em-furtos-dentro-de-casas-e-alvo-de-operacao-no-varjao-no-df.ghtml", "URL")</f>
        <v/>
      </c>
      <c r="Q1601">
        <f>HYPERLINK("https://raw.githubusercontent.com/marcosmapl/dataset_imigrantes/main/materias_filtered/g1/haitianos/2019/03_abr/html/g1_aa86f15a-232a-11ed-b24f-6dbe51e79fca_4194.html", "HTML")</f>
        <v/>
      </c>
      <c r="R1601">
        <f>HYPERLINK("https://raw.githubusercontent.com/marcosmapl/dataset_imigrantes/main/materias_filtered/g1/haitianos/2019/03_abr/txt/g1_aa86f15a-232a-11ed-b24f-6dbe51e79fca_4194.txt", "TXT")</f>
        <v/>
      </c>
    </row>
    <row r="1602">
      <c r="A1602" s="1" t="n">
        <v>1600</v>
      </c>
      <c r="B1602" t="n">
        <v>2019</v>
      </c>
      <c r="C1602" s="2" t="n">
        <v>43557.87983556713</v>
      </c>
      <c r="D1602" t="inlineStr">
        <is>
          <t>G1</t>
        </is>
      </c>
      <c r="E1602" t="inlineStr">
        <is>
          <t>VENEZUELANOS</t>
        </is>
      </c>
      <c r="F1602" t="inlineStr">
        <is>
          <t>MUNDO</t>
        </is>
      </c>
      <c r="G1602" t="inlineStr">
        <is>
          <t>AGÊNCIA EFE</t>
        </is>
      </c>
      <c r="H1602" t="inlineStr">
        <is>
          <t>VENEZUELANOS ROMPEM BLOQUEIO DE MADURO EM PONTE NA FRONTEIRA COM A COLÔMBIA</t>
        </is>
      </c>
      <c r="I1602" t="inlineStr">
        <is>
          <t>REGIME CHAVISTA ORDENOU FECHAMENTO DAS FRONTEIRAS DURANTE CRISE DA ENTRADA DE AJUDA HUMANITÁRIA À VENEZUELA.</t>
        </is>
      </c>
      <c r="J1602" t="inlineStr"/>
      <c r="K1602" t="n">
        <v>0</v>
      </c>
      <c r="L1602" t="n">
        <v>2</v>
      </c>
      <c r="M1602" t="n">
        <v>0</v>
      </c>
      <c r="N1602" t="n">
        <v>0</v>
      </c>
      <c r="O1602" t="n">
        <v>7</v>
      </c>
      <c r="P1602">
        <f>HYPERLINK("https://g1.globo.com/mundo/noticia/2019/04/02/venezuelanos-rompem-bloqueio-de-maduro-em-principal-ponte-na-fronteira-com-a-colombia.ghtml", "URL")</f>
        <v/>
      </c>
      <c r="Q1602">
        <f>HYPERLINK("https://raw.githubusercontent.com/marcosmapl/dataset_imigrantes/main/materias_filtered/g1/venezuelanos/2019/03_abr/html/g1_c6ef584c-231a-11ed-b24f-6dbe51e79fca_3353.html", "HTML")</f>
        <v/>
      </c>
      <c r="R1602">
        <f>HYPERLINK("https://raw.githubusercontent.com/marcosmapl/dataset_imigrantes/main/materias_filtered/g1/venezuelanos/2019/03_abr/txt/g1_c6ef584c-231a-11ed-b24f-6dbe51e79fca_3353.txt", "TXT")</f>
        <v/>
      </c>
    </row>
    <row r="1603">
      <c r="A1603" s="1" t="n">
        <v>1601</v>
      </c>
      <c r="B1603" t="n">
        <v>2019</v>
      </c>
      <c r="C1603" s="2" t="n">
        <v>43557.04058787037</v>
      </c>
      <c r="D1603" t="inlineStr">
        <is>
          <t>G1</t>
        </is>
      </c>
      <c r="E1603" t="inlineStr">
        <is>
          <t>HAITIANOS</t>
        </is>
      </c>
      <c r="F1603" t="inlineStr">
        <is>
          <t>MUNDO</t>
        </is>
      </c>
      <c r="G1603" t="inlineStr">
        <is>
          <t>FRANCE PRESSE</t>
        </is>
      </c>
      <c r="H1603" t="inlineStr">
        <is>
          <t>IMIGRANTES HAITIANOS MORREM EM NAUFRÁGIO NO MAR DO CARIBE</t>
        </is>
      </c>
      <c r="I1603" t="inlineStr">
        <is>
          <t>EQUIPES DAS ILHAS TURKS E CAICOS E DOS ESTADOS UNIDOS BUSCAM DESAPARECIDOS. NÚMERO DE MORTOS CHEGOU A 15, SEGUNDO AUTORIDADES NORTE-AMERICANAS.</t>
        </is>
      </c>
      <c r="J1603" t="inlineStr"/>
      <c r="K1603" t="n">
        <v>0</v>
      </c>
      <c r="L1603" t="n">
        <v>0</v>
      </c>
      <c r="M1603" t="n">
        <v>0</v>
      </c>
      <c r="N1603" t="n">
        <v>0</v>
      </c>
      <c r="O1603" t="n">
        <v>4</v>
      </c>
      <c r="P1603">
        <f>HYPERLINK("https://g1.globo.com/mundo/noticia/2019/04/01/imigrantes-haitianos-morrem-em-naufragio-no-mar-do-caribe.ghtml", "URL")</f>
        <v/>
      </c>
      <c r="Q1603">
        <f>HYPERLINK("https://raw.githubusercontent.com/marcosmapl/dataset_imigrantes/main/materias_filtered/g1/haitianos/2019/03_abr/html/g1_e5a40b7c-22fa-11ed-b24f-6dbe51e79fca_2249.html", "HTML")</f>
        <v/>
      </c>
      <c r="R1603">
        <f>HYPERLINK("https://raw.githubusercontent.com/marcosmapl/dataset_imigrantes/main/materias_filtered/g1/haitianos/2019/03_abr/txt/g1_e5a40b7c-22fa-11ed-b24f-6dbe51e79fca_2249.txt", "TXT")</f>
        <v/>
      </c>
    </row>
    <row r="1604">
      <c r="A1604" s="1" t="n">
        <v>1602</v>
      </c>
      <c r="B1604" t="n">
        <v>2019</v>
      </c>
      <c r="C1604" s="2" t="n">
        <v>43554.76841435185</v>
      </c>
      <c r="D1604" t="inlineStr">
        <is>
          <t>A CRITICA</t>
        </is>
      </c>
      <c r="E1604" t="inlineStr">
        <is>
          <t>VENEZUELANOS</t>
        </is>
      </c>
      <c r="F1604" t="inlineStr">
        <is>
          <t>POLICIA</t>
        </is>
      </c>
      <c r="G1604" t="inlineStr">
        <is>
          <t>KAROL ROCHA</t>
        </is>
      </c>
      <c r="H1604" t="inlineStr">
        <is>
          <t>TRIO É PRESO SUSPEITO DE INTEGRAR QUADRILHA ESPECIALIZADA EM ADULTERAR CARROS ROUBADOS</t>
        </is>
      </c>
      <c r="I1604" t="inlineStr">
        <is>
          <t>SEGUNDO A POLÍCIA, ELES COMPRAVAM VEÍCULOS ROUBADOS OU FURTADOS EM MANAUS, ADULTERAVA-OS E OS ENCAMINHAVA PARA OUTROS ESTADOS. SETE CARROS FORAM RECUPERADOS</t>
        </is>
      </c>
      <c r="J1604" t="inlineStr"/>
      <c r="K1604" t="n">
        <v>0</v>
      </c>
      <c r="L1604" t="n">
        <v>1</v>
      </c>
      <c r="M1604" t="n">
        <v>0</v>
      </c>
      <c r="N1604" t="n">
        <v>0</v>
      </c>
      <c r="O1604" t="n">
        <v>0</v>
      </c>
      <c r="P1604">
        <f>HYPERLINK("https://www.acritica.com/policia/trio-e-preso-suspeito-de-integrar-quadrilha-especializada-em-adulterar-carros-roubados-1.71617", "URL")</f>
        <v/>
      </c>
      <c r="Q1604">
        <f>HYPERLINK("https://raw.githubusercontent.com/marcosmapl/dataset_imigrantes/main/materias_filtered/a_critica/venezuelanos/2019/02_mar/html/1.71617_952.html", "HTML")</f>
        <v/>
      </c>
      <c r="R1604">
        <f>HYPERLINK("https://raw.githubusercontent.com/marcosmapl/dataset_imigrantes/main/materias_filtered/a_critica/venezuelanos/2019/02_mar/txt/1.71617_952.txt", "TXT")</f>
        <v/>
      </c>
    </row>
    <row r="1605">
      <c r="A1605" s="1" t="n">
        <v>1603</v>
      </c>
      <c r="B1605" t="n">
        <v>2019</v>
      </c>
      <c r="C1605" s="2" t="n">
        <v>43553.93459498842</v>
      </c>
      <c r="D1605" t="inlineStr">
        <is>
          <t>G1</t>
        </is>
      </c>
      <c r="E1605" t="inlineStr">
        <is>
          <t>HAITIANOS</t>
        </is>
      </c>
      <c r="F1605" t="inlineStr">
        <is>
          <t>TRIÂNGULO E ALTO PARANAÍBA</t>
        </is>
      </c>
      <c r="G1605" t="inlineStr">
        <is>
          <t>G1 TRIÂNGULO MINEIRO</t>
        </is>
      </c>
      <c r="H1605" t="inlineStr">
        <is>
          <t>RELATÓRIO FISCAL É O PRÓXIMO PASSO NA INVESTIGAÇÃO DA MORTE DE HAITIANO SOTERRADO EM OBRA DE UBERLÂNDIA</t>
        </is>
      </c>
      <c r="I1605" t="inlineStr">
        <is>
          <t>ETAPA DE FISCALIZAÇÃO QUE VAI COMPOR O RELATÓRIO DE INVESTIGAÇÃO FOI CONCLUÍDA NESTA SEXTA-FEIRA (29). ACIDENTE OCORREU EM SETEMBRO DE 2018. CONTRATANTE SE POSICIONOU SOBRE O CASO.</t>
        </is>
      </c>
      <c r="J1605" t="inlineStr"/>
      <c r="K1605" t="n">
        <v>0</v>
      </c>
      <c r="L1605" t="n">
        <v>1</v>
      </c>
      <c r="M1605" t="n">
        <v>0</v>
      </c>
      <c r="N1605" t="n">
        <v>0</v>
      </c>
      <c r="O1605" t="n">
        <v>1</v>
      </c>
      <c r="P1605">
        <f>HYPERLINK("https://g1.globo.com/mg/triangulo-mineiro/noticia/2019/03/29/ministerio-publico-conclui-etapa-de-investigacao-sobre-obra-onde-haitiano-morreu-soterrado-em-uberlandia.ghtml", "URL")</f>
        <v/>
      </c>
      <c r="Q1605">
        <f>HYPERLINK("https://raw.githubusercontent.com/marcosmapl/dataset_imigrantes/main/materias_filtered/g1/haitianos/2019/02_mar/html/g1_99ac9a9a-22f5-11ed-b24f-6dbe51e79fca_1961.html", "HTML")</f>
        <v/>
      </c>
      <c r="R1605">
        <f>HYPERLINK("https://raw.githubusercontent.com/marcosmapl/dataset_imigrantes/main/materias_filtered/g1/haitianos/2019/02_mar/txt/g1_99ac9a9a-22f5-11ed-b24f-6dbe51e79fca_1961.txt", "TXT")</f>
        <v/>
      </c>
    </row>
    <row r="1606">
      <c r="A1606" s="1" t="n">
        <v>1604</v>
      </c>
      <c r="B1606" t="n">
        <v>2019</v>
      </c>
      <c r="C1606" s="2" t="n">
        <v>43553.93386574074</v>
      </c>
      <c r="D1606" t="inlineStr">
        <is>
          <t>A CRITICA</t>
        </is>
      </c>
      <c r="E1606" t="inlineStr">
        <is>
          <t>VENEZUELANOS</t>
        </is>
      </c>
      <c r="F1606" t="inlineStr">
        <is>
          <t>MANAUS</t>
        </is>
      </c>
      <c r="G1606" t="inlineStr">
        <is>
          <t>ACRÍTICA.COM</t>
        </is>
      </c>
      <c r="H1606" t="inlineStr">
        <is>
          <t>AÇÃO REALOCA EM ABRIGOS 230 VENEZUELANOS QUE VIVIAM NO ENTORNO DA RODOVIÁRIA</t>
        </is>
      </c>
      <c r="I1606" t="inlineStr">
        <is>
          <t>IDOSOS, MULHERES, GESTANTES E FAMÍLIAS COM CRIANÇAS FORAM LEVADOS PARA ESPAÇOS PROVISÓRIOS DA PREFEITURA NOS BAIRROS ALFREDO NASCIMENTO E COROADO</t>
        </is>
      </c>
      <c r="J1606" t="inlineStr"/>
      <c r="K1606" t="n">
        <v>0</v>
      </c>
      <c r="L1606" t="n">
        <v>1</v>
      </c>
      <c r="M1606" t="n">
        <v>0</v>
      </c>
      <c r="N1606" t="n">
        <v>0</v>
      </c>
      <c r="O1606" t="n">
        <v>0</v>
      </c>
      <c r="P1606">
        <f>HYPERLINK("https://www.acritica.com/manaus/ac-o-realoca-em-abrigos-230-venezuelanos-que-viviam-no-entorno-da-rodoviaria-1.71662", "URL")</f>
        <v/>
      </c>
      <c r="Q1606">
        <f>HYPERLINK("https://raw.githubusercontent.com/marcosmapl/dataset_imigrantes/main/materias_filtered/a_critica/venezuelanos/2019/02_mar/html/1.71662_1083.html", "HTML")</f>
        <v/>
      </c>
      <c r="R1606">
        <f>HYPERLINK("https://raw.githubusercontent.com/marcosmapl/dataset_imigrantes/main/materias_filtered/a_critica/venezuelanos/2019/02_mar/txt/1.71662_1083.txt", "TXT")</f>
        <v/>
      </c>
    </row>
    <row r="1607">
      <c r="A1607" s="1" t="n">
        <v>1605</v>
      </c>
      <c r="B1607" t="n">
        <v>2019</v>
      </c>
      <c r="C1607" s="2" t="n">
        <v>43553.69187180555</v>
      </c>
      <c r="D1607" t="inlineStr">
        <is>
          <t>G1</t>
        </is>
      </c>
      <c r="E1607" t="inlineStr">
        <is>
          <t>HAITIANOS</t>
        </is>
      </c>
      <c r="F1607" t="inlineStr">
        <is>
          <t>TRIÂNGULO E ALTO PARANAÍBA</t>
        </is>
      </c>
      <c r="G1607" t="inlineStr">
        <is>
          <t>RODRIGO SCAPOLATEMPORE E MG1, G1 TRIÂNGULO MINEIRO</t>
        </is>
      </c>
      <c r="H1607" t="inlineStr">
        <is>
          <t>PARTE DE INVESTIGAÇÃO SOBRE MORTE DE HAITIANO SOTERRADO EM OBRA DE UBERLÂNDIA É FINALIZADA NESTA SEXTA</t>
        </is>
      </c>
      <c r="I1607" t="inlineStr">
        <is>
          <t>EM SETEMBRO DE 2018, UM OPERÁRIO FOI SOTERRADO NA OBRA DE UM HOSPITAL. VEJA O QUE OS ENVOLVIDOS DISSERAM NA ÉPOCA.</t>
        </is>
      </c>
      <c r="J1607" t="inlineStr"/>
      <c r="K1607" t="n">
        <v>0</v>
      </c>
      <c r="L1607" t="n">
        <v>1</v>
      </c>
      <c r="M1607" t="n">
        <v>0</v>
      </c>
      <c r="N1607" t="n">
        <v>0</v>
      </c>
      <c r="O1607" t="n">
        <v>2</v>
      </c>
      <c r="P1607">
        <f>HYPERLINK("https://g1.globo.com/mg/triangulo-mineiro/noticia/2019/03/29/investigacao-sobre-obra-onde-haitiano-morreu-soterrado-em-uberlandia-e-finalizada.ghtml", "URL")</f>
        <v/>
      </c>
      <c r="Q1607">
        <f>HYPERLINK("https://raw.githubusercontent.com/marcosmapl/dataset_imigrantes/main/materias_filtered/g1/haitianos/2019/02_mar/html/g1_de31584a-22fa-11ed-b24f-6dbe51e79fca_2247.html", "HTML")</f>
        <v/>
      </c>
      <c r="R1607">
        <f>HYPERLINK("https://raw.githubusercontent.com/marcosmapl/dataset_imigrantes/main/materias_filtered/g1/haitianos/2019/02_mar/txt/g1_de31584a-22fa-11ed-b24f-6dbe51e79fca_2247.txt", "TXT")</f>
        <v/>
      </c>
    </row>
    <row r="1608">
      <c r="A1608" s="1" t="n">
        <v>1606</v>
      </c>
      <c r="B1608" t="n">
        <v>2019</v>
      </c>
      <c r="C1608" s="2" t="n">
        <v>43553.49652777778</v>
      </c>
      <c r="D1608" t="inlineStr">
        <is>
          <t>PORTAL AMAZONIA</t>
        </is>
      </c>
      <c r="E1608" t="inlineStr">
        <is>
          <t>VENEZUELANOS</t>
        </is>
      </c>
      <c r="F1608" t="inlineStr">
        <is>
          <t>CIDADES</t>
        </is>
      </c>
      <c r="G1608" t="inlineStr">
        <is>
          <t>REDAÇÃO</t>
        </is>
      </c>
      <c r="H1608" t="inlineStr">
        <is>
          <t>AÇÃO ENTRE ÓRGÃOS PÚBLICOS RETIRA VENEZUELANOS DO ENTORNO DA RODOVIÁRIA DE MANAUS</t>
        </is>
      </c>
      <c r="I1608" t="inlineStr">
        <is>
          <t>UMA AÇÃO INTEGRADA ENVOLVENDO ÓRGÃOS DA PREFEITURA DE MANAUS, GOVERNO DO ESTADO, MINISTÉRIO PÚBLICO FEDERAL (MPF), ALTO COMISSARIADO DAS NAÇÕES UNIDAS PARA OS REFUGIADOS (ACNUR), CONSELHO TUTELAR E DIFERENTES ATORES DA SOCIEDADE CIVIL REALIZOU NA MAD</t>
        </is>
      </c>
      <c r="J1608" t="inlineStr">
        <is>
          <t>ABRIGOS VENEZUELANOS, ACAMPAMENTO, IMIGRANTES VENEZUELANOS, MANAUS, TERMINAL RODOVIARIO</t>
        </is>
      </c>
      <c r="K1608" t="n">
        <v>5</v>
      </c>
      <c r="L1608" t="n">
        <v>3</v>
      </c>
      <c r="M1608" t="n">
        <v>0</v>
      </c>
      <c r="N1608" t="n">
        <v>0</v>
      </c>
      <c r="O1608" t="n">
        <v>10</v>
      </c>
      <c r="P1608">
        <f>HYPERLINK("https://portalamazonia.com/noticias/cidades/acao-entre-orgaos-publicos-retira-venezuelanos-do-entorno-da-rodoviaria-de-manaus", "URL")</f>
        <v/>
      </c>
      <c r="Q1608">
        <f>HYPERLINK("https://raw.githubusercontent.com/marcosmapl/dataset_imigrantes/main/materias_filtered/portal_amazonia/venezuelanos/2019/02_mar/html/17455.17455_1449.html", "HTML")</f>
        <v/>
      </c>
      <c r="R1608">
        <f>HYPERLINK("https://raw.githubusercontent.com/marcosmapl/dataset_imigrantes/main/materias_filtered/portal_amazonia/venezuelanos/2019/02_mar/txt/17455.17455_1449.txt", "TXT")</f>
        <v/>
      </c>
    </row>
    <row r="1609">
      <c r="A1609" s="1" t="n">
        <v>1607</v>
      </c>
      <c r="B1609" t="n">
        <v>2019</v>
      </c>
      <c r="C1609" s="2" t="n">
        <v>43551.81875</v>
      </c>
      <c r="D1609" t="inlineStr">
        <is>
          <t>PORTAL AMAZONIA</t>
        </is>
      </c>
      <c r="E1609" t="inlineStr">
        <is>
          <t>VENEZUELANOS</t>
        </is>
      </c>
      <c r="F1609" t="inlineStr">
        <is>
          <t>CIDADES</t>
        </is>
      </c>
      <c r="G1609" t="inlineStr">
        <is>
          <t>REDAÇÃO</t>
        </is>
      </c>
      <c r="H1609" t="inlineStr">
        <is>
          <t>ÍNDIOS TOMAM AS RUAS DE CIDADES DA AMAZÔNIA EM PROTESTOS CONTRA EXTINÇÃO DA SESAI</t>
        </is>
      </c>
      <c r="I1609" t="inlineStr">
        <is>
          <t>DIVERSOS POVOS INDÍGENAS TOMARAM AS RUAS DE CIDADES DA AMAZÔNIA EM PROTESTOS CONTRA A EXTINÇÃO DA SECRETARIA ESPECIAL DE SAÚDE INDÍGENA (SESAI), ANUNCIADA PELO MINISTRO DA SAÚDE, LUIZ HENRIQUE MANDETTA NO ÚLTIMO DIA 20. ATOS FORAM REGISTRADOS NAS CAP</t>
        </is>
      </c>
      <c r="J1609" t="inlineStr">
        <is>
          <t>INDÍGENAS, INDIOS ISOLADOS, SAUDE INDIGENA, SESAI</t>
        </is>
      </c>
      <c r="K1609" t="n">
        <v>4</v>
      </c>
      <c r="L1609" t="n">
        <v>4</v>
      </c>
      <c r="M1609" t="n">
        <v>0</v>
      </c>
      <c r="N1609" t="n">
        <v>0</v>
      </c>
      <c r="O1609" t="n">
        <v>9</v>
      </c>
      <c r="P1609">
        <f>HYPERLINK("https://portalamazonia.com/noticias/cidades/indios-tomam-as-ruas-de-cidades-da-amazonia-em-protestos-contra-extincao-da-sesai", "URL")</f>
        <v/>
      </c>
      <c r="Q1609">
        <f>HYPERLINK("https://raw.githubusercontent.com/marcosmapl/dataset_imigrantes/main/materias_filtered/portal_amazonia/venezuelanos/2019/02_mar/html/17445.17445_1399.html", "HTML")</f>
        <v/>
      </c>
      <c r="R1609">
        <f>HYPERLINK("https://raw.githubusercontent.com/marcosmapl/dataset_imigrantes/main/materias_filtered/portal_amazonia/venezuelanos/2019/02_mar/txt/17445.17445_1399.txt", "TXT")</f>
        <v/>
      </c>
    </row>
    <row r="1610">
      <c r="A1610" s="1" t="n">
        <v>1608</v>
      </c>
      <c r="B1610" t="n">
        <v>2019</v>
      </c>
      <c r="C1610" s="2" t="n">
        <v>43550.98472222222</v>
      </c>
      <c r="D1610" t="inlineStr">
        <is>
          <t>A CRITICA</t>
        </is>
      </c>
      <c r="E1610" t="inlineStr">
        <is>
          <t>VENEZUELANOS</t>
        </is>
      </c>
      <c r="F1610" t="inlineStr"/>
      <c r="G1610" t="inlineStr">
        <is>
          <t>AGÊNCIA BRASIL</t>
        </is>
      </c>
      <c r="H1610" t="inlineStr">
        <is>
          <t>VENEZUELA TEM FORNECIMENTO DE ENERGIA ELÉTRICA NOVAMENTE SUSPENSO</t>
        </is>
      </c>
      <c r="I1610" t="inlineStr">
        <is>
          <t>AS AUTORIDADES DO PAÍS ATRIBUEM A PANE NO SISTEMA ELÉTRICO A UMA SABOTAGEM DE ADVERSÁRIOS POLÍTICOS NA USINA HIDRELÉTRICA SIMON BOLÍVAR</t>
        </is>
      </c>
      <c r="J1610" t="inlineStr"/>
      <c r="K1610" t="n">
        <v>0</v>
      </c>
      <c r="L1610" t="n">
        <v>1</v>
      </c>
      <c r="M1610" t="n">
        <v>0</v>
      </c>
      <c r="N1610" t="n">
        <v>0</v>
      </c>
      <c r="O1610" t="n">
        <v>0</v>
      </c>
      <c r="P1610">
        <f>HYPERLINK("https://www.acritica.com/venezuela-tem-fornecimento-de-energia-eletrica-novamente-suspenso-1.72280", "URL")</f>
        <v/>
      </c>
      <c r="Q1610">
        <f>HYPERLINK("https://raw.githubusercontent.com/marcosmapl/dataset_imigrantes/main/materias_filtered/a_critica/venezuelanos/2019/02_mar/html/1.72280_1271.html", "HTML")</f>
        <v/>
      </c>
      <c r="R1610">
        <f>HYPERLINK("https://raw.githubusercontent.com/marcosmapl/dataset_imigrantes/main/materias_filtered/a_critica/venezuelanos/2019/02_mar/txt/1.72280_1271.txt", "TXT")</f>
        <v/>
      </c>
    </row>
    <row r="1611">
      <c r="A1611" s="1" t="n">
        <v>1609</v>
      </c>
      <c r="B1611" t="n">
        <v>2019</v>
      </c>
      <c r="C1611" s="2" t="n">
        <v>43549.94439711806</v>
      </c>
      <c r="D1611" t="inlineStr">
        <is>
          <t>G1</t>
        </is>
      </c>
      <c r="E1611" t="inlineStr">
        <is>
          <t>HAITIANOS</t>
        </is>
      </c>
      <c r="F1611" t="inlineStr">
        <is>
          <t>SUL DE MINAS</t>
        </is>
      </c>
      <c r="G1611" t="inlineStr">
        <is>
          <t>EPTV 2 — POUSO ALEGRE, MG</t>
        </is>
      </c>
      <c r="H1611" t="inlineStr">
        <is>
          <t>INICIATIVA PÚBLICO-PRIVADA PRETENDE DAR EMPREGO A HAITIANOS QUE VIVEM EM POUSO ALEGRE, MG</t>
        </is>
      </c>
      <c r="I1611" t="inlineStr">
        <is>
          <t>SEGUNDO LEVANTAMENTO PELO MENOS 100 DELES VIVEM NA CIDADE, MAS A MAIORIA TRABALHA SEM CARTEIRA ASSINADA.</t>
        </is>
      </c>
      <c r="J1611" t="inlineStr"/>
      <c r="K1611" t="n">
        <v>0</v>
      </c>
      <c r="L1611" t="n">
        <v>2</v>
      </c>
      <c r="M1611" t="n">
        <v>1</v>
      </c>
      <c r="N1611" t="n">
        <v>0</v>
      </c>
      <c r="O1611" t="n">
        <v>1</v>
      </c>
      <c r="P1611">
        <f>HYPERLINK("https://g1.globo.com/mg/sul-de-minas/noticia/2019/03/25/iniciativa-publico-privada-pretende-dar-emprego-a-haitianos-que-vivem-em-pouso-alegre-mg.ghtml", "URL")</f>
        <v/>
      </c>
      <c r="Q1611">
        <f>HYPERLINK("https://raw.githubusercontent.com/marcosmapl/dataset_imigrantes/main/materias_filtered/g1/haitianos/2019/02_mar/html/g1_f40b6280-22f7-11ed-b24f-6dbe51e79fca_2107.html", "HTML")</f>
        <v/>
      </c>
      <c r="R1611">
        <f>HYPERLINK("https://raw.githubusercontent.com/marcosmapl/dataset_imigrantes/main/materias_filtered/g1/haitianos/2019/02_mar/txt/g1_f40b6280-22f7-11ed-b24f-6dbe51e79fca_2107.txt", "TXT")</f>
        <v/>
      </c>
    </row>
    <row r="1612">
      <c r="A1612" s="1" t="n">
        <v>1610</v>
      </c>
      <c r="B1612" t="n">
        <v>2019</v>
      </c>
      <c r="C1612" s="2" t="n">
        <v>43549.86944444444</v>
      </c>
      <c r="D1612" t="inlineStr">
        <is>
          <t>A CRITICA</t>
        </is>
      </c>
      <c r="E1612" t="inlineStr">
        <is>
          <t>VENEZUELANOS</t>
        </is>
      </c>
      <c r="F1612" t="inlineStr"/>
      <c r="G1612" t="inlineStr">
        <is>
          <t>ACRÍTICA.COM</t>
        </is>
      </c>
      <c r="H1612" t="inlineStr">
        <is>
          <t>CRISE NA VENEZUELA FOI 'ARTIFICIALMENTE GERADA', DIZ MANIFESTO PRÓ-MADURO NO AM</t>
        </is>
      </c>
      <c r="I1612" t="inlineStr">
        <is>
          <t>DOCUMENTO ELABORADO PELA INICIATIVA AMAZONENSE EM APOIO À PAZ NA VENEZUELA DEFINE COMO "COVARDE" A CAMPANHA REALIZADA PELA DIREITA NO PAÍS</t>
        </is>
      </c>
      <c r="J1612" t="inlineStr"/>
      <c r="K1612" t="n">
        <v>0</v>
      </c>
      <c r="L1612" t="n">
        <v>1</v>
      </c>
      <c r="M1612" t="n">
        <v>0</v>
      </c>
      <c r="N1612" t="n">
        <v>0</v>
      </c>
      <c r="O1612" t="n">
        <v>1</v>
      </c>
      <c r="P1612">
        <f>HYPERLINK("https://www.acritica.com/crise-na-venezuela-foi-artificialmente-gerada-diz-manifesto-pro-maduro-no-am-1.72698", "URL")</f>
        <v/>
      </c>
      <c r="Q1612">
        <f>HYPERLINK("https://raw.githubusercontent.com/marcosmapl/dataset_imigrantes/main/materias_filtered/a_critica/venezuelanos/2019/02_mar/html/1.72698_249.html", "HTML")</f>
        <v/>
      </c>
      <c r="R1612">
        <f>HYPERLINK("https://raw.githubusercontent.com/marcosmapl/dataset_imigrantes/main/materias_filtered/a_critica/venezuelanos/2019/02_mar/txt/1.72698_249.txt", "TXT")</f>
        <v/>
      </c>
    </row>
    <row r="1613">
      <c r="A1613" s="1" t="n">
        <v>1611</v>
      </c>
      <c r="B1613" t="n">
        <v>2019</v>
      </c>
      <c r="C1613" s="2" t="n">
        <v>43548.88498842593</v>
      </c>
      <c r="D1613" t="inlineStr">
        <is>
          <t>A CRITICA</t>
        </is>
      </c>
      <c r="E1613" t="inlineStr">
        <is>
          <t>VENEZUELANOS</t>
        </is>
      </c>
      <c r="F1613" t="inlineStr"/>
      <c r="G1613" t="inlineStr">
        <is>
          <t>ACRÍTICA.COM</t>
        </is>
      </c>
      <c r="H1613" t="inlineStr">
        <is>
          <t>AÇÃO SOCIAL ATENDE MAIS DE 80 VENEZUELANAS NO MÊS DAS MULHERES</t>
        </is>
      </c>
      <c r="I1613" t="inlineStr">
        <is>
          <t>#PORELAS ACONTECEU NESTE SÁBADO E  CONTOU COM SERVIÇOS DE BELEZA, DOAÇÕES DE ROUPAS E ORIENTAÇÕES PARA INGRESSAR NO MERCADO DE TRABALHO</t>
        </is>
      </c>
      <c r="J1613" t="inlineStr"/>
      <c r="K1613" t="n">
        <v>0</v>
      </c>
      <c r="L1613" t="n">
        <v>1</v>
      </c>
      <c r="M1613" t="n">
        <v>0</v>
      </c>
      <c r="N1613" t="n">
        <v>0</v>
      </c>
      <c r="O1613" t="n">
        <v>1</v>
      </c>
      <c r="P1613">
        <f>HYPERLINK("https://www.acritica.com/ac-o-social-atende-mais-de-80-venezuelanas-no-mes-das-mulheres-1.72332", "URL")</f>
        <v/>
      </c>
      <c r="Q1613">
        <f>HYPERLINK("https://raw.githubusercontent.com/marcosmapl/dataset_imigrantes/main/materias_filtered/a_critica/venezuelanos/2019/02_mar/html/1.72332_889.html", "HTML")</f>
        <v/>
      </c>
      <c r="R1613">
        <f>HYPERLINK("https://raw.githubusercontent.com/marcosmapl/dataset_imigrantes/main/materias_filtered/a_critica/venezuelanos/2019/02_mar/txt/1.72332_889.txt", "TXT")</f>
        <v/>
      </c>
    </row>
    <row r="1614">
      <c r="A1614" s="1" t="n">
        <v>1612</v>
      </c>
      <c r="B1614" t="n">
        <v>2019</v>
      </c>
      <c r="C1614" s="2" t="n">
        <v>43548.8304607176</v>
      </c>
      <c r="D1614" t="inlineStr">
        <is>
          <t>G1</t>
        </is>
      </c>
      <c r="E1614" t="inlineStr">
        <is>
          <t>HAITIANOS</t>
        </is>
      </c>
      <c r="F1614" t="inlineStr">
        <is>
          <t>PERNAMBUCO</t>
        </is>
      </c>
      <c r="G1614" t="inlineStr">
        <is>
          <t>G1 PE</t>
        </is>
      </c>
      <c r="H1614" t="inlineStr">
        <is>
          <t>HAITIANO É DETIDO PELA PF NO AEROPORTO DO RECIFE AO TENTAR EMBARCAR COM PASSAPORTE DE TERCEIRO</t>
        </is>
      </c>
      <c r="I1614" t="inlineStr">
        <is>
          <t>HOMEM TENTAVA EMBARCAR PARA MADRI NA NOITE DO SÁBADO (23) QUANDO FOI DETIDO POR POLICIAIS FEDERAIS. PASSAPORTE USADO POR ELE CONSTAVA COMO EXTRAVIADO DESDE A QUINTA (20).</t>
        </is>
      </c>
      <c r="J1614" t="inlineStr"/>
      <c r="K1614" t="n">
        <v>0</v>
      </c>
      <c r="L1614" t="n">
        <v>1</v>
      </c>
      <c r="M1614" t="n">
        <v>0</v>
      </c>
      <c r="N1614" t="n">
        <v>0</v>
      </c>
      <c r="O1614" t="n">
        <v>5</v>
      </c>
      <c r="P1614">
        <f>HYPERLINK("https://g1.globo.com/pe/pernambuco/noticia/2019/03/24/haitiano-e-detido-pela-pf-no-aeroporto-do-recife-ao-tentar-embarcar-com-passaporte-de-terceiro.ghtml", "URL")</f>
        <v/>
      </c>
      <c r="Q1614">
        <f>HYPERLINK("https://raw.githubusercontent.com/marcosmapl/dataset_imigrantes/main/materias_filtered/g1/haitianos/2019/02_mar/html/g1_85cb7dac-22fa-11ed-b24f-6dbe51e79fca_2225.html", "HTML")</f>
        <v/>
      </c>
      <c r="R1614">
        <f>HYPERLINK("https://raw.githubusercontent.com/marcosmapl/dataset_imigrantes/main/materias_filtered/g1/haitianos/2019/02_mar/txt/g1_85cb7dac-22fa-11ed-b24f-6dbe51e79fca_2225.txt", "TXT")</f>
        <v/>
      </c>
    </row>
    <row r="1615">
      <c r="A1615" s="1" t="n">
        <v>1613</v>
      </c>
      <c r="B1615" t="n">
        <v>2019</v>
      </c>
      <c r="C1615" s="2" t="n">
        <v>43548.73766203703</v>
      </c>
      <c r="D1615" t="inlineStr">
        <is>
          <t>A CRITICA</t>
        </is>
      </c>
      <c r="E1615" t="inlineStr">
        <is>
          <t>VENEZUELANOS</t>
        </is>
      </c>
      <c r="F1615" t="inlineStr"/>
      <c r="G1615" t="inlineStr">
        <is>
          <t>AFP</t>
        </is>
      </c>
      <c r="H1615" t="inlineStr">
        <is>
          <t>AVIÃO DE RUSSO ESTÁ NA VENEZUELA ENTRE RUMORES SOBRE CHEGADA DE MILITARES</t>
        </is>
      </c>
      <c r="I1615" t="inlineStr">
        <is>
          <t>A AERONAVE ESTÁ PROTEGIDA POR MEMBROS DA GUARDA NACIONAL NO AEROPORTO. DE ACORDO COM O JORNAL EL NACIONAL, 35 TONELADAS DE MATERIAIS CHEGARAM COM A MISSÃO MILITAR.</t>
        </is>
      </c>
      <c r="J1615" t="inlineStr"/>
      <c r="K1615" t="n">
        <v>0</v>
      </c>
      <c r="L1615" t="n">
        <v>1</v>
      </c>
      <c r="M1615" t="n">
        <v>0</v>
      </c>
      <c r="N1615" t="n">
        <v>0</v>
      </c>
      <c r="O1615" t="n">
        <v>0</v>
      </c>
      <c r="P1615">
        <f>HYPERLINK("https://www.acritica.com/avi-o-de-russo-esta-na-venezuela-entre-rumores-sobre-chegada-de-militares-1.72348", "URL")</f>
        <v/>
      </c>
      <c r="Q1615">
        <f>HYPERLINK("https://raw.githubusercontent.com/marcosmapl/dataset_imigrantes/main/materias_filtered/a_critica/venezuelanos/2019/02_mar/html/1.72348_1041.html", "HTML")</f>
        <v/>
      </c>
      <c r="R1615">
        <f>HYPERLINK("https://raw.githubusercontent.com/marcosmapl/dataset_imigrantes/main/materias_filtered/a_critica/venezuelanos/2019/02_mar/txt/1.72348_1041.txt", "TXT")</f>
        <v/>
      </c>
    </row>
    <row r="1616">
      <c r="A1616" s="1" t="n">
        <v>1614</v>
      </c>
      <c r="B1616" t="n">
        <v>2019</v>
      </c>
      <c r="C1616" s="2" t="n">
        <v>43547.77238425926</v>
      </c>
      <c r="D1616" t="inlineStr">
        <is>
          <t>A CRITICA</t>
        </is>
      </c>
      <c r="E1616" t="inlineStr">
        <is>
          <t>VENEZUELANOS</t>
        </is>
      </c>
      <c r="F1616" t="inlineStr">
        <is>
          <t>MANAUS</t>
        </is>
      </c>
      <c r="G1616" t="inlineStr">
        <is>
          <t>SUELEN GONÇALVES</t>
        </is>
      </c>
      <c r="H1616" t="inlineStr">
        <is>
          <t>MOVIMENTOS DE ESQUERDA DE MANAUS FAZEM MANIFESTO PRÓ-MADURO PEDINDO PAZ</t>
        </is>
      </c>
      <c r="I1616" t="inlineStr">
        <is>
          <t>UM DOCUMENTO COM 19 PONTOS DESCREVENDO AS RAZÕES DO APOIO AO GOVERNO MADURO E À ORDEM NA VENEZUELA FOI APRESENTADO NO CONSULADO DO PAÍS, NA MANHÃ DESTE SÁBADO</t>
        </is>
      </c>
      <c r="J1616" t="inlineStr"/>
      <c r="K1616" t="n">
        <v>0</v>
      </c>
      <c r="L1616" t="n">
        <v>1</v>
      </c>
      <c r="M1616" t="n">
        <v>0</v>
      </c>
      <c r="N1616" t="n">
        <v>0</v>
      </c>
      <c r="O1616" t="n">
        <v>0</v>
      </c>
      <c r="P1616">
        <f>HYPERLINK("https://www.acritica.com/manaus/movimentos-de-esquerda-de-manaus-fazem-manifesto-pro-maduro-pedindo-paz-1.71877", "URL")</f>
        <v/>
      </c>
      <c r="Q1616">
        <f>HYPERLINK("https://raw.githubusercontent.com/marcosmapl/dataset_imigrantes/main/materias_filtered/a_critica/venezuelanos/2019/02_mar/html/1.71877_67.html", "HTML")</f>
        <v/>
      </c>
      <c r="R1616">
        <f>HYPERLINK("https://raw.githubusercontent.com/marcosmapl/dataset_imigrantes/main/materias_filtered/a_critica/venezuelanos/2019/02_mar/txt/1.71877_67.txt", "TXT")</f>
        <v/>
      </c>
    </row>
    <row r="1617">
      <c r="A1617" s="1" t="n">
        <v>1615</v>
      </c>
      <c r="B1617" t="n">
        <v>2019</v>
      </c>
      <c r="C1617" s="2" t="n">
        <v>43547.58904925926</v>
      </c>
      <c r="D1617" t="inlineStr">
        <is>
          <t>G1</t>
        </is>
      </c>
      <c r="E1617" t="inlineStr">
        <is>
          <t>VENEZUELANOS</t>
        </is>
      </c>
      <c r="F1617" t="inlineStr">
        <is>
          <t>RORAIMA</t>
        </is>
      </c>
      <c r="G1617" t="inlineStr">
        <is>
          <t>EMILY COSTA, G1 RR — BOA VISTA</t>
        </is>
      </c>
      <c r="H1617" t="inlineStr">
        <is>
          <t>NA CONTRAMÃO DO ÊXODO, FAMÍLIA VENEZUELANA VIAJA 7 MIL KM E SE ARRISCA EM VOLTA PARA CASA</t>
        </is>
      </c>
      <c r="I1617" t="inlineStr">
        <is>
          <t>QUINZE DIAS APÓS SE MUDAR PARA ARGENTINA, FAMÍLIA VIVEU SAGA PARA REGRESSAR AO PAÍS EM MEIO A CONFLITOS E BLOQUEIO NA FRONTEIRA DO BRASIL. 'MESMO COM A CRISE, COM A INSEGURANÇA, COM TUDO, ESCOLHEMOS VOLTAR PARA A VENEZUELA, NOSSO PAÍS. SE MADURO CAI, OUTROS FARÃO'.</t>
        </is>
      </c>
      <c r="J1617" t="inlineStr"/>
      <c r="K1617" t="n">
        <v>0</v>
      </c>
      <c r="L1617" t="n">
        <v>2</v>
      </c>
      <c r="M1617" t="n">
        <v>1</v>
      </c>
      <c r="N1617" t="n">
        <v>0</v>
      </c>
      <c r="O1617" t="n">
        <v>3</v>
      </c>
      <c r="P1617">
        <f>HYPERLINK("https://g1.globo.com/rr/roraima/noticia/2019/03/23/na-contramao-do-exodo-familia-venezuelana-viaja-7-mil-km-e-se-arrisca-em-volta-para-casa.ghtml", "URL")</f>
        <v/>
      </c>
      <c r="Q1617">
        <f>HYPERLINK("https://raw.githubusercontent.com/marcosmapl/dataset_imigrantes/main/materias_filtered/g1/venezuelanos/2019/02_mar/html/g1_0b728d5a-230b-11ed-b24f-6dbe51e79fca_2540.html", "HTML")</f>
        <v/>
      </c>
      <c r="R1617">
        <f>HYPERLINK("https://raw.githubusercontent.com/marcosmapl/dataset_imigrantes/main/materias_filtered/g1/venezuelanos/2019/02_mar/txt/g1_0b728d5a-230b-11ed-b24f-6dbe51e79fca_2540.txt", "TXT")</f>
        <v/>
      </c>
    </row>
    <row r="1618">
      <c r="A1618" s="1" t="n">
        <v>1616</v>
      </c>
      <c r="B1618" t="n">
        <v>2019</v>
      </c>
      <c r="C1618" s="2" t="n">
        <v>43547.52680518518</v>
      </c>
      <c r="D1618" t="inlineStr">
        <is>
          <t>G1</t>
        </is>
      </c>
      <c r="E1618" t="inlineStr">
        <is>
          <t>HAITIANOS</t>
        </is>
      </c>
      <c r="F1618" t="inlineStr">
        <is>
          <t>RONDÔNIA</t>
        </is>
      </c>
      <c r="G1618" t="inlineStr">
        <is>
          <t>G1 RO</t>
        </is>
      </c>
      <c r="H1618" t="inlineStr">
        <is>
          <t>JOVEM DE 19 ANOS SE TORNA PRIMEIRA HAITIANA A SER APROVADA NA UNIR, EM RO</t>
        </is>
      </c>
      <c r="I1618" t="inlineStr">
        <is>
          <t>VERÔNICA BATISTA EXUNTUS VEIO PARA RONDÔNIA EM 2015 DEVIDO UM TERREMOTO QUE ATINGIU O HAITI. ESTUDANTE É A PRIMEIRA PESSOA DA FAMÍLIA A CURSAR O NÍVEL SUPERIOR.</t>
        </is>
      </c>
      <c r="J1618" t="inlineStr"/>
      <c r="K1618" t="n">
        <v>0</v>
      </c>
      <c r="L1618" t="n">
        <v>2</v>
      </c>
      <c r="M1618" t="n">
        <v>0</v>
      </c>
      <c r="N1618" t="n">
        <v>0</v>
      </c>
      <c r="O1618" t="n">
        <v>1</v>
      </c>
      <c r="P1618">
        <f>HYPERLINK("https://g1.globo.com/ro/rondonia/noticia/2019/03/23/jovem-de-19-anos-se-torna-a-primeira-haitiana-a-ser-aprovada-na-unir-em-ro.ghtml", "URL")</f>
        <v/>
      </c>
      <c r="Q1618">
        <f>HYPERLINK("https://raw.githubusercontent.com/marcosmapl/dataset_imigrantes/main/materias_filtered/g1/haitianos/2019/02_mar/html/g1_0b055992-231f-11ed-b24f-6dbe51e79fca_3597.html", "HTML")</f>
        <v/>
      </c>
      <c r="R1618">
        <f>HYPERLINK("https://raw.githubusercontent.com/marcosmapl/dataset_imigrantes/main/materias_filtered/g1/haitianos/2019/02_mar/txt/g1_0b055992-231f-11ed-b24f-6dbe51e79fca_3597.txt", "TXT")</f>
        <v/>
      </c>
    </row>
    <row r="1619">
      <c r="A1619" s="1" t="n">
        <v>1617</v>
      </c>
      <c r="B1619" t="n">
        <v>2019</v>
      </c>
      <c r="C1619" s="2" t="n">
        <v>43545.75258314815</v>
      </c>
      <c r="D1619" t="inlineStr">
        <is>
          <t>G1</t>
        </is>
      </c>
      <c r="E1619" t="inlineStr">
        <is>
          <t>VENEZUELANOS</t>
        </is>
      </c>
      <c r="F1619" t="inlineStr">
        <is>
          <t>AMAZONAS</t>
        </is>
      </c>
      <c r="G1619" t="inlineStr">
        <is>
          <t>G1 AM</t>
        </is>
      </c>
      <c r="H1619" t="inlineStr">
        <is>
          <t>PROJETO OFERECE DIA DA BELEZA PARA VENEZUELANAS EM MANAUS</t>
        </is>
      </c>
      <c r="I1619" t="inlineStr">
        <is>
          <t>DESDE CORTES DE CABELOS ATÉ PALESTRA SOBRE O COMBATE À VIOLÊNCIA DOMÉSTICA ESTÃO ENTRE OS SERVIÇOS OFERECIDOS PARA VENEZUELANAS.</t>
        </is>
      </c>
      <c r="J1619" t="inlineStr"/>
      <c r="K1619" t="n">
        <v>0</v>
      </c>
      <c r="L1619" t="n">
        <v>1</v>
      </c>
      <c r="M1619" t="n">
        <v>0</v>
      </c>
      <c r="N1619" t="n">
        <v>0</v>
      </c>
      <c r="O1619" t="n">
        <v>0</v>
      </c>
      <c r="P1619">
        <f>HYPERLINK("https://g1.globo.com/am/amazonas/noticia/2019/03/21/projeto-oferece-dia-da-beleza-para-venezuelanas-em-manaus.ghtml", "URL")</f>
        <v/>
      </c>
      <c r="Q1619">
        <f>HYPERLINK("https://raw.githubusercontent.com/marcosmapl/dataset_imigrantes/main/materias_filtered/g1/venezuelanos/2019/02_mar/html/g1_42147544-2324-11ed-b24f-6dbe51e79fca_3859.html", "HTML")</f>
        <v/>
      </c>
      <c r="R1619">
        <f>HYPERLINK("https://raw.githubusercontent.com/marcosmapl/dataset_imigrantes/main/materias_filtered/g1/venezuelanos/2019/02_mar/txt/g1_42147544-2324-11ed-b24f-6dbe51e79fca_3859.txt", "TXT")</f>
        <v/>
      </c>
    </row>
    <row r="1620">
      <c r="A1620" s="1" t="n">
        <v>1618</v>
      </c>
      <c r="B1620" t="n">
        <v>2019</v>
      </c>
      <c r="C1620" s="2" t="n">
        <v>43545.68619546296</v>
      </c>
      <c r="D1620" t="inlineStr">
        <is>
          <t>G1</t>
        </is>
      </c>
      <c r="E1620" t="inlineStr">
        <is>
          <t>VENEZUELANOS</t>
        </is>
      </c>
      <c r="F1620" t="inlineStr">
        <is>
          <t>RORAIMA</t>
        </is>
      </c>
      <c r="G1620" t="inlineStr">
        <is>
          <t>ALAN CHAVES, G1 RR — BOA VISTA</t>
        </is>
      </c>
      <c r="H1620" t="inlineStr">
        <is>
          <t>COM FRONTEIRA FECHADA HÁ 28 DIAS, RORAIMA DECRETA EMERGÊNCIA DEVIDO À MIGRAÇÃO VENEZUELANA</t>
        </is>
      </c>
      <c r="I1620" t="inlineStr">
        <is>
          <t>ANTONIO DENARIUM (PSL) CITOU "SÉRIAS DIFICULDADES ENFRENTADAS PELAS EQUIPES ESTADUAIS" NO APOIO HUMANITÁRIO DE VENEZUELANOS. MEDIDA COLOCA SEGURANÇA E ASSISTÊNCIA SOCIAL EM ALERTA MÁXIMO; FRONTEIRA DA VENEZUELA FOI FECHADA NO DIA 21 DE FEVEREIRO.</t>
        </is>
      </c>
      <c r="J1620" t="inlineStr"/>
      <c r="K1620" t="n">
        <v>0</v>
      </c>
      <c r="L1620" t="n">
        <v>2</v>
      </c>
      <c r="M1620" t="n">
        <v>0</v>
      </c>
      <c r="N1620" t="n">
        <v>0</v>
      </c>
      <c r="O1620" t="n">
        <v>8</v>
      </c>
      <c r="P1620">
        <f>HYPERLINK("https://g1.globo.com/rr/roraima/noticia/2019/03/21/com-fronteira-fechada-ha-28-dias-roraima-decreta-emergencia-devido-a-migracao-venezuelana.ghtml", "URL")</f>
        <v/>
      </c>
      <c r="Q1620">
        <f>HYPERLINK("https://raw.githubusercontent.com/marcosmapl/dataset_imigrantes/main/materias_filtered/g1/venezuelanos/2019/02_mar/html/g1_4070a5bc-2321-11ed-b24f-6dbe51e79fca_3688.html", "HTML")</f>
        <v/>
      </c>
      <c r="R1620">
        <f>HYPERLINK("https://raw.githubusercontent.com/marcosmapl/dataset_imigrantes/main/materias_filtered/g1/venezuelanos/2019/02_mar/txt/g1_4070a5bc-2321-11ed-b24f-6dbe51e79fca_3688.txt", "TXT")</f>
        <v/>
      </c>
    </row>
    <row r="1621">
      <c r="A1621" s="1" t="n">
        <v>1619</v>
      </c>
      <c r="B1621" t="n">
        <v>2019</v>
      </c>
      <c r="C1621" s="2" t="n">
        <v>43543.62271990741</v>
      </c>
      <c r="D1621" t="inlineStr">
        <is>
          <t>A CRITICA</t>
        </is>
      </c>
      <c r="E1621" t="inlineStr">
        <is>
          <t>VENEZUELANOS</t>
        </is>
      </c>
      <c r="F1621" t="inlineStr">
        <is>
          <t>MANAUS</t>
        </is>
      </c>
      <c r="G1621" t="inlineStr">
        <is>
          <t>ACRITICA.COM*</t>
        </is>
      </c>
      <c r="H1621" t="inlineStr">
        <is>
          <t>EX-CANDIDATA A MISS AMAZONAS ESFAQUEADA NO CARNAVAL RECEBE ALTA E SE RECUPERA EM CASA</t>
        </is>
      </c>
      <c r="I1621" t="inlineStr">
        <is>
          <t>APÓS FICAR MAIS DE 15 DIAS HOSPITALIZADA EM ESTADO GRAVE, A MODELO MABEL CRISTINA VENCEU A LUTA PELA VIDA. ELA PERDEU DEZ QUILOS E RELATOU EM ENTREVISTA NÃO TER SENTIDO MEDO</t>
        </is>
      </c>
      <c r="J1621" t="inlineStr"/>
      <c r="K1621" t="n">
        <v>0</v>
      </c>
      <c r="L1621" t="n">
        <v>1</v>
      </c>
      <c r="M1621" t="n">
        <v>0</v>
      </c>
      <c r="N1621" t="n">
        <v>0</v>
      </c>
      <c r="O1621" t="n">
        <v>1</v>
      </c>
      <c r="P1621">
        <f>HYPERLINK("https://www.acritica.com/manaus/ex-candidata-a-miss-amazonas-esfaqueada-no-carnaval-recebe-alta-e-se-recupera-em-casa-1.72923", "URL")</f>
        <v/>
      </c>
      <c r="Q1621">
        <f>HYPERLINK("https://raw.githubusercontent.com/marcosmapl/dataset_imigrantes/main/materias_filtered/a_critica/venezuelanos/2019/02_mar/html/1.72923_293.html", "HTML")</f>
        <v/>
      </c>
      <c r="R1621">
        <f>HYPERLINK("https://raw.githubusercontent.com/marcosmapl/dataset_imigrantes/main/materias_filtered/a_critica/venezuelanos/2019/02_mar/txt/1.72923_293.txt", "TXT")</f>
        <v/>
      </c>
    </row>
    <row r="1622">
      <c r="A1622" s="1" t="n">
        <v>1620</v>
      </c>
      <c r="B1622" t="n">
        <v>2019</v>
      </c>
      <c r="C1622" s="2" t="n">
        <v>43542.86863604167</v>
      </c>
      <c r="D1622" t="inlineStr">
        <is>
          <t>G1</t>
        </is>
      </c>
      <c r="E1622" t="inlineStr">
        <is>
          <t>HAITIANOS</t>
        </is>
      </c>
      <c r="F1622" t="inlineStr">
        <is>
          <t>MUNDO</t>
        </is>
      </c>
      <c r="G1622" t="inlineStr">
        <is>
          <t>FRANCE PRESSE</t>
        </is>
      </c>
      <c r="H1622" t="inlineStr">
        <is>
          <t>EM MEIO A CRISE NO PAÍS, DEPUTADOS DO HAITI VOTAM PELA SAÍDA DO PRIMEIRO-MINISTRO</t>
        </is>
      </c>
      <c r="I1622" t="inlineStr">
        <is>
          <t>PREMIÊ NÃO RESISTIU A VOTAÇÃO DE DESCONFIANÇA NA CÂMARA DOS DEPUTADOS, MAS PODE SER SALVO PELO SENADO. DEPUTADOS CONSIDERARAM INSUFICIENTES AS MEDIDAS TOMADAS PELO GOVERNO PARA CONTER PROTESTOS NO PAÍS.</t>
        </is>
      </c>
      <c r="J1622" t="inlineStr"/>
      <c r="K1622" t="n">
        <v>0</v>
      </c>
      <c r="L1622" t="n">
        <v>2</v>
      </c>
      <c r="M1622" t="n">
        <v>0</v>
      </c>
      <c r="N1622" t="n">
        <v>0</v>
      </c>
      <c r="O1622" t="n">
        <v>4</v>
      </c>
      <c r="P1622">
        <f>HYPERLINK("https://g1.globo.com/mundo/noticia/2019/03/18/em-meio-a-crise-no-pais-deputados-do-haiti-votam-pela-saida-do-primeiro-ministro.ghtml", "URL")</f>
        <v/>
      </c>
      <c r="Q1622">
        <f>HYPERLINK("https://raw.githubusercontent.com/marcosmapl/dataset_imigrantes/main/materias_filtered/g1/haitianos/2019/02_mar/html/g1_70987562-230d-11ed-b24f-6dbe51e79fca_2687.html", "HTML")</f>
        <v/>
      </c>
      <c r="R1622">
        <f>HYPERLINK("https://raw.githubusercontent.com/marcosmapl/dataset_imigrantes/main/materias_filtered/g1/haitianos/2019/02_mar/txt/g1_70987562-230d-11ed-b24f-6dbe51e79fca_2687.txt", "TXT")</f>
        <v/>
      </c>
    </row>
    <row r="1623">
      <c r="A1623" s="1" t="n">
        <v>1621</v>
      </c>
      <c r="B1623" t="n">
        <v>2019</v>
      </c>
      <c r="C1623" s="2" t="n">
        <v>43542.55758101852</v>
      </c>
      <c r="D1623" t="inlineStr">
        <is>
          <t>A CRITICA</t>
        </is>
      </c>
      <c r="E1623" t="inlineStr">
        <is>
          <t>VENEZUELANOS</t>
        </is>
      </c>
      <c r="F1623" t="inlineStr"/>
      <c r="G1623" t="inlineStr">
        <is>
          <t>AGÊNCIA BRASIL*</t>
        </is>
      </c>
      <c r="H1623" t="inlineStr">
        <is>
          <t>NICOLÁS MADURO PEDE RENÚNCIA DE MINISTROS, APÓS APAGÃO NA VENEZUELA</t>
        </is>
      </c>
      <c r="I1623" t="inlineStr">
        <is>
          <t>HÁ DOIS DIAS, O PRESIDENTE VENEZUELANO ANUNCIOU A INTENÇÃO DE MUDANÇAS PARA “OTIMIZAR A GESTÃO DO GOVERNO E PROTEGER O PAÍS CONTRA NOVAS AMEAÇAS”</t>
        </is>
      </c>
      <c r="J1623" t="inlineStr"/>
      <c r="K1623" t="n">
        <v>0</v>
      </c>
      <c r="L1623" t="n">
        <v>1</v>
      </c>
      <c r="M1623" t="n">
        <v>0</v>
      </c>
      <c r="N1623" t="n">
        <v>0</v>
      </c>
      <c r="O1623" t="n">
        <v>0</v>
      </c>
      <c r="P1623">
        <f>HYPERLINK("https://www.acritica.com/nicolas-maduro-pede-renuncia-de-ministros-apos-apag-o-na-venezuela-1.72941", "URL")</f>
        <v/>
      </c>
      <c r="Q1623">
        <f>HYPERLINK("https://raw.githubusercontent.com/marcosmapl/dataset_imigrantes/main/materias_filtered/a_critica/venezuelanos/2019/02_mar/html/1.72941_1327.html", "HTML")</f>
        <v/>
      </c>
      <c r="R1623">
        <f>HYPERLINK("https://raw.githubusercontent.com/marcosmapl/dataset_imigrantes/main/materias_filtered/a_critica/venezuelanos/2019/02_mar/txt/1.72941_1327.txt", "TXT")</f>
        <v/>
      </c>
    </row>
    <row r="1624">
      <c r="A1624" s="1" t="n">
        <v>1622</v>
      </c>
      <c r="B1624" t="n">
        <v>2019</v>
      </c>
      <c r="C1624" s="2" t="n">
        <v>43540.97002819445</v>
      </c>
      <c r="D1624" t="inlineStr">
        <is>
          <t>G1</t>
        </is>
      </c>
      <c r="E1624" t="inlineStr">
        <is>
          <t>VENEZUELANOS</t>
        </is>
      </c>
      <c r="F1624" t="inlineStr">
        <is>
          <t>GOIÁS</t>
        </is>
      </c>
      <c r="G1624" t="inlineStr">
        <is>
          <t>RAQUEL MORAIS, G1 GO</t>
        </is>
      </c>
      <c r="H1624" t="inlineStr">
        <is>
          <t>FAMÍLIA VENEZUELANA PRECISA DE AJUDA PARA CONSEGUIR EMPREGO E LOCAL ONDE MORAR, EM GOIÂNIA</t>
        </is>
      </c>
      <c r="I1624" t="inlineStr">
        <is>
          <t>CASAL DE PROFESSORES PAGOU UMA DIÁRIA DE HOTEL APÓS VER HOMEM, ESPOSA E FILHA DE 4 ANOS SE PREPARANDO PARA DORMIR NA PRAÇA DO TRABALHADOR.</t>
        </is>
      </c>
      <c r="J1624" t="inlineStr"/>
      <c r="K1624" t="n">
        <v>0</v>
      </c>
      <c r="L1624" t="n">
        <v>2</v>
      </c>
      <c r="M1624" t="n">
        <v>1</v>
      </c>
      <c r="N1624" t="n">
        <v>0</v>
      </c>
      <c r="O1624" t="n">
        <v>1</v>
      </c>
      <c r="P1624">
        <f>HYPERLINK("https://g1.globo.com/go/goias/noticia/2019/03/16/familia-venezuelana-precisa-de-ajuda-para-conseguir-emprego-e-onde-morar-em-goiania.ghtml", "URL")</f>
        <v/>
      </c>
      <c r="Q1624">
        <f>HYPERLINK("https://raw.githubusercontent.com/marcosmapl/dataset_imigrantes/main/materias_filtered/g1/venezuelanos/2019/02_mar/html/g1_924a78c2-2308-11ed-b24f-6dbe51e79fca_2392.html", "HTML")</f>
        <v/>
      </c>
      <c r="R1624">
        <f>HYPERLINK("https://raw.githubusercontent.com/marcosmapl/dataset_imigrantes/main/materias_filtered/g1/venezuelanos/2019/02_mar/txt/g1_924a78c2-2308-11ed-b24f-6dbe51e79fca_2392.txt", "TXT")</f>
        <v/>
      </c>
    </row>
    <row r="1625">
      <c r="A1625" s="1" t="n">
        <v>1623</v>
      </c>
      <c r="B1625" t="n">
        <v>2019</v>
      </c>
      <c r="C1625" s="2" t="n">
        <v>43539.51230324074</v>
      </c>
      <c r="D1625" t="inlineStr">
        <is>
          <t>A CRITICA</t>
        </is>
      </c>
      <c r="E1625" t="inlineStr">
        <is>
          <t>VENEZUELANOS</t>
        </is>
      </c>
      <c r="F1625" t="inlineStr"/>
      <c r="G1625" t="inlineStr">
        <is>
          <t>AGÊNCIA BRASIL*</t>
        </is>
      </c>
      <c r="H1625" t="inlineStr">
        <is>
          <t>VENEZUELA ANUNCIA RESTABELECIMENTO TOTAL DO SERVIÇO ELÉTRICO APÓS APAGÃO DE SETE DIAS</t>
        </is>
      </c>
      <c r="I1625" t="inlineStr">
        <is>
          <t>O GOVERNO NICOLÁS MADURO ANUNCIOU TAMBÉM A RETOMADA DAS ATIVIDADES PROFISSIONAIS QUE ESTAVAM SUSPENSAS DESDE SEXTA PASSADA (8)</t>
        </is>
      </c>
      <c r="J1625" t="inlineStr"/>
      <c r="K1625" t="n">
        <v>0</v>
      </c>
      <c r="L1625" t="n">
        <v>1</v>
      </c>
      <c r="M1625" t="n">
        <v>0</v>
      </c>
      <c r="N1625" t="n">
        <v>0</v>
      </c>
      <c r="O1625" t="n">
        <v>0</v>
      </c>
      <c r="P1625">
        <f>HYPERLINK("https://www.acritica.com/venezuela-anuncia-restabelecimento-total-do-servico-eletrico-apos-apag-o-de-sete-dias-1.73089", "URL")</f>
        <v/>
      </c>
      <c r="Q1625">
        <f>HYPERLINK("https://raw.githubusercontent.com/marcosmapl/dataset_imigrantes/main/materias_filtered/a_critica/venezuelanos/2019/02_mar/html/1.73089_1172.html", "HTML")</f>
        <v/>
      </c>
      <c r="R1625">
        <f>HYPERLINK("https://raw.githubusercontent.com/marcosmapl/dataset_imigrantes/main/materias_filtered/a_critica/venezuelanos/2019/02_mar/txt/1.73089_1172.txt", "TXT")</f>
        <v/>
      </c>
    </row>
    <row r="1626">
      <c r="A1626" s="1" t="n">
        <v>1624</v>
      </c>
      <c r="B1626" t="n">
        <v>2019</v>
      </c>
      <c r="C1626" s="2" t="n">
        <v>43538.43002653935</v>
      </c>
      <c r="D1626" t="inlineStr">
        <is>
          <t>G1</t>
        </is>
      </c>
      <c r="E1626" t="inlineStr">
        <is>
          <t>VENEZUELANOS</t>
        </is>
      </c>
      <c r="F1626" t="inlineStr">
        <is>
          <t>RIO GRANDE DO SUL</t>
        </is>
      </c>
      <c r="G1626" t="inlineStr">
        <is>
          <t>MATHEUS FELIPE, RBS TV E G1 RS</t>
        </is>
      </c>
      <c r="H1626" t="inlineStr">
        <is>
          <t>MAIS UM GRUPO DE IMIGRANTES VENEZUELANOS CHEGA A PORTO ALEGRE</t>
        </is>
      </c>
      <c r="I1626" t="inlineStr">
        <is>
          <t>ELES FICARÃO NA ALDEIA SOS CRIANÇAS, QUE ACOLHE FAMÍLIA COM MENORES, EM UMA DAS CINCO CASAS DESTINADAS AO PROGRAMA BRASIL SEM FRONTEIRAS, EM PORTO ALEGRE.</t>
        </is>
      </c>
      <c r="J1626" t="inlineStr"/>
      <c r="K1626" t="n">
        <v>0</v>
      </c>
      <c r="L1626" t="n">
        <v>4</v>
      </c>
      <c r="M1626" t="n">
        <v>2</v>
      </c>
      <c r="N1626" t="n">
        <v>0</v>
      </c>
      <c r="O1626" t="n">
        <v>2</v>
      </c>
      <c r="P1626">
        <f>HYPERLINK("https://g1.globo.com/rs/rio-grande-do-sul/noticia/2019/03/14/mais-um-grupo-de-imigrantes-venezuelanos-chega-em-porto-alegre.ghtml", "URL")</f>
        <v/>
      </c>
      <c r="Q1626">
        <f>HYPERLINK("https://raw.githubusercontent.com/marcosmapl/dataset_imigrantes/main/materias_filtered/g1/venezuelanos/2019/02_mar/html/g1_488eaa60-2307-11ed-b24f-6dbe51e79fca_2308.html", "HTML")</f>
        <v/>
      </c>
      <c r="R1626">
        <f>HYPERLINK("https://raw.githubusercontent.com/marcosmapl/dataset_imigrantes/main/materias_filtered/g1/venezuelanos/2019/02_mar/txt/g1_488eaa60-2307-11ed-b24f-6dbe51e79fca_2308.txt", "TXT")</f>
        <v/>
      </c>
    </row>
    <row r="1627">
      <c r="A1627" s="1" t="n">
        <v>1625</v>
      </c>
      <c r="B1627" t="n">
        <v>2019</v>
      </c>
      <c r="C1627" s="2" t="n">
        <v>43536.88333333333</v>
      </c>
      <c r="D1627" t="inlineStr">
        <is>
          <t>PORTAL AMAZONIA</t>
        </is>
      </c>
      <c r="E1627" t="inlineStr">
        <is>
          <t>VENEZUELANOS</t>
        </is>
      </c>
      <c r="F1627" t="inlineStr">
        <is>
          <t>CIDADES</t>
        </is>
      </c>
      <c r="G1627" t="inlineStr">
        <is>
          <t>REDAÇÃO</t>
        </is>
      </c>
      <c r="H1627" t="inlineStr">
        <is>
          <t>MAIS DE 200 VENEZUELANOS DEIXAM BOA VISTA RUMO A 14 CIDADES, NESTA QUARTA</t>
        </is>
      </c>
      <c r="I1627" t="inlineStr">
        <is>
          <t>MAIS 234 DE REFUGIADOS E MIGRANTES VENEZUELANOS DEIXARÃO BOA VISTA COM DESTINO A 14 CIDADES BRASILEIRAS AMANHÃ (13), ÀS 8H, HORÁRIO LOCAL. A PRIMEIRA PARADA DA AERONAVE DA FORÇA AÉREA BRASILEIRA (FAB) SERÁ NO RECIFE, ONDE DESEMBARCARÃO 63 PESSOAS. DE</t>
        </is>
      </c>
      <c r="J1627" t="inlineStr">
        <is>
          <t>IMIGRANTES VENEZUELANOS, INTERIORIZACAO IMIGRANTES, OPERACAO ACOLHIDA</t>
        </is>
      </c>
      <c r="K1627" t="n">
        <v>3</v>
      </c>
      <c r="L1627" t="n">
        <v>2</v>
      </c>
      <c r="M1627" t="n">
        <v>0</v>
      </c>
      <c r="N1627" t="n">
        <v>0</v>
      </c>
      <c r="O1627" t="n">
        <v>8</v>
      </c>
      <c r="P1627">
        <f>HYPERLINK("https://portalamazonia.com/noticias/cidades/mais-de-200-venezuelanos-deixam-boa-vista-rumo-a-14-cidades-nesta-quarta", "URL")</f>
        <v/>
      </c>
      <c r="Q1627">
        <f>HYPERLINK("https://raw.githubusercontent.com/marcosmapl/dataset_imigrantes/main/materias_filtered/portal_amazonia/venezuelanos/2019/02_mar/html/17307.17307_1426.html", "HTML")</f>
        <v/>
      </c>
      <c r="R1627">
        <f>HYPERLINK("https://raw.githubusercontent.com/marcosmapl/dataset_imigrantes/main/materias_filtered/portal_amazonia/venezuelanos/2019/02_mar/txt/17307.17307_1426.txt", "TXT")</f>
        <v/>
      </c>
    </row>
    <row r="1628">
      <c r="A1628" s="1" t="n">
        <v>1626</v>
      </c>
      <c r="B1628" t="n">
        <v>2019</v>
      </c>
      <c r="C1628" s="2" t="n">
        <v>43536.81657407407</v>
      </c>
      <c r="D1628" t="inlineStr">
        <is>
          <t>A CRITICA</t>
        </is>
      </c>
      <c r="E1628" t="inlineStr">
        <is>
          <t>VENEZUELANOS</t>
        </is>
      </c>
      <c r="F1628" t="inlineStr">
        <is>
          <t>ESPORTES</t>
        </is>
      </c>
      <c r="G1628" t="inlineStr">
        <is>
          <t>CAMILA LEONEL</t>
        </is>
      </c>
      <c r="H1628" t="inlineStr">
        <is>
          <t>ATACANTE KARLA TORRES REFORÇARÁ O IRANDUBA NO BRASILEIRO FEMININO</t>
        </is>
      </c>
      <c r="I1628" t="inlineStr">
        <is>
          <t>A JOGADORA VENEZUELANA DEVE CHEGAR NO DIA 19 EM MANAUS PARA DISPUTAR O BRASILEIRÃO. ANO PASSADO ELA JOGOU A LIBERTADORES PELO COLO-COLO</t>
        </is>
      </c>
      <c r="J1628" t="inlineStr"/>
      <c r="K1628" t="n">
        <v>0</v>
      </c>
      <c r="L1628" t="n">
        <v>1</v>
      </c>
      <c r="M1628" t="n">
        <v>0</v>
      </c>
      <c r="N1628" t="n">
        <v>0</v>
      </c>
      <c r="O1628" t="n">
        <v>0</v>
      </c>
      <c r="P1628">
        <f>HYPERLINK("https://www.acritica.com/esportes/atacante-karla-torres-reforcara-o-iranduba-no-brasileiro-feminino-1.73270", "URL")</f>
        <v/>
      </c>
      <c r="Q1628">
        <f>HYPERLINK("https://raw.githubusercontent.com/marcosmapl/dataset_imigrantes/main/materias_filtered/a_critica/venezuelanos/2019/02_mar/html/1.73270_598.html", "HTML")</f>
        <v/>
      </c>
      <c r="R1628">
        <f>HYPERLINK("https://raw.githubusercontent.com/marcosmapl/dataset_imigrantes/main/materias_filtered/a_critica/venezuelanos/2019/02_mar/txt/1.73270_598.txt", "TXT")</f>
        <v/>
      </c>
    </row>
    <row r="1629">
      <c r="A1629" s="1" t="n">
        <v>1627</v>
      </c>
      <c r="B1629" t="n">
        <v>2019</v>
      </c>
      <c r="C1629" s="2" t="n">
        <v>43536.54138974537</v>
      </c>
      <c r="D1629" t="inlineStr">
        <is>
          <t>G1</t>
        </is>
      </c>
      <c r="E1629" t="inlineStr">
        <is>
          <t>VENEZUELANOS</t>
        </is>
      </c>
      <c r="F1629" t="inlineStr">
        <is>
          <t>MUNDO</t>
        </is>
      </c>
      <c r="G1629" t="inlineStr">
        <is>
          <t>G1</t>
        </is>
      </c>
      <c r="H1629" t="inlineStr">
        <is>
          <t>SERVIÇO DE INTELIGÊNCIA DA VENEZUELA DETÉM JORNALISTA VENEZUELANO-ESPANHOL, DIZ SINDICATO</t>
        </is>
      </c>
      <c r="I1629" t="inlineStr">
        <is>
          <t>SINDICATO AFIRMOU QUE SERVIÇO DE INTELIGÊNCIA FEZ BUSCA E APREENDEU OBJETOS NA RESIDÊNCIA DO JORNALISTA LUIS CARLOS DÍAZ.</t>
        </is>
      </c>
      <c r="J1629" t="inlineStr"/>
      <c r="K1629" t="n">
        <v>0</v>
      </c>
      <c r="L1629" t="n">
        <v>2</v>
      </c>
      <c r="M1629" t="n">
        <v>0</v>
      </c>
      <c r="N1629" t="n">
        <v>0</v>
      </c>
      <c r="O1629" t="n">
        <v>8</v>
      </c>
      <c r="P1629">
        <f>HYPERLINK("https://g1.globo.com/mundo/noticia/2019/03/12/servico-de-inteligencia-da-venezuela-detem-jornalista-venezuelano-espanhol-diz-sindicato.ghtml", "URL")</f>
        <v/>
      </c>
      <c r="Q1629">
        <f>HYPERLINK("https://raw.githubusercontent.com/marcosmapl/dataset_imigrantes/main/materias_filtered/g1/venezuelanos/2019/02_mar/html/g1_2ad265f6-2326-11ed-b24f-6dbe51e79fca_3959.html", "HTML")</f>
        <v/>
      </c>
      <c r="R1629">
        <f>HYPERLINK("https://raw.githubusercontent.com/marcosmapl/dataset_imigrantes/main/materias_filtered/g1/venezuelanos/2019/02_mar/txt/g1_2ad265f6-2326-11ed-b24f-6dbe51e79fca_3959.txt", "TXT")</f>
        <v/>
      </c>
    </row>
    <row r="1630">
      <c r="A1630" s="1" t="n">
        <v>1628</v>
      </c>
      <c r="B1630" t="n">
        <v>2019</v>
      </c>
      <c r="C1630" s="2" t="n">
        <v>43535.92089120371</v>
      </c>
      <c r="D1630" t="inlineStr">
        <is>
          <t>A CRITICA</t>
        </is>
      </c>
      <c r="E1630" t="inlineStr">
        <is>
          <t>VENEZUELANOS</t>
        </is>
      </c>
      <c r="F1630" t="inlineStr"/>
      <c r="G1630" t="inlineStr">
        <is>
          <t>AGÊNCIA BRASIL</t>
        </is>
      </c>
      <c r="H1630" t="inlineStr">
        <is>
          <t>JUAN GUAIDÓ MARCA MANIFESTAÇÃO EM PROTESTO AOS APAGÕES QUE ATINGEM A VENEZUELA</t>
        </is>
      </c>
      <c r="I1630" t="inlineStr">
        <is>
          <t>EM DISCURSO NA ASSEMBLEIA NACIONAL, ELE DEFENDEU A UNIÃO DE FORÇAS EM BUSCA DA CONSOLIDAÇÃO DOS “DIREITOS”</t>
        </is>
      </c>
      <c r="J1630" t="inlineStr"/>
      <c r="K1630" t="n">
        <v>0</v>
      </c>
      <c r="L1630" t="n">
        <v>1</v>
      </c>
      <c r="M1630" t="n">
        <v>0</v>
      </c>
      <c r="N1630" t="n">
        <v>0</v>
      </c>
      <c r="O1630" t="n">
        <v>0</v>
      </c>
      <c r="P1630">
        <f>HYPERLINK("https://www.acritica.com/juan-guaido-marca-manifestac-o-em-protesto-aos-apag-es-que-atingem-a-venezuela-1.73349", "URL")</f>
        <v/>
      </c>
      <c r="Q1630">
        <f>HYPERLINK("https://raw.githubusercontent.com/marcosmapl/dataset_imigrantes/main/materias_filtered/a_critica/venezuelanos/2019/02_mar/html/1.73349_799.html", "HTML")</f>
        <v/>
      </c>
      <c r="R1630">
        <f>HYPERLINK("https://raw.githubusercontent.com/marcosmapl/dataset_imigrantes/main/materias_filtered/a_critica/venezuelanos/2019/02_mar/txt/1.73349_799.txt", "TXT")</f>
        <v/>
      </c>
    </row>
    <row r="1631">
      <c r="A1631" s="1" t="n">
        <v>1629</v>
      </c>
      <c r="B1631" t="n">
        <v>2019</v>
      </c>
      <c r="C1631" s="2" t="n">
        <v>43535.48094907407</v>
      </c>
      <c r="D1631" t="inlineStr">
        <is>
          <t>A CRITICA</t>
        </is>
      </c>
      <c r="E1631" t="inlineStr">
        <is>
          <t>VENEZUELANOS</t>
        </is>
      </c>
      <c r="F1631" t="inlineStr"/>
      <c r="G1631" t="inlineStr"/>
      <c r="H1631" t="inlineStr">
        <is>
          <t>ALTERNATIVA PARA ENERGIA EM RORAIMA</t>
        </is>
      </c>
      <c r="I1631" t="inlineStr"/>
      <c r="J1631" t="inlineStr"/>
      <c r="K1631" t="n">
        <v>0</v>
      </c>
      <c r="L1631" t="n">
        <v>1</v>
      </c>
      <c r="M1631" t="n">
        <v>0</v>
      </c>
      <c r="N1631" t="n">
        <v>0</v>
      </c>
      <c r="O1631" t="n">
        <v>0</v>
      </c>
      <c r="P1631">
        <f>HYPERLINK("https://www.acritica.com/alternativa-para-energia-em-roraima-1.223741", "URL")</f>
        <v/>
      </c>
      <c r="Q1631">
        <f>HYPERLINK("https://raw.githubusercontent.com/marcosmapl/dataset_imigrantes/main/materias_filtered/a_critica/venezuelanos/2019/02_mar/html/1.223741_804.html", "HTML")</f>
        <v/>
      </c>
      <c r="R1631">
        <f>HYPERLINK("https://raw.githubusercontent.com/marcosmapl/dataset_imigrantes/main/materias_filtered/a_critica/venezuelanos/2019/02_mar/txt/1.223741_804.txt", "TXT")</f>
        <v/>
      </c>
    </row>
    <row r="1632">
      <c r="A1632" s="1" t="n">
        <v>1630</v>
      </c>
      <c r="B1632" t="n">
        <v>2019</v>
      </c>
      <c r="C1632" s="2" t="n">
        <v>43534.93145833333</v>
      </c>
      <c r="D1632" t="inlineStr">
        <is>
          <t>A CRITICA</t>
        </is>
      </c>
      <c r="E1632" t="inlineStr">
        <is>
          <t>VENEZUELANOS</t>
        </is>
      </c>
      <c r="F1632" t="inlineStr"/>
      <c r="G1632" t="inlineStr">
        <is>
          <t>AGÊNCIA BRASIL</t>
        </is>
      </c>
      <c r="H1632" t="inlineStr">
        <is>
          <t>GUAIDÓ PEDIRÁ QUE PARLAMENTO DECLARE ESTADO DE EMERGÊNCIA NA VENEZUELA</t>
        </is>
      </c>
      <c r="I1632" t="inlineStr">
        <is>
          <t>O PAÍS ENFRENTA UM APAGÃO QUE JÁ PROVOCOU 15 MORTES</t>
        </is>
      </c>
      <c r="J1632" t="inlineStr"/>
      <c r="K1632" t="n">
        <v>0</v>
      </c>
      <c r="L1632" t="n">
        <v>1</v>
      </c>
      <c r="M1632" t="n">
        <v>0</v>
      </c>
      <c r="N1632" t="n">
        <v>0</v>
      </c>
      <c r="O1632" t="n">
        <v>0</v>
      </c>
      <c r="P1632">
        <f>HYPERLINK("https://www.acritica.com/guaido-pedira-que-parlamento-declare-estado-de-emergencia-na-venezuela-1.72359", "URL")</f>
        <v/>
      </c>
      <c r="Q1632">
        <f>HYPERLINK("https://raw.githubusercontent.com/marcosmapl/dataset_imigrantes/main/materias_filtered/a_critica/venezuelanos/2019/02_mar/html/1.72359_998.html", "HTML")</f>
        <v/>
      </c>
      <c r="R1632">
        <f>HYPERLINK("https://raw.githubusercontent.com/marcosmapl/dataset_imigrantes/main/materias_filtered/a_critica/venezuelanos/2019/02_mar/txt/1.72359_998.txt", "TXT")</f>
        <v/>
      </c>
    </row>
    <row r="1633">
      <c r="A1633" s="1" t="n">
        <v>1631</v>
      </c>
      <c r="B1633" t="n">
        <v>2019</v>
      </c>
      <c r="C1633" s="2" t="n">
        <v>43534.64011574074</v>
      </c>
      <c r="D1633" t="inlineStr">
        <is>
          <t>A CRITICA</t>
        </is>
      </c>
      <c r="E1633" t="inlineStr">
        <is>
          <t>VENEZUELANOS</t>
        </is>
      </c>
      <c r="F1633" t="inlineStr"/>
      <c r="G1633" t="inlineStr">
        <is>
          <t>AGÊNCIA BRASIL</t>
        </is>
      </c>
      <c r="H1633" t="inlineStr">
        <is>
          <t>GUAIDÓ CONVOCA ATOS CONTRA NICOLÁS MADURO PELAS REDES SOCIAIS</t>
        </is>
      </c>
      <c r="I1633" t="inlineStr">
        <is>
          <t>O APELOU OCORREU NO MOMENTO DE UM APAGÃO QUE ATINGIU CARACAS E 22 DOS 23 ESTADOS VENEZUELANOS</t>
        </is>
      </c>
      <c r="J1633" t="inlineStr"/>
      <c r="K1633" t="n">
        <v>0</v>
      </c>
      <c r="L1633" t="n">
        <v>1</v>
      </c>
      <c r="M1633" t="n">
        <v>0</v>
      </c>
      <c r="N1633" t="n">
        <v>0</v>
      </c>
      <c r="O1633" t="n">
        <v>0</v>
      </c>
      <c r="P1633">
        <f>HYPERLINK("https://www.acritica.com/guaido-convoca-atos-contra-nicolas-maduro-pelas-redes-sociais-1.73419", "URL")</f>
        <v/>
      </c>
      <c r="Q1633">
        <f>HYPERLINK("https://raw.githubusercontent.com/marcosmapl/dataset_imigrantes/main/materias_filtered/a_critica/venezuelanos/2019/02_mar/html/1.73419_461.html", "HTML")</f>
        <v/>
      </c>
      <c r="R1633">
        <f>HYPERLINK("https://raw.githubusercontent.com/marcosmapl/dataset_imigrantes/main/materias_filtered/a_critica/venezuelanos/2019/02_mar/txt/1.73419_461.txt", "TXT")</f>
        <v/>
      </c>
    </row>
    <row r="1634">
      <c r="A1634" s="1" t="n">
        <v>1632</v>
      </c>
      <c r="B1634" t="n">
        <v>2019</v>
      </c>
      <c r="C1634" s="2" t="n">
        <v>43534.60583333333</v>
      </c>
      <c r="D1634" t="inlineStr">
        <is>
          <t>A CRITICA</t>
        </is>
      </c>
      <c r="E1634" t="inlineStr">
        <is>
          <t>VENEZUELANOS</t>
        </is>
      </c>
      <c r="F1634" t="inlineStr"/>
      <c r="G1634" t="inlineStr">
        <is>
          <t>AGÊNCIA BRASIL</t>
        </is>
      </c>
      <c r="H1634" t="inlineStr">
        <is>
          <t>PELO MENOS 15 PESSOAS MORRERAM DEVIDO AO APAGÃO NA VENEZUELA, DIZ ONG</t>
        </is>
      </c>
      <c r="I1634" t="inlineStr">
        <is>
          <t>VÍTIMAS TINHAM PROBLEMAS RENAIS E FICARAM SEM DIÁLISE. O APAGÃO QUE ATINGIU O PAÍS AFETOU O FUNCIONAMENTO DOS APARELHOS</t>
        </is>
      </c>
      <c r="J1634" t="inlineStr"/>
      <c r="K1634" t="n">
        <v>0</v>
      </c>
      <c r="L1634" t="n">
        <v>1</v>
      </c>
      <c r="M1634" t="n">
        <v>0</v>
      </c>
      <c r="N1634" t="n">
        <v>0</v>
      </c>
      <c r="O1634" t="n">
        <v>0</v>
      </c>
      <c r="P1634">
        <f>HYPERLINK("https://www.acritica.com/pelo-menos-15-pessoas-morreram-devido-ao-apag-o-na-venezuela-diz-ong-1.73430", "URL")</f>
        <v/>
      </c>
      <c r="Q1634">
        <f>HYPERLINK("https://raw.githubusercontent.com/marcosmapl/dataset_imigrantes/main/materias_filtered/a_critica/venezuelanos/2019/02_mar/html/1.73430_791.html", "HTML")</f>
        <v/>
      </c>
      <c r="R1634">
        <f>HYPERLINK("https://raw.githubusercontent.com/marcosmapl/dataset_imigrantes/main/materias_filtered/a_critica/venezuelanos/2019/02_mar/txt/1.73430_791.txt", "TXT")</f>
        <v/>
      </c>
    </row>
    <row r="1635">
      <c r="A1635" s="1" t="n">
        <v>1633</v>
      </c>
      <c r="B1635" t="n">
        <v>2019</v>
      </c>
      <c r="C1635" s="2" t="n">
        <v>43533.85696759259</v>
      </c>
      <c r="D1635" t="inlineStr">
        <is>
          <t>A CRITICA</t>
        </is>
      </c>
      <c r="E1635" t="inlineStr">
        <is>
          <t>VENEZUELANOS</t>
        </is>
      </c>
      <c r="F1635" t="inlineStr"/>
      <c r="G1635" t="inlineStr">
        <is>
          <t>DEUTSCHE WELLE</t>
        </is>
      </c>
      <c r="H1635" t="inlineStr">
        <is>
          <t>NICOLÁS MADURO REPRIME PROTESTO DA OPOSIÇÃO EM CARACAS, NA VENEZUELA</t>
        </is>
      </c>
      <c r="I1635" t="inlineStr">
        <is>
          <t>MANIFESTANTES RECUARAM, MAS OPTARAM POR PERMANECER NAS IMEDIAÇÕES DO LOCAL MARCADO PARA A REALIZAÇÃO DA CONCENTRAÇÃO</t>
        </is>
      </c>
      <c r="J1635" t="inlineStr"/>
      <c r="K1635" t="n">
        <v>0</v>
      </c>
      <c r="L1635" t="n">
        <v>1</v>
      </c>
      <c r="M1635" t="n">
        <v>0</v>
      </c>
      <c r="N1635" t="n">
        <v>0</v>
      </c>
      <c r="O1635" t="n">
        <v>0</v>
      </c>
      <c r="P1635">
        <f>HYPERLINK("https://www.acritica.com/nicolas-maduro-reprime-protesto-da-oposic-o-em-caracas-na-venezuela-1.73458", "URL")</f>
        <v/>
      </c>
      <c r="Q1635">
        <f>HYPERLINK("https://raw.githubusercontent.com/marcosmapl/dataset_imigrantes/main/materias_filtered/a_critica/venezuelanos/2019/02_mar/html/1.73458_770.html", "HTML")</f>
        <v/>
      </c>
      <c r="R1635">
        <f>HYPERLINK("https://raw.githubusercontent.com/marcosmapl/dataset_imigrantes/main/materias_filtered/a_critica/venezuelanos/2019/02_mar/txt/1.73458_770.txt", "TXT")</f>
        <v/>
      </c>
    </row>
    <row r="1636">
      <c r="A1636" s="1" t="n">
        <v>1634</v>
      </c>
      <c r="B1636" t="n">
        <v>2019</v>
      </c>
      <c r="C1636" s="2" t="n">
        <v>43533.790625</v>
      </c>
      <c r="D1636" t="inlineStr">
        <is>
          <t>A CRITICA</t>
        </is>
      </c>
      <c r="E1636" t="inlineStr">
        <is>
          <t>VENEZUELANOS</t>
        </is>
      </c>
      <c r="F1636" t="inlineStr">
        <is>
          <t>MANAUS</t>
        </is>
      </c>
      <c r="G1636" t="inlineStr">
        <is>
          <t>SUELEN GONÇALVES</t>
        </is>
      </c>
      <c r="H1636" t="inlineStr">
        <is>
          <t>LIDERANÇAS DE ESQUERDA DO AM FAZEM ATO PEDINDO PAZ ENTRE BRASIL E VENEZUELA</t>
        </is>
      </c>
      <c r="I1636" t="inlineStr">
        <is>
          <t>MOVIMENTOS SOCIAIS, ESTUDANTIS E ENTIDADES SE REUNIRAM EM EVENTO NA MANHÃ DESTE SÁBADO (9). ATO CONTOU COM PARLAMENTARES DO AMAZONAS</t>
        </is>
      </c>
      <c r="J1636" t="inlineStr"/>
      <c r="K1636" t="n">
        <v>0</v>
      </c>
      <c r="L1636" t="n">
        <v>1</v>
      </c>
      <c r="M1636" t="n">
        <v>0</v>
      </c>
      <c r="N1636" t="n">
        <v>0</v>
      </c>
      <c r="O1636" t="n">
        <v>0</v>
      </c>
      <c r="P1636">
        <f>HYPERLINK("https://www.acritica.com/manaus/liderancas-de-esquerda-do-am-fazem-ato-pedindo-paz-entre-brasil-e-venezuela-1.73464", "URL")</f>
        <v/>
      </c>
      <c r="Q1636">
        <f>HYPERLINK("https://raw.githubusercontent.com/marcosmapl/dataset_imigrantes/main/materias_filtered/a_critica/venezuelanos/2019/02_mar/html/1.73464_619.html", "HTML")</f>
        <v/>
      </c>
      <c r="R1636">
        <f>HYPERLINK("https://raw.githubusercontent.com/marcosmapl/dataset_imigrantes/main/materias_filtered/a_critica/venezuelanos/2019/02_mar/txt/1.73464_619.txt", "TXT")</f>
        <v/>
      </c>
    </row>
    <row r="1637">
      <c r="A1637" s="1" t="n">
        <v>1635</v>
      </c>
      <c r="B1637" t="n">
        <v>2019</v>
      </c>
      <c r="C1637" s="2" t="n">
        <v>43533.67434027778</v>
      </c>
      <c r="D1637" t="inlineStr">
        <is>
          <t>A CRITICA</t>
        </is>
      </c>
      <c r="E1637" t="inlineStr">
        <is>
          <t>VENEZUELANOS</t>
        </is>
      </c>
      <c r="F1637" t="inlineStr"/>
      <c r="G1637" t="inlineStr">
        <is>
          <t>AGÊNCIA BRASIL</t>
        </is>
      </c>
      <c r="H1637" t="inlineStr">
        <is>
          <t>NÚMERO DE REFUGIADOS VENEZUELANOS DEVE SUPERAR 5 MILHÕES ATÉ 2020, DIZ OEA</t>
        </is>
      </c>
      <c r="I1637" t="inlineStr">
        <is>
          <t>SEGUNDO A ORGANIZAÇÃO DOS ESTADOS AMERICANOS, TRATA-SE DA SEGUNDA MAIOR CRISE DE IMIGRANTES E REFUGIADOS NO MUNDO, DEPOIS DA QUE ENVOLVEU OS SÍRIOS</t>
        </is>
      </c>
      <c r="J1637" t="inlineStr"/>
      <c r="K1637" t="n">
        <v>0</v>
      </c>
      <c r="L1637" t="n">
        <v>1</v>
      </c>
      <c r="M1637" t="n">
        <v>0</v>
      </c>
      <c r="N1637" t="n">
        <v>0</v>
      </c>
      <c r="O1637" t="n">
        <v>0</v>
      </c>
      <c r="P1637">
        <f>HYPERLINK("https://www.acritica.com/numero-de-refugiados-venezuelanos-deve-superar-5-milh-es-ate-2020-diz-oea-1.73470", "URL")</f>
        <v/>
      </c>
      <c r="Q1637">
        <f>HYPERLINK("https://raw.githubusercontent.com/marcosmapl/dataset_imigrantes/main/materias_filtered/a_critica/venezuelanos/2019/02_mar/html/1.73470_988.html", "HTML")</f>
        <v/>
      </c>
      <c r="R1637">
        <f>HYPERLINK("https://raw.githubusercontent.com/marcosmapl/dataset_imigrantes/main/materias_filtered/a_critica/venezuelanos/2019/02_mar/txt/1.73470_988.txt", "TXT")</f>
        <v/>
      </c>
    </row>
    <row r="1638">
      <c r="A1638" s="1" t="n">
        <v>1636</v>
      </c>
      <c r="B1638" t="n">
        <v>2019</v>
      </c>
      <c r="C1638" s="2" t="n">
        <v>43533.63392361111</v>
      </c>
      <c r="D1638" t="inlineStr">
        <is>
          <t>A CRITICA</t>
        </is>
      </c>
      <c r="E1638" t="inlineStr">
        <is>
          <t>VENEZUELANOS</t>
        </is>
      </c>
      <c r="F1638" t="inlineStr"/>
      <c r="G1638" t="inlineStr">
        <is>
          <t>YARA AQUINO (AGÊNCIA BRASIL)</t>
        </is>
      </c>
      <c r="H1638" t="inlineStr">
        <is>
          <t>USINAS TERMELÉTRICAS SÃO ACIONADAS PARA GARANTIR ENERGIA EM RORAIMA</t>
        </is>
      </c>
      <c r="I1638" t="inlineStr">
        <is>
          <t>MEDIDA FOI TOMADA APÓS VENEZUELA INTERROMPER FORNECIMENTO AO ESTADO. INTERRUPÇÃO COMEÇOU ONTEM (7) APÓS NOTÍCIAS DE APAGÃO NO PAÍS VIZINHO</t>
        </is>
      </c>
      <c r="J1638" t="inlineStr"/>
      <c r="K1638" t="n">
        <v>0</v>
      </c>
      <c r="L1638" t="n">
        <v>1</v>
      </c>
      <c r="M1638" t="n">
        <v>0</v>
      </c>
      <c r="N1638" t="n">
        <v>0</v>
      </c>
      <c r="O1638" t="n">
        <v>0</v>
      </c>
      <c r="P1638">
        <f>HYPERLINK("https://www.acritica.com/usinas-termeletricas-s-o-acionadas-para-garantir-energia-em-roraima-1.73478", "URL")</f>
        <v/>
      </c>
      <c r="Q1638">
        <f>HYPERLINK("https://raw.githubusercontent.com/marcosmapl/dataset_imigrantes/main/materias_filtered/a_critica/venezuelanos/2019/02_mar/html/1.73478_892.html", "HTML")</f>
        <v/>
      </c>
      <c r="R1638">
        <f>HYPERLINK("https://raw.githubusercontent.com/marcosmapl/dataset_imigrantes/main/materias_filtered/a_critica/venezuelanos/2019/02_mar/txt/1.73478_892.txt", "TXT")</f>
        <v/>
      </c>
    </row>
    <row r="1639">
      <c r="A1639" s="1" t="n">
        <v>1637</v>
      </c>
      <c r="B1639" t="n">
        <v>2019</v>
      </c>
      <c r="C1639" s="2" t="n">
        <v>43533.54432870371</v>
      </c>
      <c r="D1639" t="inlineStr">
        <is>
          <t>A CRITICA</t>
        </is>
      </c>
      <c r="E1639" t="inlineStr">
        <is>
          <t>VENEZUELANOS</t>
        </is>
      </c>
      <c r="F1639" t="inlineStr"/>
      <c r="G1639" t="inlineStr">
        <is>
          <t>AGÊNCIA BRASIL*</t>
        </is>
      </c>
      <c r="H1639" t="inlineStr">
        <is>
          <t>BOLSONARO E TRUMP TÊM ENCONTRO NO PRÓXIMO DIA 19 DE MARÇO, DIZ CASA BRANCA</t>
        </is>
      </c>
      <c r="I1639" t="inlineStr">
        <is>
          <t>ENTRE OS TEMAS QUE PODERÃO SER DISCUTIDOS NO ENCONTRO, DESTACAM-SE A COOPERAÇÃO NA ÁREA DA DEFESA, POLÍTICAS COMERCIAIS, COMBATE AO CRIME TRANSNACIONAL E A CRISE NA VENEZUELA</t>
        </is>
      </c>
      <c r="J1639" t="inlineStr"/>
      <c r="K1639" t="n">
        <v>0</v>
      </c>
      <c r="L1639" t="n">
        <v>1</v>
      </c>
      <c r="M1639" t="n">
        <v>0</v>
      </c>
      <c r="N1639" t="n">
        <v>0</v>
      </c>
      <c r="O1639" t="n">
        <v>0</v>
      </c>
      <c r="P1639">
        <f>HYPERLINK("https://www.acritica.com/bolsonaro-e-trump-tem-encontro-no-proximo-dia-19-de-marco-diz-casa-branca-1.73486", "URL")</f>
        <v/>
      </c>
      <c r="Q1639">
        <f>HYPERLINK("https://raw.githubusercontent.com/marcosmapl/dataset_imigrantes/main/materias_filtered/a_critica/venezuelanos/2019/02_mar/html/1.73486_597.html", "HTML")</f>
        <v/>
      </c>
      <c r="R1639">
        <f>HYPERLINK("https://raw.githubusercontent.com/marcosmapl/dataset_imigrantes/main/materias_filtered/a_critica/venezuelanos/2019/02_mar/txt/1.73486_597.txt", "TXT")</f>
        <v/>
      </c>
    </row>
    <row r="1640">
      <c r="A1640" s="1" t="n">
        <v>1638</v>
      </c>
      <c r="B1640" t="n">
        <v>2019</v>
      </c>
      <c r="C1640" s="2" t="n">
        <v>43533.16923210648</v>
      </c>
      <c r="D1640" t="inlineStr">
        <is>
          <t>G1</t>
        </is>
      </c>
      <c r="E1640" t="inlineStr">
        <is>
          <t>VENEZUELANOS</t>
        </is>
      </c>
      <c r="F1640" t="inlineStr">
        <is>
          <t>MUNDO</t>
        </is>
      </c>
      <c r="G1640" t="inlineStr">
        <is>
          <t>FRANCE PRESSE</t>
        </is>
      </c>
      <c r="H1640" t="inlineStr">
        <is>
          <t>OEA PREVÊ 5 MILHÕES DE IMIGRANTES VENEZUELANOS EM 2019</t>
        </is>
      </c>
      <c r="I1640" t="inlineStr">
        <is>
          <t>SEGUNDO RELATÓRIO, O FLUXO MIGRATÓRIO JÁ SE EQUIPARA AOS PROVOCADOS POR GUERRAS COMO A DA SÍRIA E DO AFEGANISTÃO.</t>
        </is>
      </c>
      <c r="J1640" t="inlineStr"/>
      <c r="K1640" t="n">
        <v>0</v>
      </c>
      <c r="L1640" t="n">
        <v>2</v>
      </c>
      <c r="M1640" t="n">
        <v>0</v>
      </c>
      <c r="N1640" t="n">
        <v>0</v>
      </c>
      <c r="O1640" t="n">
        <v>1</v>
      </c>
      <c r="P1640">
        <f>HYPERLINK("https://g1.globo.com/mundo/noticia/2019/03/09/oea-preve-5-milhoes-de-imigrantes-venezuelanos-em-2019.ghtml", "URL")</f>
        <v/>
      </c>
      <c r="Q1640">
        <f>HYPERLINK("https://raw.githubusercontent.com/marcosmapl/dataset_imigrantes/main/materias_filtered/g1/venezuelanos/2019/02_mar/html/g1_568d218e-2323-11ed-b24f-6dbe51e79fca_3801.html", "HTML")</f>
        <v/>
      </c>
      <c r="R1640">
        <f>HYPERLINK("https://raw.githubusercontent.com/marcosmapl/dataset_imigrantes/main/materias_filtered/g1/venezuelanos/2019/02_mar/txt/g1_568d218e-2323-11ed-b24f-6dbe51e79fca_3801.txt", "TXT")</f>
        <v/>
      </c>
    </row>
    <row r="1641">
      <c r="A1641" s="1" t="n">
        <v>1639</v>
      </c>
      <c r="B1641" t="n">
        <v>2019</v>
      </c>
      <c r="C1641" s="2" t="n">
        <v>43532.84226502315</v>
      </c>
      <c r="D1641" t="inlineStr">
        <is>
          <t>G1</t>
        </is>
      </c>
      <c r="E1641" t="inlineStr">
        <is>
          <t>VENEZUELANOS</t>
        </is>
      </c>
      <c r="F1641" t="inlineStr">
        <is>
          <t>MUNDO</t>
        </is>
      </c>
      <c r="G1641" t="inlineStr">
        <is>
          <t>G1</t>
        </is>
      </c>
      <c r="H1641" t="inlineStr">
        <is>
          <t>MINISTRO VENEZUELANO É ACUSADO NOS ESTADOS UNIDOS DE AJUDAR CHEFÕES DO NARCOTRÁFICO</t>
        </is>
      </c>
      <c r="I1641" t="inlineStr">
        <is>
          <t>TARECK EL AISSAMI, ALIADO DE NICOLÁS MADURO, CONTRATOU AVIÕES PRIVADOS NORTE-AMERICANOS PARA REUNIÕES PARTICULARES NA TURQUIA E NA RÚSSIA.</t>
        </is>
      </c>
      <c r="J1641" t="inlineStr"/>
      <c r="K1641" t="n">
        <v>0</v>
      </c>
      <c r="L1641" t="n">
        <v>2</v>
      </c>
      <c r="M1641" t="n">
        <v>0</v>
      </c>
      <c r="N1641" t="n">
        <v>0</v>
      </c>
      <c r="O1641" t="n">
        <v>5</v>
      </c>
      <c r="P1641">
        <f>HYPERLINK("https://g1.globo.com/mundo/noticia/2019/03/08/ministro-venezuelano-e-acusado-de-narcotrafico-nos-estados-unidos.ghtml", "URL")</f>
        <v/>
      </c>
      <c r="Q1641">
        <f>HYPERLINK("https://raw.githubusercontent.com/marcosmapl/dataset_imigrantes/main/materias_filtered/g1/venezuelanos/2019/02_mar/html/g1_e19805a8-231b-11ed-b24f-6dbe51e79fca_3413.html", "HTML")</f>
        <v/>
      </c>
      <c r="R1641">
        <f>HYPERLINK("https://raw.githubusercontent.com/marcosmapl/dataset_imigrantes/main/materias_filtered/g1/venezuelanos/2019/02_mar/txt/g1_e19805a8-231b-11ed-b24f-6dbe51e79fca_3413.txt", "TXT")</f>
        <v/>
      </c>
    </row>
    <row r="1642">
      <c r="A1642" s="1" t="n">
        <v>1640</v>
      </c>
      <c r="B1642" t="n">
        <v>2019</v>
      </c>
      <c r="C1642" s="2" t="n">
        <v>43532.79872685186</v>
      </c>
      <c r="D1642" t="inlineStr">
        <is>
          <t>A CRITICA</t>
        </is>
      </c>
      <c r="E1642" t="inlineStr">
        <is>
          <t>VENEZUELANOS</t>
        </is>
      </c>
      <c r="F1642" t="inlineStr">
        <is>
          <t>POLICIA</t>
        </is>
      </c>
      <c r="G1642" t="inlineStr">
        <is>
          <t>FÁBIO OLIVEIRA</t>
        </is>
      </c>
      <c r="H1642" t="inlineStr">
        <is>
          <t>EMPRESÁRIO É PRESO APÓS AGREDIR ESPOSA VENEZUELANA COM MOLHO DE CHAVES</t>
        </is>
      </c>
      <c r="I1642" t="inlineStr">
        <is>
          <t>AGRESSOR CONVIVIA COM A MULHER NO BAIRRO CIDADE NOVA MESMO COM UMA MEDIDA PROTETIVA CONTRA ELE. EM MENSAGENS A VÍTIMA, HOMEM DISSE QUE NÃO TERIA PENA DE MATÁ-LA</t>
        </is>
      </c>
      <c r="J1642" t="inlineStr"/>
      <c r="K1642" t="n">
        <v>0</v>
      </c>
      <c r="L1642" t="n">
        <v>1</v>
      </c>
      <c r="M1642" t="n">
        <v>0</v>
      </c>
      <c r="N1642" t="n">
        <v>0</v>
      </c>
      <c r="O1642" t="n">
        <v>0</v>
      </c>
      <c r="P1642">
        <f>HYPERLINK("https://www.acritica.com/policia/empresario-e-preso-apos-agredir-esposa-venezuelana-com-molho-de-chaves-1.73538", "URL")</f>
        <v/>
      </c>
      <c r="Q1642">
        <f>HYPERLINK("https://raw.githubusercontent.com/marcosmapl/dataset_imigrantes/main/materias_filtered/a_critica/venezuelanos/2019/02_mar/html/1.73538_560.html", "HTML")</f>
        <v/>
      </c>
      <c r="R1642">
        <f>HYPERLINK("https://raw.githubusercontent.com/marcosmapl/dataset_imigrantes/main/materias_filtered/a_critica/venezuelanos/2019/02_mar/txt/1.73538_560.txt", "TXT")</f>
        <v/>
      </c>
    </row>
    <row r="1643">
      <c r="A1643" s="1" t="n">
        <v>1641</v>
      </c>
      <c r="B1643" t="n">
        <v>2019</v>
      </c>
      <c r="C1643" s="2" t="n">
        <v>43532.73950231481</v>
      </c>
      <c r="D1643" t="inlineStr">
        <is>
          <t>A CRITICA</t>
        </is>
      </c>
      <c r="E1643" t="inlineStr">
        <is>
          <t>VENEZUELANOS</t>
        </is>
      </c>
      <c r="F1643" t="inlineStr"/>
      <c r="G1643" t="inlineStr">
        <is>
          <t>ACRÍTICA.COM</t>
        </is>
      </c>
      <c r="H1643" t="inlineStr">
        <is>
          <t>EM QUATRO ANOS, ONU REGISTRA MAIS DE 400 MIL PEDIDOS DE REFÚGIO DE VENEZUELANOS</t>
        </is>
      </c>
      <c r="I1643" t="inlineStr">
        <is>
          <t>SOMENTE EM 2018, NÚMERO DE PEDIDOS SUBIU 60% E CHEGOU A 248 MIL NO MUNDO, INFORMOU A AGÊNCIA DA ONU PARA REFUGIADOS (ACNUR). DOIS TERÇOS FORAM FEITOS EM PAÍSES NA AMÉRICA LATINA</t>
        </is>
      </c>
      <c r="J1643" t="inlineStr"/>
      <c r="K1643" t="n">
        <v>0</v>
      </c>
      <c r="L1643" t="n">
        <v>1</v>
      </c>
      <c r="M1643" t="n">
        <v>0</v>
      </c>
      <c r="N1643" t="n">
        <v>0</v>
      </c>
      <c r="O1643" t="n">
        <v>0</v>
      </c>
      <c r="P1643">
        <f>HYPERLINK("https://www.acritica.com/em-quatro-anos-onu-registra-mais-de-400-mil-pedidos-de-refugio-de-venezuelanos-1.73434", "URL")</f>
        <v/>
      </c>
      <c r="Q1643">
        <f>HYPERLINK("https://raw.githubusercontent.com/marcosmapl/dataset_imigrantes/main/materias_filtered/a_critica/venezuelanos/2019/02_mar/html/1.73434_107.html", "HTML")</f>
        <v/>
      </c>
      <c r="R1643">
        <f>HYPERLINK("https://raw.githubusercontent.com/marcosmapl/dataset_imigrantes/main/materias_filtered/a_critica/venezuelanos/2019/02_mar/txt/1.73434_107.txt", "TXT")</f>
        <v/>
      </c>
    </row>
    <row r="1644">
      <c r="A1644" s="1" t="n">
        <v>1642</v>
      </c>
      <c r="B1644" t="n">
        <v>2019</v>
      </c>
      <c r="C1644" s="2" t="n">
        <v>43532.65277777778</v>
      </c>
      <c r="D1644" t="inlineStr">
        <is>
          <t>A CRITICA</t>
        </is>
      </c>
      <c r="E1644" t="inlineStr">
        <is>
          <t>VENEZUELANOS</t>
        </is>
      </c>
      <c r="F1644" t="inlineStr">
        <is>
          <t>MANAUS</t>
        </is>
      </c>
      <c r="G1644" t="inlineStr">
        <is>
          <t>ACRÍTICA.COM</t>
        </is>
      </c>
      <c r="H1644" t="inlineStr">
        <is>
          <t>MODELO AMAZONENSE ESFAQUEADA NO CARNAVAL COMPLETA 12 DIAS INTERNADA; QUADRO É ESTÁVEL</t>
        </is>
      </c>
      <c r="I1644" t="inlineStr">
        <is>
          <t>SEGUNDO HOSPITAL, MABEL CRISTINA OLIVEIRA DOS SANTOS SEGUE NA UTI, ACORDADA E RESPIRANDO ESPONTANEAMENTE</t>
        </is>
      </c>
      <c r="J1644" t="inlineStr"/>
      <c r="K1644" t="n">
        <v>0</v>
      </c>
      <c r="L1644" t="n">
        <v>1</v>
      </c>
      <c r="M1644" t="n">
        <v>0</v>
      </c>
      <c r="N1644" t="n">
        <v>0</v>
      </c>
      <c r="O1644" t="n">
        <v>1</v>
      </c>
      <c r="P1644">
        <f>HYPERLINK("https://www.acritica.com/manaus/modelo-amazonense-esfaqueada-no-carnaval-completa-12-dias-internada-quadro-e-estavel-1.73462", "URL")</f>
        <v/>
      </c>
      <c r="Q1644">
        <f>HYPERLINK("https://raw.githubusercontent.com/marcosmapl/dataset_imigrantes/main/materias_filtered/a_critica/venezuelanos/2019/02_mar/html/1.73462_1266.html", "HTML")</f>
        <v/>
      </c>
      <c r="R1644">
        <f>HYPERLINK("https://raw.githubusercontent.com/marcosmapl/dataset_imigrantes/main/materias_filtered/a_critica/venezuelanos/2019/02_mar/txt/1.73462_1266.txt", "TXT")</f>
        <v/>
      </c>
    </row>
    <row r="1645">
      <c r="A1645" s="1" t="n">
        <v>1643</v>
      </c>
      <c r="B1645" t="n">
        <v>2019</v>
      </c>
      <c r="C1645" s="2" t="n">
        <v>43532.55700635417</v>
      </c>
      <c r="D1645" t="inlineStr">
        <is>
          <t>G1</t>
        </is>
      </c>
      <c r="E1645" t="inlineStr">
        <is>
          <t>VENEZUELANOS</t>
        </is>
      </c>
      <c r="F1645" t="inlineStr">
        <is>
          <t>PARÁ</t>
        </is>
      </c>
      <c r="G1645" t="inlineStr">
        <is>
          <t>G1 PA — BELÉM</t>
        </is>
      </c>
      <c r="H1645" t="inlineStr">
        <is>
          <t>CINCO CRIANÇAS VENEZUELANAS MORREM VÍTIMAS DE PNEUMONIA EM BELÉM; ESPECIALISTA ALERTA PARA CUIDADOS NO PERÍODO CHUVOSO</t>
        </is>
      </c>
      <c r="I1645" t="inlineStr">
        <is>
          <t>ÚLTIMA VÍTIMA FOI UMA CRIANÇA DE 11 MESES DA ETNIA WARAO, QUE MORREU NA TERÇA-FEIRA (5). A CRIANÇA MORAVA EM UM ABRIGO IMPROVISADO NO BAIRRO DA CAMPINA.</t>
        </is>
      </c>
      <c r="J1645" t="inlineStr"/>
      <c r="K1645" t="n">
        <v>0</v>
      </c>
      <c r="L1645" t="n">
        <v>2</v>
      </c>
      <c r="M1645" t="n">
        <v>1</v>
      </c>
      <c r="N1645" t="n">
        <v>0</v>
      </c>
      <c r="O1645" t="n">
        <v>1</v>
      </c>
      <c r="P1645">
        <f>HYPERLINK("https://g1.globo.com/pa/para/noticia/2019/03/08/cinco-criancas-venezuelanas-morreram-vitimas-de-pneumonia-em-belem-especialista-alerta-para-cuidados-no-periodo-chuvoso.ghtml", "URL")</f>
        <v/>
      </c>
      <c r="Q1645">
        <f>HYPERLINK("https://raw.githubusercontent.com/marcosmapl/dataset_imigrantes/main/materias_filtered/g1/venezuelanos/2019/02_mar/html/g1_d787feb0-230c-11ed-b24f-6dbe51e79fca_2651.html", "HTML")</f>
        <v/>
      </c>
      <c r="R1645">
        <f>HYPERLINK("https://raw.githubusercontent.com/marcosmapl/dataset_imigrantes/main/materias_filtered/g1/venezuelanos/2019/02_mar/txt/g1_d787feb0-230c-11ed-b24f-6dbe51e79fca_2651.txt", "TXT")</f>
        <v/>
      </c>
    </row>
    <row r="1646">
      <c r="A1646" s="1" t="n">
        <v>1644</v>
      </c>
      <c r="B1646" t="n">
        <v>2019</v>
      </c>
      <c r="C1646" s="2" t="n">
        <v>43532.52435752315</v>
      </c>
      <c r="D1646" t="inlineStr">
        <is>
          <t>G1</t>
        </is>
      </c>
      <c r="E1646" t="inlineStr">
        <is>
          <t>VENEZUELANOS</t>
        </is>
      </c>
      <c r="F1646" t="inlineStr">
        <is>
          <t>MUNDO</t>
        </is>
      </c>
      <c r="G1646" t="inlineStr">
        <is>
          <t>G1</t>
        </is>
      </c>
      <c r="H1646" t="inlineStr">
        <is>
          <t>BLECAUTE CONTINUA NA VENEZUELA;  GOVERNO FECHA ESCOLAS E DISPENSA TRABALHADORES</t>
        </is>
      </c>
      <c r="I1646" t="inlineStr">
        <is>
          <t>PROBLEMA QUE ATINGIU A PRINCIPAL USINA HIDRELÉTRICA VENEZUELANA NA QUINTA-FEIRA JÁ DEIXA PARTE DO PAÍS SEM ENERGIA ELÉTRICA HÁ MAIS DE 15 HORAS.</t>
        </is>
      </c>
      <c r="J1646" t="inlineStr"/>
      <c r="K1646" t="n">
        <v>0</v>
      </c>
      <c r="L1646" t="n">
        <v>1</v>
      </c>
      <c r="M1646" t="n">
        <v>0</v>
      </c>
      <c r="N1646" t="n">
        <v>0</v>
      </c>
      <c r="O1646" t="n">
        <v>2</v>
      </c>
      <c r="P1646">
        <f>HYPERLINK("https://g1.globo.com/mundo/noticia/2019/03/08/blecaute-continua-na-venezuela-governo-fecha-escolas-e-dispensa-trabalhadores.ghtml", "URL")</f>
        <v/>
      </c>
      <c r="Q1646">
        <f>HYPERLINK("https://raw.githubusercontent.com/marcosmapl/dataset_imigrantes/main/materias_filtered/g1/venezuelanos/2019/02_mar/html/g1_5c4b629e-232c-11ed-b24f-6dbe51e79fca_4300.html", "HTML")</f>
        <v/>
      </c>
      <c r="R1646">
        <f>HYPERLINK("https://raw.githubusercontent.com/marcosmapl/dataset_imigrantes/main/materias_filtered/g1/venezuelanos/2019/02_mar/txt/g1_5c4b629e-232c-11ed-b24f-6dbe51e79fca_4300.txt", "TXT")</f>
        <v/>
      </c>
    </row>
    <row r="1647">
      <c r="A1647" s="1" t="n">
        <v>1645</v>
      </c>
      <c r="B1647" t="n">
        <v>2019</v>
      </c>
      <c r="C1647" s="2" t="n">
        <v>43532.51111111111</v>
      </c>
      <c r="D1647" t="inlineStr">
        <is>
          <t>A CRITICA</t>
        </is>
      </c>
      <c r="E1647" t="inlineStr">
        <is>
          <t>VENEZUELANOS</t>
        </is>
      </c>
      <c r="F1647" t="inlineStr"/>
      <c r="G1647" t="inlineStr">
        <is>
          <t>GILBERTO COSTA -  AGÊNCIA BRASIL</t>
        </is>
      </c>
      <c r="H1647" t="inlineStr">
        <is>
          <t>FECHAMENTO DE FRONTEIRA COM A VENEZUELA PARALISA COMÉRCIO EM PACARAIMA</t>
        </is>
      </c>
      <c r="I1647" t="inlineStr">
        <is>
          <t>OS COMERCIANTES E A POPULAÇÃO PERDERAM ACESSO AOS POSTOS DE COMBUSTÍVEIS NA VENEZUELA. NÃO HÁ POSTOS NA CIDADE FRONTEIRIÇA BRASILEIRA</t>
        </is>
      </c>
      <c r="J1647" t="inlineStr"/>
      <c r="K1647" t="n">
        <v>0</v>
      </c>
      <c r="L1647" t="n">
        <v>1</v>
      </c>
      <c r="M1647" t="n">
        <v>0</v>
      </c>
      <c r="N1647" t="n">
        <v>0</v>
      </c>
      <c r="O1647" t="n">
        <v>0</v>
      </c>
      <c r="P1647">
        <f>HYPERLINK("https://www.acritica.com/fechamento-de-fronteira-com-a-venezuela-paralisa-comercio-em-pacaraima-1.73523", "URL")</f>
        <v/>
      </c>
      <c r="Q1647">
        <f>HYPERLINK("https://raw.githubusercontent.com/marcosmapl/dataset_imigrantes/main/materias_filtered/a_critica/venezuelanos/2019/02_mar/html/1.73523_606.html", "HTML")</f>
        <v/>
      </c>
      <c r="R1647">
        <f>HYPERLINK("https://raw.githubusercontent.com/marcosmapl/dataset_imigrantes/main/materias_filtered/a_critica/venezuelanos/2019/02_mar/txt/1.73523_606.txt", "TXT")</f>
        <v/>
      </c>
    </row>
    <row r="1648">
      <c r="A1648" s="1" t="n">
        <v>1646</v>
      </c>
      <c r="B1648" t="n">
        <v>2019</v>
      </c>
      <c r="C1648" s="2" t="n">
        <v>43532.49930555555</v>
      </c>
      <c r="D1648" t="inlineStr">
        <is>
          <t>PORTAL AMAZONIA</t>
        </is>
      </c>
      <c r="E1648" t="inlineStr">
        <is>
          <t>VENEZUELANOS</t>
        </is>
      </c>
      <c r="F1648" t="inlineStr">
        <is>
          <t>CIDADES</t>
        </is>
      </c>
      <c r="G1648" t="inlineStr">
        <is>
          <t>REDAÇÃO</t>
        </is>
      </c>
      <c r="H1648" t="inlineStr">
        <is>
          <t>PACARAIMA TEM COMÉRCIO PREJUDICADO DEVIDO FECHAMENTO DA FRONTEIRA</t>
        </is>
      </c>
      <c r="I1648" t="inlineStr">
        <is>
          <t>O FECHAMENTO DA FRONTEIRA COM O BRASIL DETERMINADA PELO PRESIDENTE DA VENEZUELA, NICOLÁS MADURO, NO DIA 21 DE FEVEREIRO, ESTÁ IMPACTANDO A ECONOMIA DE PACARAIMA (RR), CUJO O COMÉRCIO ATENDE A POPULAÇÃO DO SUDESTE DO PAÍS VIZINHO, EM ESPECIAL DE SANTA</t>
        </is>
      </c>
      <c r="J1648" t="inlineStr">
        <is>
          <t>COMÉRCIO, FRONTEIRA VENEZUELA FECHADA, PACARAIMA, RORAIMA, VENEZUELA</t>
        </is>
      </c>
      <c r="K1648" t="n">
        <v>5</v>
      </c>
      <c r="L1648" t="n">
        <v>2</v>
      </c>
      <c r="M1648" t="n">
        <v>0</v>
      </c>
      <c r="N1648" t="n">
        <v>0</v>
      </c>
      <c r="O1648" t="n">
        <v>10</v>
      </c>
      <c r="P1648">
        <f>HYPERLINK("https://portalamazonia.com/noticias/cidades/pacaraima-tem-comercio-prejudicado-devido-fechamento-da-fronteira", "URL")</f>
        <v/>
      </c>
      <c r="Q1648">
        <f>HYPERLINK("https://raw.githubusercontent.com/marcosmapl/dataset_imigrantes/main/materias_filtered/portal_amazonia/venezuelanos/2019/02_mar/html/17267.17267_1500.html", "HTML")</f>
        <v/>
      </c>
      <c r="R1648">
        <f>HYPERLINK("https://raw.githubusercontent.com/marcosmapl/dataset_imigrantes/main/materias_filtered/portal_amazonia/venezuelanos/2019/02_mar/txt/17267.17267_1500.txt", "TXT")</f>
        <v/>
      </c>
    </row>
    <row r="1649">
      <c r="A1649" s="1" t="n">
        <v>1647</v>
      </c>
      <c r="B1649" t="n">
        <v>2019</v>
      </c>
      <c r="C1649" s="2" t="n">
        <v>43531.95625</v>
      </c>
      <c r="D1649" t="inlineStr">
        <is>
          <t>A CRITICA</t>
        </is>
      </c>
      <c r="E1649" t="inlineStr">
        <is>
          <t>VENEZUELANOS</t>
        </is>
      </c>
      <c r="F1649" t="inlineStr">
        <is>
          <t>MANAUS</t>
        </is>
      </c>
      <c r="G1649" t="inlineStr">
        <is>
          <t>PAULO ANDRÉ NUNES</t>
        </is>
      </c>
      <c r="H1649" t="inlineStr">
        <is>
          <t>HISTÓRIAS, OBJETIVOS, CONQUISTAS E LUTAS QUE PERSONIFICAM A GARRA DAS MULHERES NO AM</t>
        </is>
      </c>
      <c r="I1649" t="inlineStr">
        <is>
          <t>A CORAGEM E O SANGUE-FRIO ESTÃO INCLUÍDOS NO “PACOTE” DA VIDA PARALELO A SENSIBILIDADE DE MULHERES QUE BUSCAM SEMPRE O PRIMOR EM SUAS VIDAS; ACOMPANHE ALGUMAS DESSAS GUERREIRAS</t>
        </is>
      </c>
      <c r="J1649" t="inlineStr"/>
      <c r="K1649" t="n">
        <v>0</v>
      </c>
      <c r="L1649" t="n">
        <v>1</v>
      </c>
      <c r="M1649" t="n">
        <v>0</v>
      </c>
      <c r="N1649" t="n">
        <v>0</v>
      </c>
      <c r="O1649" t="n">
        <v>0</v>
      </c>
      <c r="P1649">
        <f>HYPERLINK("https://www.acritica.com/manaus/historias-objetivos-conquistas-e-lutas-que-personificam-a-garra-das-mulheres-no-am-1.72410", "URL")</f>
        <v/>
      </c>
      <c r="Q1649">
        <f>HYPERLINK("https://raw.githubusercontent.com/marcosmapl/dataset_imigrantes/main/materias_filtered/a_critica/venezuelanos/2019/02_mar/html/1.72410_231.html", "HTML")</f>
        <v/>
      </c>
      <c r="R1649">
        <f>HYPERLINK("https://raw.githubusercontent.com/marcosmapl/dataset_imigrantes/main/materias_filtered/a_critica/venezuelanos/2019/02_mar/txt/1.72410_231.txt", "TXT")</f>
        <v/>
      </c>
    </row>
    <row r="1650">
      <c r="A1650" s="1" t="n">
        <v>1648</v>
      </c>
      <c r="B1650" t="n">
        <v>2019</v>
      </c>
      <c r="C1650" s="2" t="n">
        <v>43531.53111111111</v>
      </c>
      <c r="D1650" t="inlineStr">
        <is>
          <t>A CRITICA</t>
        </is>
      </c>
      <c r="E1650" t="inlineStr">
        <is>
          <t>VENEZUELANOS</t>
        </is>
      </c>
      <c r="F1650" t="inlineStr"/>
      <c r="G1650" t="inlineStr">
        <is>
          <t>AGÊNCIA BRASIL*</t>
        </is>
      </c>
      <c r="H1650" t="inlineStr">
        <is>
          <t>GUAIDÓ PEDE À EUROPA QUE INTENSIFIQUE SANÇÕES CONTRA REGIME DE MADURO</t>
        </is>
      </c>
      <c r="I1650" t="inlineStr">
        <is>
          <t>PEDIDO OCORRE EMBAIXADOR DA ALEMANHA NO PAÍS TER SIDO EXPULSO. “OS PAÍSES EUROPEUS DEVEM REFORÇAR AS SANÇÕES ECONÔMICAS CONTRA O REGIME”, DISSE GUAIDÓ</t>
        </is>
      </c>
      <c r="J1650" t="inlineStr"/>
      <c r="K1650" t="n">
        <v>0</v>
      </c>
      <c r="L1650" t="n">
        <v>1</v>
      </c>
      <c r="M1650" t="n">
        <v>0</v>
      </c>
      <c r="N1650" t="n">
        <v>0</v>
      </c>
      <c r="O1650" t="n">
        <v>0</v>
      </c>
      <c r="P1650">
        <f>HYPERLINK("https://www.acritica.com/guaido-pede-a-europa-que-intensifique-sanc-es-contra-regime-de-maduro-1.72442", "URL")</f>
        <v/>
      </c>
      <c r="Q1650">
        <f>HYPERLINK("https://raw.githubusercontent.com/marcosmapl/dataset_imigrantes/main/materias_filtered/a_critica/venezuelanos/2019/02_mar/html/1.72442_703.html", "HTML")</f>
        <v/>
      </c>
      <c r="R1650">
        <f>HYPERLINK("https://raw.githubusercontent.com/marcosmapl/dataset_imigrantes/main/materias_filtered/a_critica/venezuelanos/2019/02_mar/txt/1.72442_703.txt", "TXT")</f>
        <v/>
      </c>
    </row>
    <row r="1651">
      <c r="A1651" s="1" t="n">
        <v>1649</v>
      </c>
      <c r="B1651" t="n">
        <v>2019</v>
      </c>
      <c r="C1651" s="2" t="n">
        <v>43530.50208333333</v>
      </c>
      <c r="D1651" t="inlineStr">
        <is>
          <t>A CRITICA</t>
        </is>
      </c>
      <c r="E1651" t="inlineStr">
        <is>
          <t>VENEZUELANOS</t>
        </is>
      </c>
      <c r="F1651" t="inlineStr"/>
      <c r="G1651" t="inlineStr">
        <is>
          <t>AGÊNCIA BRASIL</t>
        </is>
      </c>
      <c r="H1651" t="inlineStr">
        <is>
          <t>GUAIDÓ E MADURO CONVOCAM MANIFESTAÇÕES PARA SÁBADO (9) NA VENEZUELA</t>
        </is>
      </c>
      <c r="I1651" t="inlineStr">
        <is>
          <t>ONTEM (5), GUAIDÓ SE REUNIU COM LÍDERES SINDICALISTAS E REITEROU QUE HAVERÁ MANIFESTAÇÕES EM FAVOR DA RESTAURAÇÃO DA DEMOCRACIA E DA LIBERDADE NA VENEZUELA</t>
        </is>
      </c>
      <c r="J1651" t="inlineStr"/>
      <c r="K1651" t="n">
        <v>0</v>
      </c>
      <c r="L1651" t="n">
        <v>1</v>
      </c>
      <c r="M1651" t="n">
        <v>0</v>
      </c>
      <c r="N1651" t="n">
        <v>0</v>
      </c>
      <c r="O1651" t="n">
        <v>0</v>
      </c>
      <c r="P1651">
        <f>HYPERLINK("https://www.acritica.com/guaido-e-maduro-convocam-manifestac-es-para-sabado-9-na-venezuela-1.73593", "URL")</f>
        <v/>
      </c>
      <c r="Q1651">
        <f>HYPERLINK("https://raw.githubusercontent.com/marcosmapl/dataset_imigrantes/main/materias_filtered/a_critica/venezuelanos/2019/02_mar/html/1.73593_602.html", "HTML")</f>
        <v/>
      </c>
      <c r="R1651">
        <f>HYPERLINK("https://raw.githubusercontent.com/marcosmapl/dataset_imigrantes/main/materias_filtered/a_critica/venezuelanos/2019/02_mar/txt/1.73593_602.txt", "TXT")</f>
        <v/>
      </c>
    </row>
    <row r="1652">
      <c r="A1652" s="1" t="n">
        <v>1650</v>
      </c>
      <c r="B1652" t="n">
        <v>2019</v>
      </c>
      <c r="C1652" s="2" t="n">
        <v>43529.50397497685</v>
      </c>
      <c r="D1652" t="inlineStr">
        <is>
          <t>G1</t>
        </is>
      </c>
      <c r="E1652" t="inlineStr">
        <is>
          <t>VENEZUELANOS</t>
        </is>
      </c>
      <c r="F1652" t="inlineStr">
        <is>
          <t>RORAIMA</t>
        </is>
      </c>
      <c r="G1652" t="inlineStr">
        <is>
          <t>JACKSON FÉLIX, EMILY COSTA E ALAN CHAVES, G1 RR</t>
        </is>
      </c>
      <c r="H1652" t="inlineStr">
        <is>
          <t>EM PACARAIMA, FRONTEIRA COM A VENEZUELA AMANHECE FECHADA PELO 12º DIA</t>
        </is>
      </c>
      <c r="I1652" t="inlineStr">
        <is>
          <t>COMERCIANTES ENFRENTAM PROBLEMAS COM QUEDA NAS VENDAS; CRIANÇAS VENEZUELANAS QUE ESTUDAM NA CIDADE BRASILEIRA CORREM O RISCO DE PERDER O INÍCIO DAS AULAS, MARCADO PARA A QUINTA-FEIRA (7).</t>
        </is>
      </c>
      <c r="J1652" t="inlineStr"/>
      <c r="K1652" t="n">
        <v>0</v>
      </c>
      <c r="L1652" t="n">
        <v>2</v>
      </c>
      <c r="M1652" t="n">
        <v>0</v>
      </c>
      <c r="N1652" t="n">
        <v>0</v>
      </c>
      <c r="O1652" t="n">
        <v>11</v>
      </c>
      <c r="P1652">
        <f>HYPERLINK("https://g1.globo.com/rr/roraima/noticia/2019/03/05/em-pacaraima-fronteira-com-a-venezuela-amanhece-fechada-pelo-12o-dia.ghtml", "URL")</f>
        <v/>
      </c>
      <c r="Q1652">
        <f>HYPERLINK("https://raw.githubusercontent.com/marcosmapl/dataset_imigrantes/main/materias_filtered/g1/venezuelanos/2019/02_mar/html/g1_8dd1a530-2313-11ed-b24f-6dbe51e79fca_3014.html", "HTML")</f>
        <v/>
      </c>
      <c r="R1652">
        <f>HYPERLINK("https://raw.githubusercontent.com/marcosmapl/dataset_imigrantes/main/materias_filtered/g1/venezuelanos/2019/02_mar/txt/g1_8dd1a530-2313-11ed-b24f-6dbe51e79fca_3014.txt", "TXT")</f>
        <v/>
      </c>
    </row>
    <row r="1653">
      <c r="A1653" s="1" t="n">
        <v>1651</v>
      </c>
      <c r="B1653" t="n">
        <v>2019</v>
      </c>
      <c r="C1653" s="2" t="n">
        <v>43528.68575231481</v>
      </c>
      <c r="D1653" t="inlineStr">
        <is>
          <t>A CRITICA</t>
        </is>
      </c>
      <c r="E1653" t="inlineStr">
        <is>
          <t>VENEZUELANOS</t>
        </is>
      </c>
      <c r="F1653" t="inlineStr"/>
      <c r="G1653" t="inlineStr">
        <is>
          <t>AGÊNCIA BRASIL</t>
        </is>
      </c>
      <c r="H1653" t="inlineStr">
        <is>
          <t>NICOLÁS MADURO ANALISA ADOTAR MEDIDAS LEGAIS CONTRA JUAN GUAIDÓ NA VENEZUELA</t>
        </is>
      </c>
      <c r="I1653" t="inlineStr">
        <is>
          <t>GUAIDÓ SE AUTODECLARA PRESIDENTE INTERINO DA VENEZUELA. SEGUNDO A VICE-PRESIDENTE DO PAÍS, DELCY RODRÍGUEZ, SERÃO AVALIADAS QUE MEDIDAS DEVERÃO SER ADOTADAS</t>
        </is>
      </c>
      <c r="J1653" t="inlineStr"/>
      <c r="K1653" t="n">
        <v>0</v>
      </c>
      <c r="L1653" t="n">
        <v>1</v>
      </c>
      <c r="M1653" t="n">
        <v>0</v>
      </c>
      <c r="N1653" t="n">
        <v>0</v>
      </c>
      <c r="O1653" t="n">
        <v>0</v>
      </c>
      <c r="P1653">
        <f>HYPERLINK("https://www.acritica.com/nicolas-maduro-analisa-adotar-medidas-legais-contra-juan-guaido-na-venezuela-1.73633", "URL")</f>
        <v/>
      </c>
      <c r="Q1653">
        <f>HYPERLINK("https://raw.githubusercontent.com/marcosmapl/dataset_imigrantes/main/materias_filtered/a_critica/venezuelanos/2019/02_mar/html/1.73633_1262.html", "HTML")</f>
        <v/>
      </c>
      <c r="R1653">
        <f>HYPERLINK("https://raw.githubusercontent.com/marcosmapl/dataset_imigrantes/main/materias_filtered/a_critica/venezuelanos/2019/02_mar/txt/1.73633_1262.txt", "TXT")</f>
        <v/>
      </c>
    </row>
    <row r="1654">
      <c r="A1654" s="1" t="n">
        <v>1652</v>
      </c>
      <c r="B1654" t="n">
        <v>2019</v>
      </c>
      <c r="C1654" s="2" t="n">
        <v>43528.6265653588</v>
      </c>
      <c r="D1654" t="inlineStr">
        <is>
          <t>G1</t>
        </is>
      </c>
      <c r="E1654" t="inlineStr">
        <is>
          <t>AMBOS</t>
        </is>
      </c>
      <c r="F1654" t="inlineStr">
        <is>
          <t>MUNDO</t>
        </is>
      </c>
      <c r="G1654" t="inlineStr">
        <is>
          <t>BBC</t>
        </is>
      </c>
      <c r="H1654" t="inlineStr">
        <is>
          <t>CRISE NA VENEZUELA: AS INTERVENÇÕES MILITARES DOS EUA NA AMÉRICA LATINA QUE LEVARAM A MUDANÇA DE GOVERNO</t>
        </is>
      </c>
      <c r="I1654" t="inlineStr">
        <is>
          <t>PRESIDENTE AMERICANO, DONALD TRUMP, NÃO DESCARTA OPÇÃO MILITAR NA VENEZUELA, APESAR DA OPOSIÇÃO DA MAIORIA DOS PAÍSES DA AMÉRICA LATINA, ONDE ESPECTRO DAS INTERVENÇÕES DE WASHINGTON NO PASSADO CONTINUA PRESENTE.</t>
        </is>
      </c>
      <c r="J1654" t="inlineStr"/>
      <c r="K1654" t="n">
        <v>0</v>
      </c>
      <c r="L1654" t="n">
        <v>2</v>
      </c>
      <c r="M1654" t="n">
        <v>0</v>
      </c>
      <c r="N1654" t="n">
        <v>0</v>
      </c>
      <c r="O1654" t="n">
        <v>8</v>
      </c>
      <c r="P1654">
        <f>HYPERLINK("https://g1.globo.com/mundo/noticia/2019/03/04/crise-na-venezuela-as-intervencoes-militares-dos-eua-na-america-latina-que-levaram-a-mudanca-de-governo.ghtml", "URL")</f>
        <v/>
      </c>
      <c r="Q1654">
        <f>HYPERLINK("https://raw.githubusercontent.com/marcosmapl/dataset_imigrantes/main/materias_filtered/g1/ambos/2019/02_mar/html/g1_6fe2b238-231a-11ed-b24f-6dbe51e79fca_3335.html", "HTML")</f>
        <v/>
      </c>
      <c r="R1654">
        <f>HYPERLINK("https://raw.githubusercontent.com/marcosmapl/dataset_imigrantes/main/materias_filtered/g1/ambos/2019/02_mar/txt/g1_6fe2b238-231a-11ed-b24f-6dbe51e79fca_3335.txt", "TXT")</f>
        <v/>
      </c>
    </row>
    <row r="1655">
      <c r="A1655" s="1" t="n">
        <v>1653</v>
      </c>
      <c r="B1655" t="n">
        <v>2019</v>
      </c>
      <c r="C1655" s="2" t="n">
        <v>43528.58680555555</v>
      </c>
      <c r="D1655" t="inlineStr">
        <is>
          <t>PORTAL AMAZONIA</t>
        </is>
      </c>
      <c r="E1655" t="inlineStr">
        <is>
          <t>VENEZUELANOS</t>
        </is>
      </c>
      <c r="F1655" t="inlineStr">
        <is>
          <t>CIDADES</t>
        </is>
      </c>
      <c r="G1655" t="inlineStr">
        <is>
          <t>REDAÇÃO</t>
        </is>
      </c>
      <c r="H1655" t="inlineStr">
        <is>
          <t>FRONTEIRA FECHADA DO BRASIL COM A VENEZUELA CHEGA AO 11º DIA</t>
        </is>
      </c>
      <c r="I1655" t="inlineStr">
        <is>
          <t>JÁ É O 11º DIA CONSECUTIVO EM QUE A FRONTEIRA DO BRASIL COM A VENEZUELA, NO MUNICÍPIO DE PACARAIMA, EM RORAIMA, ESTÁ FECHADA, CONFORME ORIENTAÇÕES DO PRESIDENTE NICOLÁS MADURO. AS INFORMAÇÕES SÃO DO G1 RORAIMA.FOTO: ALAN CHAVES/REDE AMAZÔNICAESTÃO SE</t>
        </is>
      </c>
      <c r="J1655" t="inlineStr">
        <is>
          <t>FRONTEIRA VENEZUELA FECHADA, JUAN GUAIDO, PACARAIMA, VENEZUELA</t>
        </is>
      </c>
      <c r="K1655" t="n">
        <v>4</v>
      </c>
      <c r="L1655" t="n">
        <v>2</v>
      </c>
      <c r="M1655" t="n">
        <v>0</v>
      </c>
      <c r="N1655" t="n">
        <v>0</v>
      </c>
      <c r="O1655" t="n">
        <v>9</v>
      </c>
      <c r="P1655">
        <f>HYPERLINK("https://portalamazonia.com/noticias/cidades/fronteira-fechada-do-brasil-com-a-venezuela-chega-ao-11-dia", "URL")</f>
        <v/>
      </c>
      <c r="Q1655">
        <f>HYPERLINK("https://raw.githubusercontent.com/marcosmapl/dataset_imigrantes/main/materias_filtered/portal_amazonia/venezuelanos/2019/02_mar/html/17219.17219_1396.html", "HTML")</f>
        <v/>
      </c>
      <c r="R1655">
        <f>HYPERLINK("https://raw.githubusercontent.com/marcosmapl/dataset_imigrantes/main/materias_filtered/portal_amazonia/venezuelanos/2019/02_mar/txt/17219.17219_1396.txt", "TXT")</f>
        <v/>
      </c>
    </row>
    <row r="1656">
      <c r="A1656" s="1" t="n">
        <v>1654</v>
      </c>
      <c r="B1656" t="n">
        <v>2019</v>
      </c>
      <c r="C1656" s="2" t="n">
        <v>43528.51116898148</v>
      </c>
      <c r="D1656" t="inlineStr">
        <is>
          <t>A CRITICA</t>
        </is>
      </c>
      <c r="E1656" t="inlineStr">
        <is>
          <t>VENEZUELANOS</t>
        </is>
      </c>
      <c r="F1656" t="inlineStr"/>
      <c r="G1656" t="inlineStr">
        <is>
          <t>AGÊNCIA BRASIL</t>
        </is>
      </c>
      <c r="H1656" t="inlineStr">
        <is>
          <t>EM TRANSMISSÃO AO VIVO, GUAIDÓ PROMETE RETORNAR À VENEZUELA A QUALQUER MOMENTO</t>
        </is>
      </c>
      <c r="I1656" t="inlineStr">
        <is>
          <t>O AUTODECLARADO PRESIDENTE INTERINO DO PAÍS, JUAN GUAIDÓ, CONVOCOU A POPULAÇÃO PARA MOBILIZAÇÃO NACIONAL HOJE (4) A PARTIR DAS 11H, MEIO-DIA EM BRASÍLIA</t>
        </is>
      </c>
      <c r="J1656" t="inlineStr"/>
      <c r="K1656" t="n">
        <v>0</v>
      </c>
      <c r="L1656" t="n">
        <v>1</v>
      </c>
      <c r="M1656" t="n">
        <v>0</v>
      </c>
      <c r="N1656" t="n">
        <v>0</v>
      </c>
      <c r="O1656" t="n">
        <v>0</v>
      </c>
      <c r="P1656">
        <f>HYPERLINK("https://www.acritica.com/em-transmiss-o-ao-vivo-guaido-promete-retornar-a-venezuela-a-qualquer-momento-1.72471", "URL")</f>
        <v/>
      </c>
      <c r="Q1656">
        <f>HYPERLINK("https://raw.githubusercontent.com/marcosmapl/dataset_imigrantes/main/materias_filtered/a_critica/venezuelanos/2019/02_mar/html/1.72471_881.html", "HTML")</f>
        <v/>
      </c>
      <c r="R1656">
        <f>HYPERLINK("https://raw.githubusercontent.com/marcosmapl/dataset_imigrantes/main/materias_filtered/a_critica/venezuelanos/2019/02_mar/txt/1.72471_881.txt", "TXT")</f>
        <v/>
      </c>
    </row>
    <row r="1657">
      <c r="A1657" s="1" t="n">
        <v>1655</v>
      </c>
      <c r="B1657" t="n">
        <v>2019</v>
      </c>
      <c r="C1657" s="2" t="n">
        <v>43528.46032798611</v>
      </c>
      <c r="D1657" t="inlineStr">
        <is>
          <t>G1</t>
        </is>
      </c>
      <c r="E1657" t="inlineStr">
        <is>
          <t>VENEZUELANOS</t>
        </is>
      </c>
      <c r="F1657" t="inlineStr">
        <is>
          <t>PARAÍBA</t>
        </is>
      </c>
      <c r="G1657" t="inlineStr">
        <is>
          <t>ÉRICA RIBEIRO*, G1 PB</t>
        </is>
      </c>
      <c r="H1657" t="inlineStr">
        <is>
          <t>VENEZUELANO NA PB ADIA MUDANÇA DE NAMORADA PARA O BRASIL APÓS BLOQUEIO DA FRONTEIRA ENTRE PAÍSES</t>
        </is>
      </c>
      <c r="I1657" t="inlineStr">
        <is>
          <t>GLEOMAR AILLON MORA E TRABALHA EM CAMPINA GRANDE. ELE COMPROU PASSAGEM PARA A NAMORADA VIR PARA O BRASIL ACREDITANDO QUE ELA CONSEGUIRIA ATRAVESSAR A FRONTEIRA NO DIA 21 DE FEVEREIRO, MAS A FRONTEIRA FOI FECHADA HORAS ANTES.</t>
        </is>
      </c>
      <c r="J1657" t="inlineStr"/>
      <c r="K1657" t="n">
        <v>0</v>
      </c>
      <c r="L1657" t="n">
        <v>2</v>
      </c>
      <c r="M1657" t="n">
        <v>0</v>
      </c>
      <c r="N1657" t="n">
        <v>0</v>
      </c>
      <c r="O1657" t="n">
        <v>9</v>
      </c>
      <c r="P1657">
        <f>HYPERLINK("https://g1.globo.com/pb/paraiba/noticia/2019/03/04/venezuelano-na-pb-adia-mudanca-de-namorada-para-o-brasil-apos-bloqueio-da-fronteira-entre-paises.ghtml", "URL")</f>
        <v/>
      </c>
      <c r="Q1657">
        <f>HYPERLINK("https://raw.githubusercontent.com/marcosmapl/dataset_imigrantes/main/materias_filtered/g1/venezuelanos/2019/02_mar/html/g1_8ce39bcc-231a-11ed-b24f-6dbe51e79fca_3341.html", "HTML")</f>
        <v/>
      </c>
      <c r="R1657">
        <f>HYPERLINK("https://raw.githubusercontent.com/marcosmapl/dataset_imigrantes/main/materias_filtered/g1/venezuelanos/2019/02_mar/txt/g1_8ce39bcc-231a-11ed-b24f-6dbe51e79fca_3341.txt", "TXT")</f>
        <v/>
      </c>
    </row>
    <row r="1658">
      <c r="A1658" s="1" t="n">
        <v>1656</v>
      </c>
      <c r="B1658" t="n">
        <v>2019</v>
      </c>
      <c r="C1658" s="2" t="n">
        <v>43528.09945987268</v>
      </c>
      <c r="D1658" t="inlineStr">
        <is>
          <t>G1</t>
        </is>
      </c>
      <c r="E1658" t="inlineStr">
        <is>
          <t>HAITIANOS</t>
        </is>
      </c>
      <c r="F1658" t="inlineStr">
        <is>
          <t>CARNAVAL 2019</t>
        </is>
      </c>
      <c r="G1658" t="inlineStr">
        <is>
          <t>G1</t>
        </is>
      </c>
      <c r="H1658" t="inlineStr">
        <is>
          <t>DESFILE DA UNIDOS DO VIRADOURO; VEJA FOTOS</t>
        </is>
      </c>
      <c r="I1658" t="inlineStr">
        <is>
          <t>ESCOLA FOI A SEGUNDA A DESFILAR NA SAPUCAÍ NO PRIMEIRO DIA DO GRUPO ESPECIAL DO RIO.</t>
        </is>
      </c>
      <c r="J1658" t="inlineStr"/>
      <c r="K1658" t="n">
        <v>0</v>
      </c>
      <c r="L1658" t="n">
        <v>3</v>
      </c>
      <c r="M1658" t="n">
        <v>0</v>
      </c>
      <c r="N1658" t="n">
        <v>0</v>
      </c>
      <c r="O1658" t="n">
        <v>12</v>
      </c>
      <c r="P1658">
        <f>HYPERLINK("https://g1.globo.com/rj/rio-de-janeiro/carnaval/2019/noticia/2019/03/03/desfile-da-unidos-do-viradouro-veja-fotos.ghtml", "URL")</f>
        <v/>
      </c>
      <c r="Q1658">
        <f>HYPERLINK("https://raw.githubusercontent.com/marcosmapl/dataset_imigrantes/main/materias_filtered/g1/haitianos/2019/02_mar/html/g1_0fc08238-230e-11ed-b24f-6dbe51e79fca_2718.html", "HTML")</f>
        <v/>
      </c>
      <c r="R1658">
        <f>HYPERLINK("https://raw.githubusercontent.com/marcosmapl/dataset_imigrantes/main/materias_filtered/g1/haitianos/2019/02_mar/txt/g1_0fc08238-230e-11ed-b24f-6dbe51e79fca_2718.txt", "TXT")</f>
        <v/>
      </c>
    </row>
    <row r="1659">
      <c r="A1659" s="1" t="n">
        <v>1657</v>
      </c>
      <c r="B1659" t="n">
        <v>2019</v>
      </c>
      <c r="C1659" s="2" t="n">
        <v>43528.06096666666</v>
      </c>
      <c r="D1659" t="inlineStr">
        <is>
          <t>G1</t>
        </is>
      </c>
      <c r="E1659" t="inlineStr">
        <is>
          <t>VENEZUELANOS</t>
        </is>
      </c>
      <c r="F1659" t="inlineStr">
        <is>
          <t>MUNDO</t>
        </is>
      </c>
      <c r="G1659" t="inlineStr">
        <is>
          <t>G1</t>
        </is>
      </c>
      <c r="H1659" t="inlineStr">
        <is>
          <t>GUAIDÓ ANUNCIA QUE PARTICIPARÁ DE MANIFESTAÇÃO CONTRA MADURO NA VENEZUELA NA SEGUNDA</t>
        </is>
      </c>
      <c r="I1659" t="inlineStr">
        <is>
          <t>EM TRANSMISSÃO AO VIVO NA INTERNET, AUTOPROCLAMADO PRESIDENTE INTERINO DISSE QUE 'SE USURPADOR E SEUS CÚMPLICES' O PRENDEREM QUANDO ELE RETORNAR AO PAÍS, ALIADOS INTERNACIONAIS TÊM INSTRUÇÕES CLARAS A SEGUIR.</t>
        </is>
      </c>
      <c r="J1659" t="inlineStr"/>
      <c r="K1659" t="n">
        <v>0</v>
      </c>
      <c r="L1659" t="n">
        <v>1</v>
      </c>
      <c r="M1659" t="n">
        <v>0</v>
      </c>
      <c r="N1659" t="n">
        <v>0</v>
      </c>
      <c r="O1659" t="n">
        <v>10</v>
      </c>
      <c r="P1659">
        <f>HYPERLINK("https://g1.globo.com/mundo/noticia/2019/03/03/guaido-anuncia-que-participara-de-manifestacao-contra-maduro-na-venezuela-na-segunda.ghtml", "URL")</f>
        <v/>
      </c>
      <c r="Q1659">
        <f>HYPERLINK("https://raw.githubusercontent.com/marcosmapl/dataset_imigrantes/main/materias_filtered/g1/venezuelanos/2019/02_mar/html/g1_bdf84512-2312-11ed-b24f-6dbe51e79fca_2978.html", "HTML")</f>
        <v/>
      </c>
      <c r="R1659">
        <f>HYPERLINK("https://raw.githubusercontent.com/marcosmapl/dataset_imigrantes/main/materias_filtered/g1/venezuelanos/2019/02_mar/txt/g1_bdf84512-2312-11ed-b24f-6dbe51e79fca_2978.txt", "TXT")</f>
        <v/>
      </c>
    </row>
    <row r="1660">
      <c r="A1660" s="1" t="n">
        <v>1658</v>
      </c>
      <c r="B1660" t="n">
        <v>2019</v>
      </c>
      <c r="C1660" s="2" t="n">
        <v>43527.67261574074</v>
      </c>
      <c r="D1660" t="inlineStr">
        <is>
          <t>A CRITICA</t>
        </is>
      </c>
      <c r="E1660" t="inlineStr">
        <is>
          <t>VENEZUELANOS</t>
        </is>
      </c>
      <c r="F1660" t="inlineStr"/>
      <c r="G1660" t="inlineStr">
        <is>
          <t>LETYCIA BOND - AGÊNCIA BRASIL</t>
        </is>
      </c>
      <c r="H1660" t="inlineStr">
        <is>
          <t>SEGUNDA MORTE: MORRE INDÍGENA FERIDO EM CONFLITO COM MILITARES VENEZUELANOS</t>
        </is>
      </c>
      <c r="I1660" t="inlineStr">
        <is>
          <t>MARTINEZ ENCONTRAVA-SE EM ESTADO GRAVE E RESPIRAVA COM A AJUDA DE APARELHOS, INTERNADO NA UNIDADE DE TERAPIA INTENSIVA (UTI) DO HOSPITAL GERAL DE RORAIMA.</t>
        </is>
      </c>
      <c r="J1660" t="inlineStr"/>
      <c r="K1660" t="n">
        <v>0</v>
      </c>
      <c r="L1660" t="n">
        <v>1</v>
      </c>
      <c r="M1660" t="n">
        <v>0</v>
      </c>
      <c r="N1660" t="n">
        <v>0</v>
      </c>
      <c r="O1660" t="n">
        <v>0</v>
      </c>
      <c r="P1660">
        <f>HYPERLINK("https://www.acritica.com/segunda-morte-morre-indigena-ferido-em-conflito-com-militares-venezuelanos-1.72495", "URL")</f>
        <v/>
      </c>
      <c r="Q1660">
        <f>HYPERLINK("https://raw.githubusercontent.com/marcosmapl/dataset_imigrantes/main/materias_filtered/a_critica/venezuelanos/2019/02_mar/html/1.72495_803.html", "HTML")</f>
        <v/>
      </c>
      <c r="R1660">
        <f>HYPERLINK("https://raw.githubusercontent.com/marcosmapl/dataset_imigrantes/main/materias_filtered/a_critica/venezuelanos/2019/02_mar/txt/1.72495_803.txt", "TXT")</f>
        <v/>
      </c>
    </row>
    <row r="1661">
      <c r="A1661" s="1" t="n">
        <v>1659</v>
      </c>
      <c r="B1661" t="n">
        <v>2019</v>
      </c>
      <c r="C1661" s="2" t="n">
        <v>43526.90696206019</v>
      </c>
      <c r="D1661" t="inlineStr">
        <is>
          <t>G1</t>
        </is>
      </c>
      <c r="E1661" t="inlineStr">
        <is>
          <t>VENEZUELANOS</t>
        </is>
      </c>
      <c r="F1661" t="inlineStr">
        <is>
          <t>SUL DO RIO E COSTA VERDE</t>
        </is>
      </c>
      <c r="G1661" t="inlineStr">
        <is>
          <t>ANDERSON PATRICK*</t>
        </is>
      </c>
      <c r="H1661" t="inlineStr">
        <is>
          <t>CONHEÇA HISTÓRIA DO VENEZUELANO QUE SE MUDOU PARA O SUL DO RIO EM BUSCA DE SOBREVIVÊNCIA</t>
        </is>
      </c>
      <c r="I1661" t="inlineStr">
        <is>
          <t>'COM O SALÁRIO DO MÊS, MAL CONSEGUÍAMOS COMPRAR UM QUILO DE QUEIJO', CONTA WILLIAM DARIO BERRIOS RODRÍGUEZ, QUE ACEITOU CONVITE DO IRMÃO PARA MORAR EM PENEDO.</t>
        </is>
      </c>
      <c r="J1661" t="inlineStr"/>
      <c r="K1661" t="n">
        <v>0</v>
      </c>
      <c r="L1661" t="n">
        <v>2</v>
      </c>
      <c r="M1661" t="n">
        <v>0</v>
      </c>
      <c r="N1661" t="n">
        <v>0</v>
      </c>
      <c r="O1661" t="n">
        <v>9</v>
      </c>
      <c r="P1661">
        <f>HYPERLINK("https://g1.globo.com/rj/sul-do-rio-costa-verde/noticia/2019/03/02/conheca-historia-do-venezuelano-que-se-mudou-para-o-sul-do-rio-em-busca-de-sobrevivencia.ghtml", "URL")</f>
        <v/>
      </c>
      <c r="Q1661">
        <f>HYPERLINK("https://raw.githubusercontent.com/marcosmapl/dataset_imigrantes/main/materias_filtered/g1/venezuelanos/2019/02_mar/html/g1_2d5064dc-2325-11ed-b24f-6dbe51e79fca_3899.html", "HTML")</f>
        <v/>
      </c>
      <c r="R1661">
        <f>HYPERLINK("https://raw.githubusercontent.com/marcosmapl/dataset_imigrantes/main/materias_filtered/g1/venezuelanos/2019/02_mar/txt/g1_2d5064dc-2325-11ed-b24f-6dbe51e79fca_3899.txt", "TXT")</f>
        <v/>
      </c>
    </row>
    <row r="1662">
      <c r="A1662" s="1" t="n">
        <v>1660</v>
      </c>
      <c r="B1662" t="n">
        <v>2019</v>
      </c>
      <c r="C1662" s="2" t="n">
        <v>43526.54638888889</v>
      </c>
      <c r="D1662" t="inlineStr">
        <is>
          <t>A CRITICA</t>
        </is>
      </c>
      <c r="E1662" t="inlineStr">
        <is>
          <t>VENEZUELANOS</t>
        </is>
      </c>
      <c r="F1662" t="inlineStr"/>
      <c r="G1662" t="inlineStr">
        <is>
          <t>AGÊNCIA BRASIL</t>
        </is>
      </c>
      <c r="H1662" t="inlineStr">
        <is>
          <t>GUAIDÓ DEFENDE MOBILIZAÇÃO EM FAVOR DA DEMOCRACIA NA VENEZUELA</t>
        </is>
      </c>
      <c r="I1662" t="inlineStr">
        <is>
          <t>GUAIDÓ CHEGOU À ARGENTINA NO COMEÇO DA NOITE. ELE SE REUNIU COM O PRESIDENTE ARGENTINO, MAURICIO MACRI, QUE RECONHECEU A LEGITIMIDADE DE SUA INTERINIDADE NA VENEZUELA</t>
        </is>
      </c>
      <c r="J1662" t="inlineStr"/>
      <c r="K1662" t="n">
        <v>0</v>
      </c>
      <c r="L1662" t="n">
        <v>1</v>
      </c>
      <c r="M1662" t="n">
        <v>0</v>
      </c>
      <c r="N1662" t="n">
        <v>0</v>
      </c>
      <c r="O1662" t="n">
        <v>0</v>
      </c>
      <c r="P1662">
        <f>HYPERLINK("https://www.acritica.com/guaido-defende-mobilizac-o-em-favor-da-democracia-na-venezuela-1.73698", "URL")</f>
        <v/>
      </c>
      <c r="Q1662">
        <f>HYPERLINK("https://raw.githubusercontent.com/marcosmapl/dataset_imigrantes/main/materias_filtered/a_critica/venezuelanos/2019/02_mar/html/1.73698_21.html", "HTML")</f>
        <v/>
      </c>
      <c r="R1662">
        <f>HYPERLINK("https://raw.githubusercontent.com/marcosmapl/dataset_imigrantes/main/materias_filtered/a_critica/venezuelanos/2019/02_mar/txt/1.73698_21.txt", "TXT")</f>
        <v/>
      </c>
    </row>
    <row r="1663">
      <c r="A1663" s="1" t="n">
        <v>1661</v>
      </c>
      <c r="B1663" t="n">
        <v>2019</v>
      </c>
      <c r="C1663" s="2" t="n">
        <v>43525.90357638889</v>
      </c>
      <c r="D1663" t="inlineStr">
        <is>
          <t>A CRITICA</t>
        </is>
      </c>
      <c r="E1663" t="inlineStr">
        <is>
          <t>VENEZUELANOS</t>
        </is>
      </c>
      <c r="F1663" t="inlineStr">
        <is>
          <t>ESPORTES</t>
        </is>
      </c>
      <c r="G1663" t="inlineStr">
        <is>
          <t>GABRIEL FERREIRA</t>
        </is>
      </c>
      <c r="H1663" t="inlineStr">
        <is>
          <t>3B FAZ AMISTOSO COMEMORATIVO CONTRA SALCOMP NESTE SÁBADO (2) EM MANAUS</t>
        </is>
      </c>
      <c r="I1663" t="inlineStr">
        <is>
          <t>A EQUIPE AMAZONENSE CONTA COM UM PLANTEL DE 17 JOGADORES, ENTRE ELAS OITO VENEZUELANAS, QUATRO CHILENAS E APENAS CINCO ATLETAS BRASILEIRAS</t>
        </is>
      </c>
      <c r="J1663" t="inlineStr"/>
      <c r="K1663" t="n">
        <v>0</v>
      </c>
      <c r="L1663" t="n">
        <v>1</v>
      </c>
      <c r="M1663" t="n">
        <v>0</v>
      </c>
      <c r="N1663" t="n">
        <v>0</v>
      </c>
      <c r="O1663" t="n">
        <v>0</v>
      </c>
      <c r="P1663">
        <f>HYPERLINK("https://www.acritica.com/esportes/3b-faz-amistoso-comemorativo-contra-salcomp-neste-sabado-2-em-manaus-1.73754", "URL")</f>
        <v/>
      </c>
      <c r="Q1663">
        <f>HYPERLINK("https://raw.githubusercontent.com/marcosmapl/dataset_imigrantes/main/materias_filtered/a_critica/venezuelanos/2019/02_mar/html/1.73754_1118.html", "HTML")</f>
        <v/>
      </c>
      <c r="R1663">
        <f>HYPERLINK("https://raw.githubusercontent.com/marcosmapl/dataset_imigrantes/main/materias_filtered/a_critica/venezuelanos/2019/02_mar/txt/1.73754_1118.txt", "TXT")</f>
        <v/>
      </c>
    </row>
    <row r="1664">
      <c r="A1664" s="1" t="n">
        <v>1662</v>
      </c>
      <c r="B1664" t="n">
        <v>2019</v>
      </c>
      <c r="C1664" s="2" t="n">
        <v>43525.8169212963</v>
      </c>
      <c r="D1664" t="inlineStr">
        <is>
          <t>A CRITICA</t>
        </is>
      </c>
      <c r="E1664" t="inlineStr">
        <is>
          <t>VENEZUELANOS</t>
        </is>
      </c>
      <c r="F1664" t="inlineStr"/>
      <c r="G1664" t="inlineStr">
        <is>
          <t>POR ANA CRISTINA CAMPOS - REPÓRTER DA AGÊNCIA BRASIL</t>
        </is>
      </c>
      <c r="H1664" t="inlineStr">
        <is>
          <t>MOURÃO SUGERE DIÁLOGO COM MADURO COMO SAÍDA PACÍFICA PARA A CRISE NA VENEZUELA</t>
        </is>
      </c>
      <c r="I1664" t="inlineStr">
        <is>
          <t>O MINISTRO DAS RELAÇÕES EXTERIORES, ERNESTO ARAÚJO, DISSE QUE O BRASIL ESTÁ PRONTO PARA TRABALHAR PELA LEGITIMAÇÃO INTERNACIONAL DO GOVERNO DE JUAN GUAIDÓ, E PARA MOSTRAR A TOTAL ILEGITIMIDADE DO REGIME DO PRESIDENTE NICOLÁS MADURO</t>
        </is>
      </c>
      <c r="J1664" t="inlineStr"/>
      <c r="K1664" t="n">
        <v>0</v>
      </c>
      <c r="L1664" t="n">
        <v>1</v>
      </c>
      <c r="M1664" t="n">
        <v>0</v>
      </c>
      <c r="N1664" t="n">
        <v>0</v>
      </c>
      <c r="O1664" t="n">
        <v>0</v>
      </c>
      <c r="P1664">
        <f>HYPERLINK("https://www.acritica.com/mour-o-sugere-dialogo-com-maduro-como-saida-pacifica-para-a-crise-na-venezuela-1.73744", "URL")</f>
        <v/>
      </c>
      <c r="Q1664">
        <f>HYPERLINK("https://raw.githubusercontent.com/marcosmapl/dataset_imigrantes/main/materias_filtered/a_critica/venezuelanos/2019/02_mar/html/1.73744_378.html", "HTML")</f>
        <v/>
      </c>
      <c r="R1664">
        <f>HYPERLINK("https://raw.githubusercontent.com/marcosmapl/dataset_imigrantes/main/materias_filtered/a_critica/venezuelanos/2019/02_mar/txt/1.73744_378.txt", "TXT")</f>
        <v/>
      </c>
    </row>
    <row r="1665">
      <c r="A1665" s="1" t="n">
        <v>1663</v>
      </c>
      <c r="B1665" t="n">
        <v>2019</v>
      </c>
      <c r="C1665" s="2" t="n">
        <v>43525.64538951389</v>
      </c>
      <c r="D1665" t="inlineStr">
        <is>
          <t>G1</t>
        </is>
      </c>
      <c r="E1665" t="inlineStr">
        <is>
          <t>VENEZUELANOS</t>
        </is>
      </c>
      <c r="F1665" t="inlineStr">
        <is>
          <t>RORAIMA</t>
        </is>
      </c>
      <c r="G1665" t="inlineStr">
        <is>
          <t>EMILY COSTA, G1 RR — BOA VISTA</t>
        </is>
      </c>
      <c r="H1665" t="inlineStr">
        <is>
          <t>FRONTEIRA FECHADA AMEAÇA INÍCIO DAS AULAS PARA CRIANÇAS VENEZUELANAS QUE ESTUDAM EM PACARAIMA, RR</t>
        </is>
      </c>
      <c r="I1665" t="inlineStr">
        <is>
          <t>BLOQUEIO NA FRONTEIRA IMPEDE PASSAGEM DE PESSOAS E VEÍCULOS COMUNS PELA BR-174, E QUEM QUER ENTRAR OU SAIR DO PAÍS PRECISA SE ARRISCAR POR ROTAS CLANDESTINAS.</t>
        </is>
      </c>
      <c r="J1665" t="inlineStr"/>
      <c r="K1665" t="n">
        <v>0</v>
      </c>
      <c r="L1665" t="n">
        <v>1</v>
      </c>
      <c r="M1665" t="n">
        <v>0</v>
      </c>
      <c r="N1665" t="n">
        <v>0</v>
      </c>
      <c r="O1665" t="n">
        <v>6</v>
      </c>
      <c r="P1665">
        <f>HYPERLINK("https://g1.globo.com/rr/roraima/noticia/2019/03/01/fronteira-fechada-ameaca-inicio-das-aulas-para-criancas-venezuelanas-que-estudam-em-pacaraima-rr.ghtml", "URL")</f>
        <v/>
      </c>
      <c r="Q1665">
        <f>HYPERLINK("https://raw.githubusercontent.com/marcosmapl/dataset_imigrantes/main/materias_filtered/g1/venezuelanos/2019/02_mar/html/g1_98f0db42-230a-11ed-b24f-6dbe51e79fca_2514.html", "HTML")</f>
        <v/>
      </c>
      <c r="R1665">
        <f>HYPERLINK("https://raw.githubusercontent.com/marcosmapl/dataset_imigrantes/main/materias_filtered/g1/venezuelanos/2019/02_mar/txt/g1_98f0db42-230a-11ed-b24f-6dbe51e79fca_2514.txt", "TXT")</f>
        <v/>
      </c>
    </row>
    <row r="1666">
      <c r="A1666" s="1" t="n">
        <v>1664</v>
      </c>
      <c r="B1666" t="n">
        <v>2019</v>
      </c>
      <c r="C1666" s="2" t="n">
        <v>43525.51168981481</v>
      </c>
      <c r="D1666" t="inlineStr">
        <is>
          <t>A CRITICA</t>
        </is>
      </c>
      <c r="E1666" t="inlineStr">
        <is>
          <t>VENEZUELANOS</t>
        </is>
      </c>
      <c r="F1666" t="inlineStr"/>
      <c r="G1666" t="inlineStr">
        <is>
          <t>PEDRO RAFAEL VILELA (AGÊNCIA BRASIL)</t>
        </is>
      </c>
      <c r="H1666" t="inlineStr">
        <is>
          <t>GUAIDÓ PRETENDE ANISTIAR MILITARES E CIVIS LEAIS AO GOVERNO DE NICOLÁS MADURO</t>
        </is>
      </c>
      <c r="I1666" t="inlineStr">
        <is>
          <t>O AUTOPROCLAMADO PRESIDENTE DA VENEZUELA INFORMOU QUE A MEDIDA DEVERÁ SE ESTENDER PARA OS OFICIAIS QUE ESTÃO NO COMANDO NO PAÍS</t>
        </is>
      </c>
      <c r="J1666" t="inlineStr"/>
      <c r="K1666" t="n">
        <v>0</v>
      </c>
      <c r="L1666" t="n">
        <v>1</v>
      </c>
      <c r="M1666" t="n">
        <v>0</v>
      </c>
      <c r="N1666" t="n">
        <v>0</v>
      </c>
      <c r="O1666" t="n">
        <v>0</v>
      </c>
      <c r="P1666">
        <f>HYPERLINK("https://www.acritica.com/guaido-pretende-anistiar-militares-e-civis-leais-ao-governo-de-nicolas-maduro-1.73784", "URL")</f>
        <v/>
      </c>
      <c r="Q1666">
        <f>HYPERLINK("https://raw.githubusercontent.com/marcosmapl/dataset_imigrantes/main/materias_filtered/a_critica/venezuelanos/2019/02_mar/html/1.73784_1355.html", "HTML")</f>
        <v/>
      </c>
      <c r="R1666">
        <f>HYPERLINK("https://raw.githubusercontent.com/marcosmapl/dataset_imigrantes/main/materias_filtered/a_critica/venezuelanos/2019/02_mar/txt/1.73784_1355.txt", "TXT")</f>
        <v/>
      </c>
    </row>
    <row r="1667">
      <c r="A1667" s="1" t="n">
        <v>1665</v>
      </c>
      <c r="B1667" t="n">
        <v>2019</v>
      </c>
      <c r="C1667" s="2" t="n">
        <v>43525.01727104167</v>
      </c>
      <c r="D1667" t="inlineStr">
        <is>
          <t>G1</t>
        </is>
      </c>
      <c r="E1667" t="inlineStr">
        <is>
          <t>VENEZUELANOS</t>
        </is>
      </c>
      <c r="F1667" t="inlineStr">
        <is>
          <t>JORNAL NACIONAL</t>
        </is>
      </c>
      <c r="G1667" t="inlineStr"/>
      <c r="H1667" t="inlineStr">
        <is>
          <t>GOVERNO ACELERA OBRAS PARA LIVRAR RORAIMA DA DEPENDÊNCIA DE ELETRICIDADE VENEZUELANA</t>
        </is>
      </c>
      <c r="I1667" t="inlineStr">
        <is>
          <t>LINHÃO DARÁ AUTONOMIA A RORAIMA. HOJE, 80% DA ENERGIA CONSUMIDA NO ESTADO VÊM DA VENEZUELA.</t>
        </is>
      </c>
      <c r="J1667" t="inlineStr"/>
      <c r="K1667" t="n">
        <v>0</v>
      </c>
      <c r="L1667" t="n">
        <v>1</v>
      </c>
      <c r="M1667" t="n">
        <v>1</v>
      </c>
      <c r="N1667" t="n">
        <v>0</v>
      </c>
      <c r="O1667" t="n">
        <v>0</v>
      </c>
      <c r="P1667">
        <f>HYPERLINK("https://g1.globo.com/jornal-nacional/noticia/2019/02/28/governo-acelera-obras-para-livrar-roraima-da-dependencia-de-eletricidade-venezuelana.ghtml", "URL")</f>
        <v/>
      </c>
      <c r="Q1667">
        <f>HYPERLINK("https://raw.githubusercontent.com/marcosmapl/dataset_imigrantes/main/materias_filtered/g1/venezuelanos/2019/02_mar/html/g1_8e29b0bc-2328-11ed-b24f-6dbe51e79fca_4085.html", "HTML")</f>
        <v/>
      </c>
      <c r="R1667">
        <f>HYPERLINK("https://raw.githubusercontent.com/marcosmapl/dataset_imigrantes/main/materias_filtered/g1/venezuelanos/2019/02_mar/txt/g1_8e29b0bc-2328-11ed-b24f-6dbe51e79fca_4085.txt", "TXT")</f>
        <v/>
      </c>
    </row>
    <row r="1668">
      <c r="A1668" s="1" t="n">
        <v>1666</v>
      </c>
      <c r="B1668" t="n">
        <v>2019</v>
      </c>
      <c r="C1668" s="2" t="n">
        <v>43524.63993055555</v>
      </c>
      <c r="D1668" t="inlineStr">
        <is>
          <t>A CRITICA</t>
        </is>
      </c>
      <c r="E1668" t="inlineStr">
        <is>
          <t>VENEZUELANOS</t>
        </is>
      </c>
      <c r="F1668" t="inlineStr"/>
      <c r="G1668" t="inlineStr">
        <is>
          <t>AGÊNCIA BRASIL</t>
        </is>
      </c>
      <c r="H1668" t="inlineStr">
        <is>
          <t>GUAIDÓ DIZ QUE VISITA AO BRASIL BUSCA RESTABELECER DEMOCRACIA NA VENEZUELA</t>
        </is>
      </c>
      <c r="I1668" t="inlineStr">
        <is>
          <t>AUTOPROCLAMADO PRESIDENTE DA VENEZUELA TEM ENCONTRO COM O PRESIDENTE JAIR BOLSONARO, EM BRASÍLIA. ANTES ELE SE REUNIU COM EMBAIXADORES DE VÁRIOS PAÍSES</t>
        </is>
      </c>
      <c r="J1668" t="inlineStr"/>
      <c r="K1668" t="n">
        <v>0</v>
      </c>
      <c r="L1668" t="n">
        <v>1</v>
      </c>
      <c r="M1668" t="n">
        <v>0</v>
      </c>
      <c r="N1668" t="n">
        <v>0</v>
      </c>
      <c r="O1668" t="n">
        <v>0</v>
      </c>
      <c r="P1668">
        <f>HYPERLINK("https://www.acritica.com/guaido-diz-que-visita-ao-brasil-busca-restabelecer-democracia-na-venezuela-1.73824", "URL")</f>
        <v/>
      </c>
      <c r="Q1668">
        <f>HYPERLINK("https://raw.githubusercontent.com/marcosmapl/dataset_imigrantes/main/materias_filtered/a_critica/venezuelanos/2019/01_fev/html/1.73824_614.html", "HTML")</f>
        <v/>
      </c>
      <c r="R1668">
        <f>HYPERLINK("https://raw.githubusercontent.com/marcosmapl/dataset_imigrantes/main/materias_filtered/a_critica/venezuelanos/2019/01_fev/txt/1.73824_614.txt", "TXT")</f>
        <v/>
      </c>
    </row>
    <row r="1669">
      <c r="A1669" s="1" t="n">
        <v>1667</v>
      </c>
      <c r="B1669" t="n">
        <v>2019</v>
      </c>
      <c r="C1669" s="2" t="n">
        <v>43523.90138888889</v>
      </c>
      <c r="D1669" t="inlineStr">
        <is>
          <t>A CRITICA</t>
        </is>
      </c>
      <c r="E1669" t="inlineStr">
        <is>
          <t>VENEZUELANOS</t>
        </is>
      </c>
      <c r="F1669" t="inlineStr"/>
      <c r="G1669" t="inlineStr">
        <is>
          <t>POR MARCELO BRANDÃO - REPÓRTER DA AGÊNCIA BRASIL</t>
        </is>
      </c>
      <c r="H1669" t="inlineStr">
        <is>
          <t>GUAIDÓ DEVE CHEGAR AO BRASIL POR VOLTA DA MEIA-NOITE PARA REUNIÃO COM BOLSONARO</t>
        </is>
      </c>
      <c r="I1669" t="inlineStr">
        <is>
          <t>HÁ DOIS DIAS, O VICE-PRESIDENTE DA REPÚBLICA, HAMILTON MOURÃO, CONVERSOU COM O AUTOPROCLAMADO PRESIDENTE INTERINO DA VENEZUELA, EM BOGOTÁ, NA COLÔMBIA</t>
        </is>
      </c>
      <c r="J1669" t="inlineStr"/>
      <c r="K1669" t="n">
        <v>0</v>
      </c>
      <c r="L1669" t="n">
        <v>1</v>
      </c>
      <c r="M1669" t="n">
        <v>0</v>
      </c>
      <c r="N1669" t="n">
        <v>0</v>
      </c>
      <c r="O1669" t="n">
        <v>0</v>
      </c>
      <c r="P1669">
        <f>HYPERLINK("https://www.acritica.com/guaido-deve-chegar-ao-brasil-por-volta-da-meia-noite-para-reuni-o-com-bolsonaro-1.73872", "URL")</f>
        <v/>
      </c>
      <c r="Q1669">
        <f>HYPERLINK("https://raw.githubusercontent.com/marcosmapl/dataset_imigrantes/main/materias_filtered/a_critica/venezuelanos/2019/01_fev/html/1.73872_722.html", "HTML")</f>
        <v/>
      </c>
      <c r="R1669">
        <f>HYPERLINK("https://raw.githubusercontent.com/marcosmapl/dataset_imigrantes/main/materias_filtered/a_critica/venezuelanos/2019/01_fev/txt/1.73872_722.txt", "TXT")</f>
        <v/>
      </c>
    </row>
    <row r="1670">
      <c r="A1670" s="1" t="n">
        <v>1668</v>
      </c>
      <c r="B1670" t="n">
        <v>2019</v>
      </c>
      <c r="C1670" s="2" t="n">
        <v>43523.81665543981</v>
      </c>
      <c r="D1670" t="inlineStr">
        <is>
          <t>G1</t>
        </is>
      </c>
      <c r="E1670" t="inlineStr">
        <is>
          <t>VENEZUELANOS</t>
        </is>
      </c>
      <c r="F1670" t="inlineStr">
        <is>
          <t>RORAIMA</t>
        </is>
      </c>
      <c r="G1670" t="inlineStr">
        <is>
          <t>ALAN CHAVES E JACKSON FÉLIX, G1 RR — PACARAIMA</t>
        </is>
      </c>
      <c r="H1670" t="inlineStr">
        <is>
          <t>MAIS DE 20 CAMINHONEIROS ENTRAM NO BRASIL APÓS NEGOCIAÇÃO COM GOVERNO VENEZUELANO</t>
        </is>
      </c>
      <c r="I1670" t="inlineStr">
        <is>
          <t>VEÍCULOS ESTAVAM PRÓXIMOS À LINHA DE FRONTEIRA ENTRE OS DOIS PAÍSES. NEGOCIAÇÃO FOI FEITA COM O GOVERNADOR DO ESTADO VENEZUELANO DE BOLÍVAR.</t>
        </is>
      </c>
      <c r="J1670" t="inlineStr"/>
      <c r="K1670" t="n">
        <v>0</v>
      </c>
      <c r="L1670" t="n">
        <v>2</v>
      </c>
      <c r="M1670" t="n">
        <v>0</v>
      </c>
      <c r="N1670" t="n">
        <v>0</v>
      </c>
      <c r="O1670" t="n">
        <v>3</v>
      </c>
      <c r="P1670">
        <f>HYPERLINK("https://g1.globo.com/rr/roraima/noticia/2019/02/27/mais-de-20-caminhoneiros-entram-no-brasil-apos-negociacao-com-governo-venezuelano.ghtml", "URL")</f>
        <v/>
      </c>
      <c r="Q1670">
        <f>HYPERLINK("https://raw.githubusercontent.com/marcosmapl/dataset_imigrantes/main/materias_filtered/g1/venezuelanos/2019/01_fev/html/g1_87d9245a-2322-11ed-b24f-6dbe51e79fca_3756.html", "HTML")</f>
        <v/>
      </c>
      <c r="R1670">
        <f>HYPERLINK("https://raw.githubusercontent.com/marcosmapl/dataset_imigrantes/main/materias_filtered/g1/venezuelanos/2019/01_fev/txt/g1_87d9245a-2322-11ed-b24f-6dbe51e79fca_3756.txt", "TXT")</f>
        <v/>
      </c>
    </row>
    <row r="1671">
      <c r="A1671" s="1" t="n">
        <v>1669</v>
      </c>
      <c r="B1671" t="n">
        <v>2019</v>
      </c>
      <c r="C1671" s="2" t="n">
        <v>43523.79951908565</v>
      </c>
      <c r="D1671" t="inlineStr">
        <is>
          <t>G1</t>
        </is>
      </c>
      <c r="E1671" t="inlineStr">
        <is>
          <t>VENEZUELANOS</t>
        </is>
      </c>
      <c r="F1671" t="inlineStr">
        <is>
          <t>POLÍTICA</t>
        </is>
      </c>
      <c r="G1671" t="inlineStr">
        <is>
          <t>DELIS ORTIZ E VLADIMIR NETTO, TV GLOBO — BRASÍLIA</t>
        </is>
      </c>
      <c r="H1671" t="inlineStr">
        <is>
          <t>LÍDER OPOSICIONISTA VENEZUELANO JUAN GUAIDÓ TERÁ ENCONTRO COM BOLSONARO NESTA QUINTA-FEIRA</t>
        </is>
      </c>
      <c r="I1671" t="inlineStr">
        <is>
          <t>PRESIDENTE AUTODECLARADO DA VENEZUELA E LÍDER DA OPOSIÇÃO A NICOLÁS MADURO CHEGARÁ EM AVIÃO DA FORÇA AÉREA DA COLÔMBIA. MADURO MANDOU FECHAR FRONTEIRA COM O BRASIL.</t>
        </is>
      </c>
      <c r="J1671" t="inlineStr"/>
      <c r="K1671" t="n">
        <v>0</v>
      </c>
      <c r="L1671" t="n">
        <v>1</v>
      </c>
      <c r="M1671" t="n">
        <v>1</v>
      </c>
      <c r="N1671" t="n">
        <v>0</v>
      </c>
      <c r="O1671" t="n">
        <v>7</v>
      </c>
      <c r="P1671">
        <f>HYPERLINK("https://g1.globo.com/politica/noticia/2019/02/27/guaido-visitara-brasilia-e-tera-encontro-com-bolsonaro-diz-mourao.ghtml", "URL")</f>
        <v/>
      </c>
      <c r="Q1671">
        <f>HYPERLINK("https://raw.githubusercontent.com/marcosmapl/dataset_imigrantes/main/materias_filtered/g1/venezuelanos/2019/01_fev/html/g1_5c645cc8-2317-11ed-b24f-6dbe51e79fca_3203.html", "HTML")</f>
        <v/>
      </c>
      <c r="R1671">
        <f>HYPERLINK("https://raw.githubusercontent.com/marcosmapl/dataset_imigrantes/main/materias_filtered/g1/venezuelanos/2019/01_fev/txt/g1_5c645cc8-2317-11ed-b24f-6dbe51e79fca_3203.txt", "TXT")</f>
        <v/>
      </c>
    </row>
    <row r="1672">
      <c r="A1672" s="1" t="n">
        <v>1670</v>
      </c>
      <c r="B1672" t="n">
        <v>2019</v>
      </c>
      <c r="C1672" s="2" t="n">
        <v>43523.63125</v>
      </c>
      <c r="D1672" t="inlineStr">
        <is>
          <t>A CRITICA</t>
        </is>
      </c>
      <c r="E1672" t="inlineStr">
        <is>
          <t>VENEZUELANOS</t>
        </is>
      </c>
      <c r="F1672" t="inlineStr">
        <is>
          <t>MANAUS</t>
        </is>
      </c>
      <c r="G1672" t="inlineStr">
        <is>
          <t>ACRÍTICA.COM</t>
        </is>
      </c>
      <c r="H1672" t="inlineStr">
        <is>
          <t>EX-CANDIDATA A MISS AMAZONAS ESFAQUEADA NO CARNAVAL SEGUE EM ESTADO GRAVE</t>
        </is>
      </c>
      <c r="I1672" t="inlineStr">
        <is>
          <t>NÃO HOUVE MELHORA NO QUADRO DE SAÚDE DA MODELO MABEL CRISTINA DOS SANTOS, DE 25 ANOS. O AMIGO DELA TAMBÉM CONTINUA INTERNADO, MAS ESTÁVEL</t>
        </is>
      </c>
      <c r="J1672" t="inlineStr"/>
      <c r="K1672" t="n">
        <v>0</v>
      </c>
      <c r="L1672" t="n">
        <v>1</v>
      </c>
      <c r="M1672" t="n">
        <v>0</v>
      </c>
      <c r="N1672" t="n">
        <v>0</v>
      </c>
      <c r="O1672" t="n">
        <v>1</v>
      </c>
      <c r="P1672">
        <f>HYPERLINK("https://www.acritica.com/manaus/ex-candidata-a-miss-amazonas-esfaqueada-no-carnaval-segue-em-estado-grave-1.73893", "URL")</f>
        <v/>
      </c>
      <c r="Q1672">
        <f>HYPERLINK("https://raw.githubusercontent.com/marcosmapl/dataset_imigrantes/main/materias_filtered/a_critica/venezuelanos/2019/01_fev/html/1.73893_189.html", "HTML")</f>
        <v/>
      </c>
      <c r="R1672">
        <f>HYPERLINK("https://raw.githubusercontent.com/marcosmapl/dataset_imigrantes/main/materias_filtered/a_critica/venezuelanos/2019/01_fev/txt/1.73893_189.txt", "TXT")</f>
        <v/>
      </c>
    </row>
    <row r="1673">
      <c r="A1673" s="1" t="n">
        <v>1671</v>
      </c>
      <c r="B1673" t="n">
        <v>2019</v>
      </c>
      <c r="C1673" s="2" t="n">
        <v>43523.58335842592</v>
      </c>
      <c r="D1673" t="inlineStr">
        <is>
          <t>G1</t>
        </is>
      </c>
      <c r="E1673" t="inlineStr">
        <is>
          <t>VENEZUELANOS</t>
        </is>
      </c>
      <c r="F1673" t="inlineStr">
        <is>
          <t>RORAIMA</t>
        </is>
      </c>
      <c r="G1673" t="inlineStr">
        <is>
          <t>JACKSON FÉLIX, G1 RR — PACARAIMA</t>
        </is>
      </c>
      <c r="H1673" t="inlineStr">
        <is>
          <t>VENEZUELANA DE 83 ANOS PÓS-OPERADA ENTRA NO BRASIL POR ROTA CLANDESTINA E PEDE AJUDA; FRONTEIRA SEGUE FECHADA PELO 6º DIA</t>
        </is>
      </c>
      <c r="I1673" t="inlineStr">
        <is>
          <t>DUAS AMBULÂNCIAS ATRAVESSARAM A FRONTEIRA NAS ÚLTIMAS 24H. MOVIMENTAÇÃO SEGUE TRANQUILA EM PACARAIMA E SEM NOVOS CONFRONTOS ENTRE VENEZUELANOS E MILITARES DE MADURO.</t>
        </is>
      </c>
      <c r="J1673" t="inlineStr"/>
      <c r="K1673" t="n">
        <v>0</v>
      </c>
      <c r="L1673" t="n">
        <v>2</v>
      </c>
      <c r="M1673" t="n">
        <v>0</v>
      </c>
      <c r="N1673" t="n">
        <v>0</v>
      </c>
      <c r="O1673" t="n">
        <v>20</v>
      </c>
      <c r="P1673">
        <f>HYPERLINK("https://g1.globo.com/rr/roraima/noticia/2019/02/27/venezuelana-de-83-anos-pos-operada-entra-no-brasil-por-rota-clandestina-e-pede-ajuda-fronteira-segue-fechada-pelo-6o-dia.ghtml", "URL")</f>
        <v/>
      </c>
      <c r="Q1673">
        <f>HYPERLINK("https://raw.githubusercontent.com/marcosmapl/dataset_imigrantes/main/materias_filtered/g1/venezuelanos/2019/01_fev/html/g1_3174db00-2308-11ed-b24f-6dbe51e79fca_2371.html", "HTML")</f>
        <v/>
      </c>
      <c r="R1673">
        <f>HYPERLINK("https://raw.githubusercontent.com/marcosmapl/dataset_imigrantes/main/materias_filtered/g1/venezuelanos/2019/01_fev/txt/g1_3174db00-2308-11ed-b24f-6dbe51e79fca_2371.txt", "TXT")</f>
        <v/>
      </c>
    </row>
    <row r="1674">
      <c r="A1674" s="1" t="n">
        <v>1672</v>
      </c>
      <c r="B1674" t="n">
        <v>2019</v>
      </c>
      <c r="C1674" s="2" t="n">
        <v>43522.94482638889</v>
      </c>
      <c r="D1674" t="inlineStr">
        <is>
          <t>A CRITICA</t>
        </is>
      </c>
      <c r="E1674" t="inlineStr">
        <is>
          <t>VENEZUELANOS</t>
        </is>
      </c>
      <c r="F1674" t="inlineStr"/>
      <c r="G1674" t="inlineStr">
        <is>
          <t>AGÊNCIA BRASIL</t>
        </is>
      </c>
      <c r="H1674" t="inlineStr">
        <is>
          <t>BRASIL DEFINE COM VENEZUELA RETIRADA DE BRASILEIROS DA FRONTEIRA APÓS NEGOCIAÇÃO</t>
        </is>
      </c>
      <c r="I1674" t="inlineStr">
        <is>
          <t>GRUPO REÚNE CERCA DE 100 PESSOAS ENTRE RESIDENTES E TURISTAS. A FRONTEIRA ESTÁ FECHADA DESDE O ÚLTIMO DIA 22</t>
        </is>
      </c>
      <c r="J1674" t="inlineStr"/>
      <c r="K1674" t="n">
        <v>0</v>
      </c>
      <c r="L1674" t="n">
        <v>1</v>
      </c>
      <c r="M1674" t="n">
        <v>0</v>
      </c>
      <c r="N1674" t="n">
        <v>0</v>
      </c>
      <c r="O1674" t="n">
        <v>0</v>
      </c>
      <c r="P1674">
        <f>HYPERLINK("https://www.acritica.com/brasil-define-com-venezuela-retirada-de-brasileiros-da-fronteira-apos-negociac-o-1.73925", "URL")</f>
        <v/>
      </c>
      <c r="Q1674">
        <f>HYPERLINK("https://raw.githubusercontent.com/marcosmapl/dataset_imigrantes/main/materias_filtered/a_critica/venezuelanos/2019/01_fev/html/1.73925_109.html", "HTML")</f>
        <v/>
      </c>
      <c r="R1674">
        <f>HYPERLINK("https://raw.githubusercontent.com/marcosmapl/dataset_imigrantes/main/materias_filtered/a_critica/venezuelanos/2019/01_fev/txt/1.73925_109.txt", "TXT")</f>
        <v/>
      </c>
    </row>
    <row r="1675">
      <c r="A1675" s="1" t="n">
        <v>1673</v>
      </c>
      <c r="B1675" t="n">
        <v>2019</v>
      </c>
      <c r="C1675" s="2" t="n">
        <v>43522.70453103009</v>
      </c>
      <c r="D1675" t="inlineStr">
        <is>
          <t>G1</t>
        </is>
      </c>
      <c r="E1675" t="inlineStr">
        <is>
          <t>VENEZUELANOS</t>
        </is>
      </c>
      <c r="F1675" t="inlineStr">
        <is>
          <t>MUNDO</t>
        </is>
      </c>
      <c r="G1675" t="inlineStr">
        <is>
          <t>G1</t>
        </is>
      </c>
      <c r="H1675" t="inlineStr">
        <is>
          <t>JORNALISTAS SÃO DEPORTADOS APÓS FICAREM DETIDOS NA SEDE DO GOVERNO VENEZUELANO</t>
        </is>
      </c>
      <c r="I1675" t="inlineStr">
        <is>
          <t>EQUIPE TEVE CÂMERAS E MATERIAL GRAVADO CONFISCADO APÓS MADURO SE IRRITAR AO SER QUESTIONADO SOBRE A FALTA DE DEMOCRACIA NA VENEZUELA E VER VÍDEO DE HOMENS COMENDO LIXO EM CARACAS. AO REGISTRAR MOVIMENTAÇÃO NO HOTEL, OUTRO JORNALISTA FOI LEVADO POR HOMENS ARMADOS E PASSOU SETE HORAS INCOMUNICÁVEL.</t>
        </is>
      </c>
      <c r="J1675" t="inlineStr"/>
      <c r="K1675" t="n">
        <v>0</v>
      </c>
      <c r="L1675" t="n">
        <v>2</v>
      </c>
      <c r="M1675" t="n">
        <v>2</v>
      </c>
      <c r="N1675" t="n">
        <v>0</v>
      </c>
      <c r="O1675" t="n">
        <v>2</v>
      </c>
      <c r="P1675">
        <f>HYPERLINK("https://g1.globo.com/mundo/noticia/2019/02/26/jornalistas-sao-deportados-apos-ficarem-detidos-na-sede-do-governo-venezuelano.ghtml", "URL")</f>
        <v/>
      </c>
      <c r="Q1675">
        <f>HYPERLINK("https://raw.githubusercontent.com/marcosmapl/dataset_imigrantes/main/materias_filtered/g1/venezuelanos/2019/01_fev/html/g1_f5f4a8f8-2307-11ed-b24f-6dbe51e79fca_2355.html", "HTML")</f>
        <v/>
      </c>
      <c r="R1675">
        <f>HYPERLINK("https://raw.githubusercontent.com/marcosmapl/dataset_imigrantes/main/materias_filtered/g1/venezuelanos/2019/01_fev/txt/g1_f5f4a8f8-2307-11ed-b24f-6dbe51e79fca_2355.txt", "TXT")</f>
        <v/>
      </c>
    </row>
    <row r="1676">
      <c r="A1676" s="1" t="n">
        <v>1674</v>
      </c>
      <c r="B1676" t="n">
        <v>2019</v>
      </c>
      <c r="C1676" s="2" t="n">
        <v>43522.54901365741</v>
      </c>
      <c r="D1676" t="inlineStr">
        <is>
          <t>G1</t>
        </is>
      </c>
      <c r="E1676" t="inlineStr">
        <is>
          <t>VENEZUELANOS</t>
        </is>
      </c>
      <c r="F1676" t="inlineStr">
        <is>
          <t>MUNDO</t>
        </is>
      </c>
      <c r="G1676" t="inlineStr">
        <is>
          <t>G1</t>
        </is>
      </c>
      <c r="H1676" t="inlineStr">
        <is>
          <t>MAIS DE 70 BRASILEIROS ESTÃO RETIDOS EM SANTA ELENA DE UAIRÉN E ESPERAM AUTORIZAÇÃO PARA VOLTAR AO BRASIL</t>
        </is>
      </c>
      <c r="I1676" t="inlineStr">
        <is>
          <t>ITAMARATY ESTÁ EM CONTATO COM AS AUTORIDADES VENEZUELANAS. FRONTEIRA ENTRE BRASIL E VENEZUELA SEGUE FECHADA PELO 5º DIA SEGUIDO.</t>
        </is>
      </c>
      <c r="J1676" t="inlineStr"/>
      <c r="K1676" t="n">
        <v>0</v>
      </c>
      <c r="L1676" t="n">
        <v>2</v>
      </c>
      <c r="M1676" t="n">
        <v>2</v>
      </c>
      <c r="N1676" t="n">
        <v>0</v>
      </c>
      <c r="O1676" t="n">
        <v>9</v>
      </c>
      <c r="P1676">
        <f>HYPERLINK("https://g1.globo.com/mundo/noticia/2019/02/26/mais-de-70-brasileiros-estao-retidos-em-santa-elena-de-uairen-e-esperam-autorizacao-para-voltar-ao-brasil.ghtml", "URL")</f>
        <v/>
      </c>
      <c r="Q1676">
        <f>HYPERLINK("https://raw.githubusercontent.com/marcosmapl/dataset_imigrantes/main/materias_filtered/g1/venezuelanos/2019/01_fev/html/g1_1af53d0e-230b-11ed-b24f-6dbe51e79fca_2544.html", "HTML")</f>
        <v/>
      </c>
      <c r="R1676">
        <f>HYPERLINK("https://raw.githubusercontent.com/marcosmapl/dataset_imigrantes/main/materias_filtered/g1/venezuelanos/2019/01_fev/txt/g1_1af53d0e-230b-11ed-b24f-6dbe51e79fca_2544.txt", "TXT")</f>
        <v/>
      </c>
    </row>
    <row r="1677">
      <c r="A1677" s="1" t="n">
        <v>1675</v>
      </c>
      <c r="B1677" t="n">
        <v>2019</v>
      </c>
      <c r="C1677" s="2" t="n">
        <v>43522.43068431713</v>
      </c>
      <c r="D1677" t="inlineStr">
        <is>
          <t>G1</t>
        </is>
      </c>
      <c r="E1677" t="inlineStr">
        <is>
          <t>VENEZUELANOS</t>
        </is>
      </c>
      <c r="F1677" t="inlineStr">
        <is>
          <t>BAURU E MARÍLIA</t>
        </is>
      </c>
      <c r="G1677" t="inlineStr">
        <is>
          <t>G1 BAURU E MARÍLIA</t>
        </is>
      </c>
      <c r="H1677" t="inlineStr">
        <is>
          <t>VENEZUELANA NO BRASIL AGUARDA CHEGADA DA FILHA QUE DEIXOU O PAÍS UM DIA ANTES DO BLOQUEIO DA FRONTEIRA</t>
        </is>
      </c>
      <c r="I1677" t="inlineStr">
        <is>
          <t>TÂNEA NORIEGA ESTÁ EM BAURU, NO INTERIOR DE SP, HÁ DOIS ANOS E CONTA QUE FAMILIARES VIVEM COM MUITO POUCO NA VENEZUELA; MÉDICO DIZ QUE PAÍS ESTÁ UM CAOS: ‘ESCASSEZ DE PRODUTOS, INSEGURANÇA’.</t>
        </is>
      </c>
      <c r="J1677" t="inlineStr"/>
      <c r="K1677" t="n">
        <v>0</v>
      </c>
      <c r="L1677" t="n">
        <v>3</v>
      </c>
      <c r="M1677" t="n">
        <v>1</v>
      </c>
      <c r="N1677" t="n">
        <v>0</v>
      </c>
      <c r="O1677" t="n">
        <v>1</v>
      </c>
      <c r="P1677">
        <f>HYPERLINK("https://g1.globo.com/sp/bauru-marilia/noticia/2019/02/26/venezuelana-no-brasil-aguarda-chegada-da-filha-que-deixou-o-pais-um-dia-antes-do-bloqueio-da-fronteira.ghtml", "URL")</f>
        <v/>
      </c>
      <c r="Q1677">
        <f>HYPERLINK("https://raw.githubusercontent.com/marcosmapl/dataset_imigrantes/main/materias_filtered/g1/venezuelanos/2019/01_fev/html/g1_8447cd3c-2322-11ed-b24f-6dbe51e79fca_3755.html", "HTML")</f>
        <v/>
      </c>
      <c r="R1677">
        <f>HYPERLINK("https://raw.githubusercontent.com/marcosmapl/dataset_imigrantes/main/materias_filtered/g1/venezuelanos/2019/01_fev/txt/g1_8447cd3c-2322-11ed-b24f-6dbe51e79fca_3755.txt", "TXT")</f>
        <v/>
      </c>
    </row>
    <row r="1678">
      <c r="A1678" s="1" t="n">
        <v>1676</v>
      </c>
      <c r="B1678" t="n">
        <v>2019</v>
      </c>
      <c r="C1678" s="2" t="n">
        <v>43522.05244583333</v>
      </c>
      <c r="D1678" t="inlineStr">
        <is>
          <t>G1</t>
        </is>
      </c>
      <c r="E1678" t="inlineStr">
        <is>
          <t>VENEZUELANOS</t>
        </is>
      </c>
      <c r="F1678" t="inlineStr">
        <is>
          <t>MUNDO</t>
        </is>
      </c>
      <c r="G1678" t="inlineStr">
        <is>
          <t>G1</t>
        </is>
      </c>
      <c r="H1678" t="inlineStr">
        <is>
          <t>JORNALISTAS SÃO RETIDOS EM PALÁCIO PRESIDENCIAL VENEZUELANO POR ORDEM DE MADURO, DIZ EMISSORA</t>
        </is>
      </c>
      <c r="I1678" t="inlineStr">
        <is>
          <t>PRESIDENTE NÃO GOSTOU DO TEOR DE PERGUNTAS FEITAS PELO JORNALISTA JORGE RAMOS, DA UNIVISION NOTICIAS. ELE INTERROMPEU GRAVAÇÃO, MANDOU CONFISCAR EQUIPAMENTO E DETER EQUIPE.</t>
        </is>
      </c>
      <c r="J1678" t="inlineStr"/>
      <c r="K1678" t="n">
        <v>0</v>
      </c>
      <c r="L1678" t="n">
        <v>3</v>
      </c>
      <c r="M1678" t="n">
        <v>2</v>
      </c>
      <c r="N1678" t="n">
        <v>0</v>
      </c>
      <c r="O1678" t="n">
        <v>12</v>
      </c>
      <c r="P1678">
        <f>HYPERLINK("https://g1.globo.com/mundo/noticia/2019/02/25/jornalistas-sao-detidos-em-palacio-presidencial-venezuelano-por-ordem-de-maduro-diz-emissora.ghtml", "URL")</f>
        <v/>
      </c>
      <c r="Q1678">
        <f>HYPERLINK("https://raw.githubusercontent.com/marcosmapl/dataset_imigrantes/main/materias_filtered/g1/venezuelanos/2019/01_fev/html/g1_30aeb688-2307-11ed-b24f-6dbe51e79fca_2302.html", "HTML")</f>
        <v/>
      </c>
      <c r="R1678">
        <f>HYPERLINK("https://raw.githubusercontent.com/marcosmapl/dataset_imigrantes/main/materias_filtered/g1/venezuelanos/2019/01_fev/txt/g1_30aeb688-2307-11ed-b24f-6dbe51e79fca_2302.txt", "TXT")</f>
        <v/>
      </c>
    </row>
    <row r="1679">
      <c r="A1679" s="1" t="n">
        <v>1677</v>
      </c>
      <c r="B1679" t="n">
        <v>2019</v>
      </c>
      <c r="C1679" s="2" t="n">
        <v>43521.82623355324</v>
      </c>
      <c r="D1679" t="inlineStr">
        <is>
          <t>G1</t>
        </is>
      </c>
      <c r="E1679" t="inlineStr">
        <is>
          <t>VENEZUELANOS</t>
        </is>
      </c>
      <c r="F1679" t="inlineStr">
        <is>
          <t>MUNDO</t>
        </is>
      </c>
      <c r="G1679" t="inlineStr">
        <is>
          <t>G1</t>
        </is>
      </c>
      <c r="H1679" t="inlineStr">
        <is>
          <t>MILITAR VENEZUELANO DESERTA COM CACHORRO ANTIDROGAS PARA A COLÔMBIA</t>
        </is>
      </c>
      <c r="I1679" t="inlineStr">
        <is>
          <t>MILITAR FUGIU COM CÃO USADO EM OPERAÇÕES ANTIDROGAS: 'É COMO MEU FILHO'.</t>
        </is>
      </c>
      <c r="J1679" t="inlineStr"/>
      <c r="K1679" t="n">
        <v>0</v>
      </c>
      <c r="L1679" t="n">
        <v>2</v>
      </c>
      <c r="M1679" t="n">
        <v>0</v>
      </c>
      <c r="N1679" t="n">
        <v>0</v>
      </c>
      <c r="O1679" t="n">
        <v>14</v>
      </c>
      <c r="P1679">
        <f>HYPERLINK("https://g1.globo.com/mundo/noticia/2019/02/25/cachorro-antidrogas-da-guarda-venezuelana-deserta-com-o-dono-para-a-colombia.ghtml", "URL")</f>
        <v/>
      </c>
      <c r="Q1679">
        <f>HYPERLINK("https://raw.githubusercontent.com/marcosmapl/dataset_imigrantes/main/materias_filtered/g1/venezuelanos/2019/01_fev/html/g1_96efd5d8-2322-11ed-b24f-6dbe51e79fca_3759.html", "HTML")</f>
        <v/>
      </c>
      <c r="R1679">
        <f>HYPERLINK("https://raw.githubusercontent.com/marcosmapl/dataset_imigrantes/main/materias_filtered/g1/venezuelanos/2019/01_fev/txt/g1_96efd5d8-2322-11ed-b24f-6dbe51e79fca_3759.txt", "TXT")</f>
        <v/>
      </c>
    </row>
    <row r="1680">
      <c r="A1680" s="1" t="n">
        <v>1678</v>
      </c>
      <c r="B1680" t="n">
        <v>2019</v>
      </c>
      <c r="C1680" s="2" t="n">
        <v>43521.72152777778</v>
      </c>
      <c r="D1680" t="inlineStr">
        <is>
          <t>PORTAL AMAZONIA</t>
        </is>
      </c>
      <c r="E1680" t="inlineStr">
        <is>
          <t>VENEZUELANOS</t>
        </is>
      </c>
      <c r="F1680" t="inlineStr">
        <is>
          <t>CIDADES</t>
        </is>
      </c>
      <c r="G1680" t="inlineStr">
        <is>
          <t>REDAÇÃO</t>
        </is>
      </c>
      <c r="H1680" t="inlineStr">
        <is>
          <t>RORAIMA DECRETA ESTADO DE CALAMIDADE PÚBLICA NA SAÚDE APÓS CONFLITOS NA FRONTEIRA</t>
        </is>
      </c>
      <c r="I1680" t="inlineStr">
        <is>
          <t>O GOVERNADOR DE RORAIMA, ANTONIO DENARIUM, ASSINOU DECRETO DE CALAMIDADE PÚBLICA NA SAÚDE, A SER PUBLICADO NESTA SEGUNDA-FEIRA (25) NO DIÁRIO OFICIAL DO ESTADO, SEGUNDO A ASSESSORIA DE IMPRENSA DO GOVERNO.A DECISÃO FOI MOTIVADA PELO AGRAVAMENTO DOS C</t>
        </is>
      </c>
      <c r="J1680" t="inlineStr">
        <is>
          <t>CALAMIDADE PUBLICA, FRONTEIRA VENEZUELA FECHADA, RORAIMA, SAÚDE</t>
        </is>
      </c>
      <c r="K1680" t="n">
        <v>4</v>
      </c>
      <c r="L1680" t="n">
        <v>2</v>
      </c>
      <c r="M1680" t="n">
        <v>0</v>
      </c>
      <c r="N1680" t="n">
        <v>0</v>
      </c>
      <c r="O1680" t="n">
        <v>9</v>
      </c>
      <c r="P1680">
        <f>HYPERLINK("https://portalamazonia.com/noticias/cidades/roraima-decreta-estado-de-calamidade-publica-na-saude-apos-conflitos-na-fronteira", "URL")</f>
        <v/>
      </c>
      <c r="Q1680">
        <f>HYPERLINK("https://raw.githubusercontent.com/marcosmapl/dataset_imigrantes/main/materias_filtered/portal_amazonia/venezuelanos/2019/01_fev/html/17147.17147_1496.html", "HTML")</f>
        <v/>
      </c>
      <c r="R1680">
        <f>HYPERLINK("https://raw.githubusercontent.com/marcosmapl/dataset_imigrantes/main/materias_filtered/portal_amazonia/venezuelanos/2019/01_fev/txt/17147.17147_1496.txt", "TXT")</f>
        <v/>
      </c>
    </row>
    <row r="1681">
      <c r="A1681" s="1" t="n">
        <v>1679</v>
      </c>
      <c r="B1681" t="n">
        <v>2019</v>
      </c>
      <c r="C1681" s="2" t="n">
        <v>43521.64770040509</v>
      </c>
      <c r="D1681" t="inlineStr">
        <is>
          <t>G1</t>
        </is>
      </c>
      <c r="E1681" t="inlineStr">
        <is>
          <t>VENEZUELANOS</t>
        </is>
      </c>
      <c r="F1681" t="inlineStr">
        <is>
          <t>PARÁ</t>
        </is>
      </c>
      <c r="G1681" t="inlineStr">
        <is>
          <t>G1 PA — BELÉM</t>
        </is>
      </c>
      <c r="H1681" t="inlineStr">
        <is>
          <t>CRIANÇA VENEZUELANA WARAO MORRE  DESNUTRIDA E COM PNEUMONIA, EM BELÉM</t>
        </is>
      </c>
      <c r="I1681" t="inlineStr">
        <is>
          <t>A CRIANÇA ERA DE UM GRUPO QUE CHEGOU NA CAPITAL PARAENSE HÁ TRÊS SEMANAS, E VIVIA EM UM  GALPÃO NO DISTRITO DE ICOARACI.</t>
        </is>
      </c>
      <c r="J1681" t="inlineStr"/>
      <c r="K1681" t="n">
        <v>0</v>
      </c>
      <c r="L1681" t="n">
        <v>1</v>
      </c>
      <c r="M1681" t="n">
        <v>0</v>
      </c>
      <c r="N1681" t="n">
        <v>0</v>
      </c>
      <c r="O1681" t="n">
        <v>0</v>
      </c>
      <c r="P1681">
        <f>HYPERLINK("https://g1.globo.com/pa/para/noticia/2019/02/25/crianca-venezuelana-warao-morre-desnutrida-e-com-pneumonia-em-belem.ghtml", "URL")</f>
        <v/>
      </c>
      <c r="Q1681">
        <f>HYPERLINK("https://raw.githubusercontent.com/marcosmapl/dataset_imigrantes/main/materias_filtered/g1/venezuelanos/2019/01_fev/html/g1_525a8f1c-2309-11ed-b24f-6dbe51e79fca_2438.html", "HTML")</f>
        <v/>
      </c>
      <c r="R1681">
        <f>HYPERLINK("https://raw.githubusercontent.com/marcosmapl/dataset_imigrantes/main/materias_filtered/g1/venezuelanos/2019/01_fev/txt/g1_525a8f1c-2309-11ed-b24f-6dbe51e79fca_2438.txt", "TXT")</f>
        <v/>
      </c>
    </row>
    <row r="1682">
      <c r="A1682" s="1" t="n">
        <v>1680</v>
      </c>
      <c r="B1682" t="n">
        <v>2019</v>
      </c>
      <c r="C1682" s="2" t="n">
        <v>43521.625</v>
      </c>
      <c r="D1682" t="inlineStr">
        <is>
          <t>A CRITICA</t>
        </is>
      </c>
      <c r="E1682" t="inlineStr">
        <is>
          <t>VENEZUELANOS</t>
        </is>
      </c>
      <c r="F1682" t="inlineStr">
        <is>
          <t>MANAUS</t>
        </is>
      </c>
      <c r="G1682" t="inlineStr">
        <is>
          <t>MÁRCIA MONTEIRO</t>
        </is>
      </c>
      <c r="H1682" t="inlineStr">
        <is>
          <t>EX-CANDIDATA AO MISS AMAZONAS E AMIGO SÃO ESFAQUEADOS EM ASSALTO EM BLOCO DE CARNAVAL</t>
        </is>
      </c>
      <c r="I1682" t="inlineStr">
        <is>
          <t>MABEL CRISTINA, DE 23 ANOS, E FELIPE DO CARMO, 27, USAVAM UM CELULAR PARA TIRAR UMA FOTO QUANDO FORAM ABORDADOS. A MODELO ESTÁ HOSPITALIZADA EM ESTADO GRAVE</t>
        </is>
      </c>
      <c r="J1682" t="inlineStr"/>
      <c r="K1682" t="n">
        <v>0</v>
      </c>
      <c r="L1682" t="n">
        <v>1</v>
      </c>
      <c r="M1682" t="n">
        <v>0</v>
      </c>
      <c r="N1682" t="n">
        <v>0</v>
      </c>
      <c r="O1682" t="n">
        <v>0</v>
      </c>
      <c r="P1682">
        <f>HYPERLINK("https://www.acritica.com/manaus/ex-candidata-ao-miss-amazonas-e-amigo-s-o-esfaqueados-em-assalto-em-bloco-de-carnaval-1.74973", "URL")</f>
        <v/>
      </c>
      <c r="Q1682">
        <f>HYPERLINK("https://raw.githubusercontent.com/marcosmapl/dataset_imigrantes/main/materias_filtered/a_critica/venezuelanos/2019/01_fev/html/1.74973_387.html", "HTML")</f>
        <v/>
      </c>
      <c r="R1682">
        <f>HYPERLINK("https://raw.githubusercontent.com/marcosmapl/dataset_imigrantes/main/materias_filtered/a_critica/venezuelanos/2019/01_fev/txt/1.74973_387.txt", "TXT")</f>
        <v/>
      </c>
    </row>
    <row r="1683">
      <c r="A1683" s="1" t="n">
        <v>1681</v>
      </c>
      <c r="B1683" t="n">
        <v>2019</v>
      </c>
      <c r="C1683" s="2" t="n">
        <v>43521.58056712963</v>
      </c>
      <c r="D1683" t="inlineStr">
        <is>
          <t>A CRITICA</t>
        </is>
      </c>
      <c r="E1683" t="inlineStr">
        <is>
          <t>VENEZUELANOS</t>
        </is>
      </c>
      <c r="F1683" t="inlineStr"/>
      <c r="G1683" t="inlineStr">
        <is>
          <t>PAULA LABOISSIÈRE (AGÊNCIA BRASIL)</t>
        </is>
      </c>
      <c r="H1683" t="inlineStr">
        <is>
          <t>RORAIMA DECRETA CALAMIDADE PÚBLICA NA SAÚDE DEVIDO A CONFLITOS NA FRONTEIRA</t>
        </is>
      </c>
      <c r="I1683" t="inlineStr">
        <is>
          <t>AGRAVAMENTO DE CONFLITOS ELEVOU NÚMERO DE ATENDIMENTOS NO HOSPITAL GERAL, PRINCIPAL UNIDADE DA REDE E A ÚNICA A REALIZAR PROCEDIMENTOS DE ALTA COMPLEXIDADE</t>
        </is>
      </c>
      <c r="J1683" t="inlineStr"/>
      <c r="K1683" t="n">
        <v>0</v>
      </c>
      <c r="L1683" t="n">
        <v>1</v>
      </c>
      <c r="M1683" t="n">
        <v>0</v>
      </c>
      <c r="N1683" t="n">
        <v>0</v>
      </c>
      <c r="O1683" t="n">
        <v>0</v>
      </c>
      <c r="P1683">
        <f>HYPERLINK("https://www.acritica.com/roraima-decreta-calamidade-publica-na-saude-devido-a-conflitos-na-fronteira-1.75004", "URL")</f>
        <v/>
      </c>
      <c r="Q1683">
        <f>HYPERLINK("https://raw.githubusercontent.com/marcosmapl/dataset_imigrantes/main/materias_filtered/a_critica/venezuelanos/2019/01_fev/html/1.75004_85.html", "HTML")</f>
        <v/>
      </c>
      <c r="R1683">
        <f>HYPERLINK("https://raw.githubusercontent.com/marcosmapl/dataset_imigrantes/main/materias_filtered/a_critica/venezuelanos/2019/01_fev/txt/1.75004_85.txt", "TXT")</f>
        <v/>
      </c>
    </row>
    <row r="1684">
      <c r="A1684" s="1" t="n">
        <v>1682</v>
      </c>
      <c r="B1684" t="n">
        <v>2019</v>
      </c>
      <c r="C1684" s="2" t="n">
        <v>43521.51263888889</v>
      </c>
      <c r="D1684" t="inlineStr">
        <is>
          <t>A CRITICA</t>
        </is>
      </c>
      <c r="E1684" t="inlineStr">
        <is>
          <t>VENEZUELANOS</t>
        </is>
      </c>
      <c r="F1684" t="inlineStr"/>
      <c r="G1684" t="inlineStr">
        <is>
          <t>AGÊNCIA BRASIL</t>
        </is>
      </c>
      <c r="H1684" t="inlineStr">
        <is>
          <t>GUAIDÓ INDICA QUE MANTERÁ AJUDA HUMANITÁRIA PARA A VENEZUELA</t>
        </is>
      </c>
      <c r="I1684" t="inlineStr">
        <is>
          <t>“A VENEZUELA TEM UM POVO QUE RESISTE E INSISTE EM BUSCAR A DEMOCRACIA E A LIBERDADE", AFIRMOU GUAIDÓ AO CHEGAR À CAPITAL COLOMBIANA</t>
        </is>
      </c>
      <c r="J1684" t="inlineStr"/>
      <c r="K1684" t="n">
        <v>0</v>
      </c>
      <c r="L1684" t="n">
        <v>1</v>
      </c>
      <c r="M1684" t="n">
        <v>0</v>
      </c>
      <c r="N1684" t="n">
        <v>0</v>
      </c>
      <c r="O1684" t="n">
        <v>0</v>
      </c>
      <c r="P1684">
        <f>HYPERLINK("https://www.acritica.com/guaido-indica-que-mantera-ajuda-humanitaria-para-a-venezuela-1.75032", "URL")</f>
        <v/>
      </c>
      <c r="Q1684">
        <f>HYPERLINK("https://raw.githubusercontent.com/marcosmapl/dataset_imigrantes/main/materias_filtered/a_critica/venezuelanos/2019/01_fev/html/1.75032_813.html", "HTML")</f>
        <v/>
      </c>
      <c r="R1684">
        <f>HYPERLINK("https://raw.githubusercontent.com/marcosmapl/dataset_imigrantes/main/materias_filtered/a_critica/venezuelanos/2019/01_fev/txt/1.75032_813.txt", "TXT")</f>
        <v/>
      </c>
    </row>
    <row r="1685">
      <c r="A1685" s="1" t="n">
        <v>1683</v>
      </c>
      <c r="B1685" t="n">
        <v>2019</v>
      </c>
      <c r="C1685" s="2" t="n">
        <v>43521.44269675926</v>
      </c>
      <c r="D1685" t="inlineStr">
        <is>
          <t>A CRITICA</t>
        </is>
      </c>
      <c r="E1685" t="inlineStr">
        <is>
          <t>VENEZUELANOS</t>
        </is>
      </c>
      <c r="F1685" t="inlineStr">
        <is>
          <t>OPINIAO</t>
        </is>
      </c>
      <c r="G1685" t="inlineStr"/>
      <c r="H1685" t="inlineStr">
        <is>
          <t>VENEZUELA SEM SOLUÇÃO</t>
        </is>
      </c>
      <c r="I1685" t="inlineStr"/>
      <c r="J1685" t="inlineStr"/>
      <c r="K1685" t="n">
        <v>0</v>
      </c>
      <c r="L1685" t="n">
        <v>1</v>
      </c>
      <c r="M1685" t="n">
        <v>0</v>
      </c>
      <c r="N1685" t="n">
        <v>0</v>
      </c>
      <c r="O1685" t="n">
        <v>0</v>
      </c>
      <c r="P1685">
        <f>HYPERLINK("https://www.acritica.com/opiniao/venezuela-sem-soluc-o-1.223805", "URL")</f>
        <v/>
      </c>
      <c r="Q1685">
        <f>HYPERLINK("https://raw.githubusercontent.com/marcosmapl/dataset_imigrantes/main/materias_filtered/a_critica/venezuelanos/2019/01_fev/html/1.223805_175.html", "HTML")</f>
        <v/>
      </c>
      <c r="R1685">
        <f>HYPERLINK("https://raw.githubusercontent.com/marcosmapl/dataset_imigrantes/main/materias_filtered/a_critica/venezuelanos/2019/01_fev/txt/1.223805_175.txt", "TXT")</f>
        <v/>
      </c>
    </row>
    <row r="1686">
      <c r="A1686" s="1" t="n">
        <v>1684</v>
      </c>
      <c r="B1686" t="n">
        <v>2019</v>
      </c>
      <c r="C1686" s="2" t="n">
        <v>43520.70820326389</v>
      </c>
      <c r="D1686" t="inlineStr">
        <is>
          <t>G1</t>
        </is>
      </c>
      <c r="E1686" t="inlineStr">
        <is>
          <t>VENEZUELANOS</t>
        </is>
      </c>
      <c r="F1686" t="inlineStr">
        <is>
          <t>RORAIMA</t>
        </is>
      </c>
      <c r="G1686" t="inlineStr">
        <is>
          <t>PEDRO BARBOSA, G1 RR — BOA VISTA</t>
        </is>
      </c>
      <c r="H1686" t="inlineStr">
        <is>
          <t>GOVERNADOR DE RORAIMA DEVE DECRETAR CALAMIDADE NA SAÚDE APÓS CONFLITOS NA VENEZUELA</t>
        </is>
      </c>
      <c r="I1686" t="inlineStr">
        <is>
          <t>DESDE A SEXTA (22), HOSPITAIS DO ESTADO RECEBEM VÍTIMAS DE CONFLITOS EM CIDADES VENEZUELANAS. PACIENTES INGRESSAM NO PAÍS POR PACARAIMA E SÃO TRANSFERIDOS A BOA VISTA.</t>
        </is>
      </c>
      <c r="J1686" t="inlineStr"/>
      <c r="K1686" t="n">
        <v>0</v>
      </c>
      <c r="L1686" t="n">
        <v>2</v>
      </c>
      <c r="M1686" t="n">
        <v>0</v>
      </c>
      <c r="N1686" t="n">
        <v>0</v>
      </c>
      <c r="O1686" t="n">
        <v>11</v>
      </c>
      <c r="P1686">
        <f>HYPERLINK("https://g1.globo.com/rr/roraima/noticia/2019/02/24/governador-de-roraima-deve-decretar-calamidade-na-saude-apos-conflitos-na-venezuela.ghtml", "URL")</f>
        <v/>
      </c>
      <c r="Q1686">
        <f>HYPERLINK("https://raw.githubusercontent.com/marcosmapl/dataset_imigrantes/main/materias_filtered/g1/venezuelanos/2019/01_fev/html/g1_3e268c78-2307-11ed-b24f-6dbe51e79fca_2306.html", "HTML")</f>
        <v/>
      </c>
      <c r="R1686">
        <f>HYPERLINK("https://raw.githubusercontent.com/marcosmapl/dataset_imigrantes/main/materias_filtered/g1/venezuelanos/2019/01_fev/txt/g1_3e268c78-2307-11ed-b24f-6dbe51e79fca_2306.txt", "TXT")</f>
        <v/>
      </c>
    </row>
    <row r="1687">
      <c r="A1687" s="1" t="n">
        <v>1685</v>
      </c>
      <c r="B1687" t="n">
        <v>2019</v>
      </c>
      <c r="C1687" s="2" t="n">
        <v>43520.53680555556</v>
      </c>
      <c r="D1687" t="inlineStr">
        <is>
          <t>A CRITICA</t>
        </is>
      </c>
      <c r="E1687" t="inlineStr">
        <is>
          <t>VENEZUELANOS</t>
        </is>
      </c>
      <c r="F1687" t="inlineStr"/>
      <c r="G1687" t="inlineStr">
        <is>
          <t>AGÊNCIA BRASIL</t>
        </is>
      </c>
      <c r="H1687" t="inlineStr">
        <is>
          <t>BRASIL CONDENA VIOLÊNCIA NAS FRONTEIRAS COM A VENEZUELA: 'DE CARÁTER CRIMINOSO'</t>
        </is>
      </c>
      <c r="I1687" t="inlineStr">
        <is>
          <t>EM NOTA, ITAMARATY MENCIONA “ATENTADO BRUTAL AOS DIREITOS HUMANOS”</t>
        </is>
      </c>
      <c r="J1687" t="inlineStr"/>
      <c r="K1687" t="n">
        <v>0</v>
      </c>
      <c r="L1687" t="n">
        <v>1</v>
      </c>
      <c r="M1687" t="n">
        <v>0</v>
      </c>
      <c r="N1687" t="n">
        <v>0</v>
      </c>
      <c r="O1687" t="n">
        <v>0</v>
      </c>
      <c r="P1687">
        <f>HYPERLINK("https://www.acritica.com/brasil-condena-violencia-nas-fronteiras-com-a-venezuela-de-carater-criminoso-1.74842", "URL")</f>
        <v/>
      </c>
      <c r="Q1687">
        <f>HYPERLINK("https://raw.githubusercontent.com/marcosmapl/dataset_imigrantes/main/materias_filtered/a_critica/venezuelanos/2019/01_fev/html/1.74842_1348.html", "HTML")</f>
        <v/>
      </c>
      <c r="R1687">
        <f>HYPERLINK("https://raw.githubusercontent.com/marcosmapl/dataset_imigrantes/main/materias_filtered/a_critica/venezuelanos/2019/01_fev/txt/1.74842_1348.txt", "TXT")</f>
        <v/>
      </c>
    </row>
    <row r="1688">
      <c r="A1688" s="1" t="n">
        <v>1686</v>
      </c>
      <c r="B1688" t="n">
        <v>2019</v>
      </c>
      <c r="C1688" s="2" t="n">
        <v>43520.03748818287</v>
      </c>
      <c r="D1688" t="inlineStr">
        <is>
          <t>G1</t>
        </is>
      </c>
      <c r="E1688" t="inlineStr">
        <is>
          <t>VENEZUELANOS</t>
        </is>
      </c>
      <c r="F1688" t="inlineStr">
        <is>
          <t>JORNAL NACIONAL</t>
        </is>
      </c>
      <c r="G1688" t="inlineStr"/>
      <c r="H1688" t="inlineStr">
        <is>
          <t>CAMINHÕES PARTEM DO BRASIL, MAS SÃO IMPEDIDOS DE PASSAR PELA ALFÂNDEGA VENEZUELANA</t>
        </is>
      </c>
      <c r="I1688" t="inlineStr">
        <is>
          <t>NA FRONTEIRA DO BRASIL COM A VENEZUELA. A SITUAÇÃO FICOU MUITO TENSA, E NO FIM DO DIA, HOUVE CONFRONTO. DOIS CAMINHÕES COM AJUDA HUMANITÁRIA NÃO CONSEGUIRAM PASSAR PELA ALFÂNDEGA VENEZUELANA.</t>
        </is>
      </c>
      <c r="J1688" t="inlineStr"/>
      <c r="K1688" t="n">
        <v>0</v>
      </c>
      <c r="L1688" t="n">
        <v>1</v>
      </c>
      <c r="M1688" t="n">
        <v>1</v>
      </c>
      <c r="N1688" t="n">
        <v>0</v>
      </c>
      <c r="O1688" t="n">
        <v>0</v>
      </c>
      <c r="P1688">
        <f>HYPERLINK("https://g1.globo.com/jornal-nacional/noticia/2019/02/23/caminhoes-partem-do-brasil-mas-sao-impedidos-de-passar-pela-alfandega-venezuelana.ghtml", "URL")</f>
        <v/>
      </c>
      <c r="Q1688">
        <f>HYPERLINK("https://raw.githubusercontent.com/marcosmapl/dataset_imigrantes/main/materias_filtered/g1/venezuelanos/2019/01_fev/html/g1_d8584d38-230f-11ed-b24f-6dbe51e79fca_2822.html", "HTML")</f>
        <v/>
      </c>
      <c r="R1688">
        <f>HYPERLINK("https://raw.githubusercontent.com/marcosmapl/dataset_imigrantes/main/materias_filtered/g1/venezuelanos/2019/01_fev/txt/g1_d8584d38-230f-11ed-b24f-6dbe51e79fca_2822.txt", "TXT")</f>
        <v/>
      </c>
    </row>
    <row r="1689">
      <c r="A1689" s="1" t="n">
        <v>1687</v>
      </c>
      <c r="B1689" t="n">
        <v>2019</v>
      </c>
      <c r="C1689" s="2" t="n">
        <v>43519.87251481482</v>
      </c>
      <c r="D1689" t="inlineStr">
        <is>
          <t>G1</t>
        </is>
      </c>
      <c r="E1689" t="inlineStr">
        <is>
          <t>VENEZUELANOS</t>
        </is>
      </c>
      <c r="F1689" t="inlineStr">
        <is>
          <t>RORAIMA</t>
        </is>
      </c>
      <c r="G1689" t="inlineStr">
        <is>
          <t>ALAN CHAVES, G1</t>
        </is>
      </c>
      <c r="H1689" t="inlineStr">
        <is>
          <t>MÉDICA RELATA 3 MORTOS A TIROS EM CIDADE VENEZUELANA PRÓXIMA DA FRONTEIRA COM O BRASIL</t>
        </is>
      </c>
      <c r="I1689" t="inlineStr">
        <is>
          <t>CARLA SERVITÁ, QUE TRABALHA EM HOSPITAL DE SANTA ELENA, NA VENEZUELA, CHEGOU A RORAIMA EM AMBULÂNCIA JUNTO COM FERIDO NA TARDE DESTE SÁBADO (23).</t>
        </is>
      </c>
      <c r="J1689" t="inlineStr"/>
      <c r="K1689" t="n">
        <v>0</v>
      </c>
      <c r="L1689" t="n">
        <v>4</v>
      </c>
      <c r="M1689" t="n">
        <v>2</v>
      </c>
      <c r="N1689" t="n">
        <v>0</v>
      </c>
      <c r="O1689" t="n">
        <v>0</v>
      </c>
      <c r="P1689">
        <f>HYPERLINK("https://g1.globo.com/rr/roraima/noticia/2019/02/23/medica-relata-3-mortos-a-tiros-em-cidade-venezuelana-proxima-da-fronteira-com-o-brasil.ghtml", "URL")</f>
        <v/>
      </c>
      <c r="Q1689">
        <f>HYPERLINK("https://raw.githubusercontent.com/marcosmapl/dataset_imigrantes/main/materias_filtered/g1/venezuelanos/2019/01_fev/html/g1_b808843c-2321-11ed-b24f-6dbe51e79fca_3714.html", "HTML")</f>
        <v/>
      </c>
      <c r="R1689">
        <f>HYPERLINK("https://raw.githubusercontent.com/marcosmapl/dataset_imigrantes/main/materias_filtered/g1/venezuelanos/2019/01_fev/txt/g1_b808843c-2321-11ed-b24f-6dbe51e79fca_3714.txt", "TXT")</f>
        <v/>
      </c>
    </row>
    <row r="1690">
      <c r="A1690" s="1" t="n">
        <v>1688</v>
      </c>
      <c r="B1690" t="n">
        <v>2019</v>
      </c>
      <c r="C1690" s="2" t="n">
        <v>43519.83203703703</v>
      </c>
      <c r="D1690" t="inlineStr">
        <is>
          <t>A CRITICA</t>
        </is>
      </c>
      <c r="E1690" t="inlineStr">
        <is>
          <t>VENEZUELANOS</t>
        </is>
      </c>
      <c r="F1690" t="inlineStr"/>
      <c r="G1690" t="inlineStr">
        <is>
          <t>AGÊNCIA BRASIL</t>
        </is>
      </c>
      <c r="H1690" t="inlineStr">
        <is>
          <t>MADURO DISCURSA PARA APOIADORES E CRITICA AJUDA HUMANITÁRIA À VENEZUELA</t>
        </is>
      </c>
      <c r="I1690" t="inlineStr">
        <is>
          <t>DURANTE DISCURSO, O PRESIDENTE DA VENEZUELA ATACOU OS PRESIDENTES DA COLÔMBIA E DOS ESTADOS UNIDOS</t>
        </is>
      </c>
      <c r="J1690" t="inlineStr"/>
      <c r="K1690" t="n">
        <v>0</v>
      </c>
      <c r="L1690" t="n">
        <v>1</v>
      </c>
      <c r="M1690" t="n">
        <v>0</v>
      </c>
      <c r="N1690" t="n">
        <v>0</v>
      </c>
      <c r="O1690" t="n">
        <v>0</v>
      </c>
      <c r="P1690">
        <f>HYPERLINK("https://www.acritica.com/maduro-discursa-para-apoiadores-e-critica-ajuda-humanitaria-a-venezuela-1.74852", "URL")</f>
        <v/>
      </c>
      <c r="Q1690">
        <f>HYPERLINK("https://raw.githubusercontent.com/marcosmapl/dataset_imigrantes/main/materias_filtered/a_critica/venezuelanos/2019/01_fev/html/1.74852_1329.html", "HTML")</f>
        <v/>
      </c>
      <c r="R1690">
        <f>HYPERLINK("https://raw.githubusercontent.com/marcosmapl/dataset_imigrantes/main/materias_filtered/a_critica/venezuelanos/2019/01_fev/txt/1.74852_1329.txt", "TXT")</f>
        <v/>
      </c>
    </row>
    <row r="1691">
      <c r="A1691" s="1" t="n">
        <v>1689</v>
      </c>
      <c r="B1691" t="n">
        <v>2019</v>
      </c>
      <c r="C1691" s="2" t="n">
        <v>43519.83129644676</v>
      </c>
      <c r="D1691" t="inlineStr">
        <is>
          <t>G1</t>
        </is>
      </c>
      <c r="E1691" t="inlineStr">
        <is>
          <t>VENEZUELANOS</t>
        </is>
      </c>
      <c r="F1691" t="inlineStr">
        <is>
          <t>RORAIMA</t>
        </is>
      </c>
      <c r="G1691" t="inlineStr">
        <is>
          <t>EMILY COSTA, G1 RR — BOA VISTA</t>
        </is>
      </c>
      <c r="H1691" t="inlineStr">
        <is>
          <t>VENEZUELANO ENTROU COM CAMINHÃO NO BRASIL POR ROTA CLANDESTINA PARA BUSCAR AJUDA HUMANITÁRIA: 'QUERO AJUDAR'</t>
        </is>
      </c>
      <c r="I1691" t="inlineStr">
        <is>
          <t>MOTORISTA CONTOU COM A AJUDA DE BRASILEIROS PARA TROCAR PNEU DO CAMINHÃO QUE ESTOUROU DURANTE VIAGEM DE BOA VISTA PARA PACARAIMA.</t>
        </is>
      </c>
      <c r="J1691" t="inlineStr"/>
      <c r="K1691" t="n">
        <v>0</v>
      </c>
      <c r="L1691" t="n">
        <v>2</v>
      </c>
      <c r="M1691" t="n">
        <v>1</v>
      </c>
      <c r="N1691" t="n">
        <v>0</v>
      </c>
      <c r="O1691" t="n">
        <v>3</v>
      </c>
      <c r="P1691">
        <f>HYPERLINK("https://g1.globo.com/rr/roraima/noticia/2019/02/23/venezuelano-entrou-com-caminhao-no-brasil-por-rota-clandestina-para-buscar-ajuda-humanitaria-quero-ajudar.ghtml", "URL")</f>
        <v/>
      </c>
      <c r="Q1691">
        <f>HYPERLINK("https://raw.githubusercontent.com/marcosmapl/dataset_imigrantes/main/materias_filtered/g1/venezuelanos/2019/01_fev/html/g1_e8fe42f8-2325-11ed-b24f-6dbe51e79fca_3942.html", "HTML")</f>
        <v/>
      </c>
      <c r="R1691">
        <f>HYPERLINK("https://raw.githubusercontent.com/marcosmapl/dataset_imigrantes/main/materias_filtered/g1/venezuelanos/2019/01_fev/txt/g1_e8fe42f8-2325-11ed-b24f-6dbe51e79fca_3942.txt", "TXT")</f>
        <v/>
      </c>
    </row>
    <row r="1692">
      <c r="A1692" s="1" t="n">
        <v>1690</v>
      </c>
      <c r="B1692" t="n">
        <v>2019</v>
      </c>
      <c r="C1692" s="2" t="n">
        <v>43519.77569444444</v>
      </c>
      <c r="D1692" t="inlineStr">
        <is>
          <t>A CRITICA</t>
        </is>
      </c>
      <c r="E1692" t="inlineStr">
        <is>
          <t>VENEZUELANOS</t>
        </is>
      </c>
      <c r="F1692" t="inlineStr"/>
      <c r="G1692" t="inlineStr">
        <is>
          <t>POR FELIPE PONTES - REPÓRTER DA AGÊNCIA BRASIL</t>
        </is>
      </c>
      <c r="H1692" t="inlineStr">
        <is>
          <t>HOSPITAIS DE RORAIMA ATENDEM 13 VENEZUELANOS FERIDOS EM CONFRONTOS</t>
        </is>
      </c>
      <c r="I1692" t="inlineStr">
        <is>
          <t>UM DOS ATENDIDOS, IDENTIFICADO COMO LINO BENAVIDES, DEU ENTRADA NA NOITE DE SEXTA-FEIRA NO HOSPITAL EM BOA VISTA COM TRAUMATISMO CRANIANO E PERMANECE EM OBSERVAÇÃO</t>
        </is>
      </c>
      <c r="J1692" t="inlineStr"/>
      <c r="K1692" t="n">
        <v>0</v>
      </c>
      <c r="L1692" t="n">
        <v>1</v>
      </c>
      <c r="M1692" t="n">
        <v>0</v>
      </c>
      <c r="N1692" t="n">
        <v>0</v>
      </c>
      <c r="O1692" t="n">
        <v>0</v>
      </c>
      <c r="P1692">
        <f>HYPERLINK("https://www.acritica.com/hospitais-de-roraima-atendem-13-venezuelanos-feridos-em-confrontos-1.74854", "URL")</f>
        <v/>
      </c>
      <c r="Q1692">
        <f>HYPERLINK("https://raw.githubusercontent.com/marcosmapl/dataset_imigrantes/main/materias_filtered/a_critica/venezuelanos/2019/01_fev/html/1.74854_638.html", "HTML")</f>
        <v/>
      </c>
      <c r="R1692">
        <f>HYPERLINK("https://raw.githubusercontent.com/marcosmapl/dataset_imigrantes/main/materias_filtered/a_critica/venezuelanos/2019/01_fev/txt/1.74854_638.txt", "TXT")</f>
        <v/>
      </c>
    </row>
    <row r="1693">
      <c r="A1693" s="1" t="n">
        <v>1691</v>
      </c>
      <c r="B1693" t="n">
        <v>2019</v>
      </c>
      <c r="C1693" s="2" t="n">
        <v>43519.74980324074</v>
      </c>
      <c r="D1693" t="inlineStr">
        <is>
          <t>A CRITICA</t>
        </is>
      </c>
      <c r="E1693" t="inlineStr">
        <is>
          <t>VENEZUELANOS</t>
        </is>
      </c>
      <c r="F1693" t="inlineStr"/>
      <c r="G1693" t="inlineStr">
        <is>
          <t>AGÊNCIA BRASIL</t>
        </is>
      </c>
      <c r="H1693" t="inlineStr">
        <is>
          <t>GUAIDÓ E DUQUE APELAM A MILITARES VENEZUELANOS: 'FIQUEM DO LADO CERTO'</t>
        </is>
      </c>
      <c r="I1693" t="inlineStr">
        <is>
          <t>QUATRO MILITARES FIEIS AO PRESIDENTE MADURO TERIAM DESERTADO DAS FORÇAS ARMADAS DO PAÍS</t>
        </is>
      </c>
      <c r="J1693" t="inlineStr"/>
      <c r="K1693" t="n">
        <v>0</v>
      </c>
      <c r="L1693" t="n">
        <v>1</v>
      </c>
      <c r="M1693" t="n">
        <v>0</v>
      </c>
      <c r="N1693" t="n">
        <v>0</v>
      </c>
      <c r="O1693" t="n">
        <v>0</v>
      </c>
      <c r="P1693">
        <f>HYPERLINK("https://www.acritica.com/guaido-e-duque-apelam-a-militares-venezuelanos-fiquem-do-lado-certo-1.74860", "URL")</f>
        <v/>
      </c>
      <c r="Q1693">
        <f>HYPERLINK("https://raw.githubusercontent.com/marcosmapl/dataset_imigrantes/main/materias_filtered/a_critica/venezuelanos/2019/01_fev/html/1.74860_532.html", "HTML")</f>
        <v/>
      </c>
      <c r="R1693">
        <f>HYPERLINK("https://raw.githubusercontent.com/marcosmapl/dataset_imigrantes/main/materias_filtered/a_critica/venezuelanos/2019/01_fev/txt/1.74860_532.txt", "TXT")</f>
        <v/>
      </c>
    </row>
    <row r="1694">
      <c r="A1694" s="1" t="n">
        <v>1692</v>
      </c>
      <c r="B1694" t="n">
        <v>2019</v>
      </c>
      <c r="C1694" s="2" t="n">
        <v>43519.73033564815</v>
      </c>
      <c r="D1694" t="inlineStr">
        <is>
          <t>A CRITICA</t>
        </is>
      </c>
      <c r="E1694" t="inlineStr">
        <is>
          <t>VENEZUELANOS</t>
        </is>
      </c>
      <c r="F1694" t="inlineStr"/>
      <c r="G1694" t="inlineStr">
        <is>
          <t>REUTERS STAFF - REUTERS</t>
        </is>
      </c>
      <c r="H1694" t="inlineStr">
        <is>
          <t>MINISTRO DIZ ESPERAR QUE MADURO PERMITA ENTRADA DE AJUDA HUMANITÁRIA NA VENEZUELA</t>
        </is>
      </c>
      <c r="I1694" t="inlineStr">
        <is>
          <t>OS DOIS PRIMEIROS CAMINHÕES COM A AJUDA HUMANITÁRIA DO BRASIL PARTIU DE BOA VISTA NESTE SÁBADO (23)</t>
        </is>
      </c>
      <c r="J1694" t="inlineStr"/>
      <c r="K1694" t="n">
        <v>0</v>
      </c>
      <c r="L1694" t="n">
        <v>1</v>
      </c>
      <c r="M1694" t="n">
        <v>0</v>
      </c>
      <c r="N1694" t="n">
        <v>0</v>
      </c>
      <c r="O1694" t="n">
        <v>0</v>
      </c>
      <c r="P1694">
        <f>HYPERLINK("https://www.acritica.com/ministro-diz-esperar-que-maduro-permita-entrada-de-ajuda-humanitaria-na-venezuela-1.74864", "URL")</f>
        <v/>
      </c>
      <c r="Q1694">
        <f>HYPERLINK("https://raw.githubusercontent.com/marcosmapl/dataset_imigrantes/main/materias_filtered/a_critica/venezuelanos/2019/01_fev/html/1.74864_982.html", "HTML")</f>
        <v/>
      </c>
      <c r="R1694">
        <f>HYPERLINK("https://raw.githubusercontent.com/marcosmapl/dataset_imigrantes/main/materias_filtered/a_critica/venezuelanos/2019/01_fev/txt/1.74864_982.txt", "TXT")</f>
        <v/>
      </c>
    </row>
    <row r="1695">
      <c r="A1695" s="1" t="n">
        <v>1693</v>
      </c>
      <c r="B1695" t="n">
        <v>2019</v>
      </c>
      <c r="C1695" s="2" t="n">
        <v>43519.48169746528</v>
      </c>
      <c r="D1695" t="inlineStr">
        <is>
          <t>G1</t>
        </is>
      </c>
      <c r="E1695" t="inlineStr">
        <is>
          <t>VENEZUELANOS</t>
        </is>
      </c>
      <c r="F1695" t="inlineStr">
        <is>
          <t>SÃO JOSÉ DO RIO PRETO E ARAÇATUBA</t>
        </is>
      </c>
      <c r="G1695" t="inlineStr">
        <is>
          <t>CAROLINA PASCHOALON*, G1 RIO PRETO E ARAÇATUBA</t>
        </is>
      </c>
      <c r="H1695" t="inlineStr">
        <is>
          <t>'FICO PREOCUPADO COM MINHA FAMÍLIA', DIZ VENEZUELANO QUE GANHA A VIDA VENDENDO TEQUEÑOS NO BRASIL</t>
        </is>
      </c>
      <c r="I1695" t="inlineStr">
        <is>
          <t>JOSÉ VARGAS ESTÁ HÁ MAIS DE UM ANO EM RIO PRETO E FAZ PRATO TÍPICO DA VENEZUELA PARA PAGAR VIAGEM DA FAMÍLIA AO BRASIL. ELE SE DIZ PREOCUPADO COM O FECHAMENTO DA FRONTEIRA ENTRE OS PAÍSES.</t>
        </is>
      </c>
      <c r="J1695" t="inlineStr"/>
      <c r="K1695" t="n">
        <v>0</v>
      </c>
      <c r="L1695" t="n">
        <v>1</v>
      </c>
      <c r="M1695" t="n">
        <v>0</v>
      </c>
      <c r="N1695" t="n">
        <v>0</v>
      </c>
      <c r="O1695" t="n">
        <v>2</v>
      </c>
      <c r="P1695">
        <f>HYPERLINK("https://g1.globo.com/sp/sao-jose-do-rio-preto-aracatuba/noticia/2019/02/23/fico-preocupado-com-minha-familia-diz-venezuelano-que-ganha-a-vida-vendendo-tequenos-no-brasil.ghtml", "URL")</f>
        <v/>
      </c>
      <c r="Q1695">
        <f>HYPERLINK("https://raw.githubusercontent.com/marcosmapl/dataset_imigrantes/main/materias_filtered/g1/venezuelanos/2019/01_fev/html/g1_12be96ae-231e-11ed-b24f-6dbe51e79fca_3538.html", "HTML")</f>
        <v/>
      </c>
      <c r="R1695">
        <f>HYPERLINK("https://raw.githubusercontent.com/marcosmapl/dataset_imigrantes/main/materias_filtered/g1/venezuelanos/2019/01_fev/txt/g1_12be96ae-231e-11ed-b24f-6dbe51e79fca_3538.txt", "TXT")</f>
        <v/>
      </c>
    </row>
    <row r="1696">
      <c r="A1696" s="1" t="n">
        <v>1694</v>
      </c>
      <c r="B1696" t="n">
        <v>2019</v>
      </c>
      <c r="C1696" s="2" t="n">
        <v>43518.94792265046</v>
      </c>
      <c r="D1696" t="inlineStr">
        <is>
          <t>G1</t>
        </is>
      </c>
      <c r="E1696" t="inlineStr">
        <is>
          <t>VENEZUELANOS</t>
        </is>
      </c>
      <c r="F1696" t="inlineStr">
        <is>
          <t>CAMPINAS E REGIÃO</t>
        </is>
      </c>
      <c r="G1696" t="inlineStr">
        <is>
          <t>G1 CAMPINAS E REGIÃO</t>
        </is>
      </c>
      <c r="H1696" t="inlineStr">
        <is>
          <t>À ESPERA DA MULHER E DOIS FILHOS, VENEZUELANO VIVE DRAMA COM A FRONTEIRA FECHADA: 'É DOLOROSO'</t>
        </is>
      </c>
      <c r="I1696" t="inlineStr">
        <is>
          <t>CARLOS ORTIZ, DE 30 ANOS, HAVIA COMPRADO PASSAGEM PARA MULHER E DOIS FILHOS PARA 20 DE MARÇO, MAS PRECISOU REMARCÁ-LA. FRONTEIRA ENTRE BRASIL E VENEZUELA FOI FECHADA SOB ORDEM DE NICOLÁS MADURO POR TEMPO INDETERMINADO.</t>
        </is>
      </c>
      <c r="J1696" t="inlineStr"/>
      <c r="K1696" t="n">
        <v>0</v>
      </c>
      <c r="L1696" t="n">
        <v>2</v>
      </c>
      <c r="M1696" t="n">
        <v>1</v>
      </c>
      <c r="N1696" t="n">
        <v>0</v>
      </c>
      <c r="O1696" t="n">
        <v>5</v>
      </c>
      <c r="P1696">
        <f>HYPERLINK("https://g1.globo.com/sp/campinas-regiao/noticia/2019/02/22/a-espera-da-mulher-e-dois-filhos-venezuelano-vive-drama-com-a-fronteira-fechada-e-doloroso.ghtml", "URL")</f>
        <v/>
      </c>
      <c r="Q1696">
        <f>HYPERLINK("https://raw.githubusercontent.com/marcosmapl/dataset_imigrantes/main/materias_filtered/g1/venezuelanos/2019/01_fev/html/g1_9bcf31fe-230c-11ed-b24f-6dbe51e79fca_2635.html", "HTML")</f>
        <v/>
      </c>
      <c r="R1696">
        <f>HYPERLINK("https://raw.githubusercontent.com/marcosmapl/dataset_imigrantes/main/materias_filtered/g1/venezuelanos/2019/01_fev/txt/g1_9bcf31fe-230c-11ed-b24f-6dbe51e79fca_2635.txt", "TXT")</f>
        <v/>
      </c>
    </row>
    <row r="1697">
      <c r="A1697" s="1" t="n">
        <v>1695</v>
      </c>
      <c r="B1697" t="n">
        <v>2019</v>
      </c>
      <c r="C1697" s="2" t="n">
        <v>43518.93370253472</v>
      </c>
      <c r="D1697" t="inlineStr">
        <is>
          <t>G1</t>
        </is>
      </c>
      <c r="E1697" t="inlineStr">
        <is>
          <t>VENEZUELANOS</t>
        </is>
      </c>
      <c r="F1697" t="inlineStr">
        <is>
          <t>DISTRITO FEDERAL</t>
        </is>
      </c>
      <c r="G1697" t="inlineStr">
        <is>
          <t>MARÍLIA MARQUES, G1 DF</t>
        </is>
      </c>
      <c r="H1697" t="inlineStr">
        <is>
          <t>'MEDO DE FICAR PRESA': VENEZUELANA REFUGIADA NO DF RELATA DIFICULDADES APÓS FECHAMENTO DE FRONTEIRA</t>
        </is>
      </c>
      <c r="I1697" t="inlineStr">
        <is>
          <t>A FILHA DE YULI TERAN DEIXOU A VENEZUELA PARA COMPRAR COMIDA NO BRASIL. PLANO ERA RETORNAR PARA PAÍS VIZINHO EM MARÇO, MAS PASSAGEM DE PEDESTRES FOI PROIBIDA PELO GOVERNO MADURO.</t>
        </is>
      </c>
      <c r="J1697" t="inlineStr"/>
      <c r="K1697" t="n">
        <v>0</v>
      </c>
      <c r="L1697" t="n">
        <v>2</v>
      </c>
      <c r="M1697" t="n">
        <v>0</v>
      </c>
      <c r="N1697" t="n">
        <v>0</v>
      </c>
      <c r="O1697" t="n">
        <v>13</v>
      </c>
      <c r="P1697">
        <f>HYPERLINK("https://g1.globo.com/df/distrito-federal/noticia/2019/02/22/medo-de-ficar-presa-venezuelana-refugiada-no-df-relata-dificuldades-apos-fechamento-de-fronteira.ghtml", "URL")</f>
        <v/>
      </c>
      <c r="Q1697">
        <f>HYPERLINK("https://raw.githubusercontent.com/marcosmapl/dataset_imigrantes/main/materias_filtered/g1/venezuelanos/2019/01_fev/html/g1_4b289a72-231d-11ed-b24f-6dbe51e79fca_3495.html", "HTML")</f>
        <v/>
      </c>
      <c r="R1697">
        <f>HYPERLINK("https://raw.githubusercontent.com/marcosmapl/dataset_imigrantes/main/materias_filtered/g1/venezuelanos/2019/01_fev/txt/g1_4b289a72-231d-11ed-b24f-6dbe51e79fca_3495.txt", "TXT")</f>
        <v/>
      </c>
    </row>
    <row r="1698">
      <c r="A1698" s="1" t="n">
        <v>1696</v>
      </c>
      <c r="B1698" t="n">
        <v>2019</v>
      </c>
      <c r="C1698" s="2" t="n">
        <v>43518.87850219908</v>
      </c>
      <c r="D1698" t="inlineStr">
        <is>
          <t>G1</t>
        </is>
      </c>
      <c r="E1698" t="inlineStr">
        <is>
          <t>VENEZUELANOS</t>
        </is>
      </c>
      <c r="F1698" t="inlineStr">
        <is>
          <t>RORAIMA</t>
        </is>
      </c>
      <c r="G1698" t="inlineStr">
        <is>
          <t>ALAN CHAVES, G1 RORAIMA</t>
        </is>
      </c>
      <c r="H1698" t="inlineStr">
        <is>
          <t>'NÃO FORAM BALAS DE BORRACHA', DIZ VENEZUELANO FERIDO EM CONFRONTO ENTRE INDÍGENAS E MILITARES PERTO DA FRONTEIRA</t>
        </is>
      </c>
      <c r="I1698" t="inlineStr">
        <is>
          <t>AO G1, INDÍGENA RELATOU COMO FOI O CONFLITO A CERCA DE 70 KM DA FRONTEIRA COM O BRASIL, QUE ESTÁ FECHADA POR ORDEM DE NICOLÁS MADURO; UMA PESSOA MORREU. SEGUNDO ELE, HÁ MILITARES 'PRESOS' NA COMUNIDADE.</t>
        </is>
      </c>
      <c r="J1698" t="inlineStr"/>
      <c r="K1698" t="n">
        <v>0</v>
      </c>
      <c r="L1698" t="n">
        <v>2</v>
      </c>
      <c r="M1698" t="n">
        <v>0</v>
      </c>
      <c r="N1698" t="n">
        <v>0</v>
      </c>
      <c r="O1698" t="n">
        <v>11</v>
      </c>
      <c r="P1698">
        <f>HYPERLINK("https://g1.globo.com/rr/roraima/noticia/2019/02/22/nao-foram-balas-de-borracha-diz-venezuelano-ferido-em-confronto-entre-indigenas-e-militares-perto-da-fronteira.ghtml", "URL")</f>
        <v/>
      </c>
      <c r="Q1698">
        <f>HYPERLINK("https://raw.githubusercontent.com/marcosmapl/dataset_imigrantes/main/materias_filtered/g1/venezuelanos/2019/01_fev/html/g1_717f68f2-230b-11ed-b24f-6dbe51e79fca_2565.html", "HTML")</f>
        <v/>
      </c>
      <c r="R1698">
        <f>HYPERLINK("https://raw.githubusercontent.com/marcosmapl/dataset_imigrantes/main/materias_filtered/g1/venezuelanos/2019/01_fev/txt/g1_717f68f2-230b-11ed-b24f-6dbe51e79fca_2565.txt", "TXT")</f>
        <v/>
      </c>
    </row>
    <row r="1699">
      <c r="A1699" s="1" t="n">
        <v>1697</v>
      </c>
      <c r="B1699" t="n">
        <v>2019</v>
      </c>
      <c r="C1699" s="2" t="n">
        <v>43518.84511574074</v>
      </c>
      <c r="D1699" t="inlineStr">
        <is>
          <t>A CRITICA</t>
        </is>
      </c>
      <c r="E1699" t="inlineStr">
        <is>
          <t>VENEZUELANOS</t>
        </is>
      </c>
      <c r="F1699" t="inlineStr"/>
      <c r="G1699" t="inlineStr">
        <is>
          <t>POR ALEX RODRIGUES - REPÓRTER DA AGÊNCIA BRASIL</t>
        </is>
      </c>
      <c r="H1699" t="inlineStr">
        <is>
          <t>CONFRONTOS NA FRONTEIRA COM A VENEZUELA DEIXAM 2 MORTOS E 15 FERIDOS</t>
        </is>
      </c>
      <c r="I1699" t="inlineStr">
        <is>
          <t>PELO MENOS SETE VENEZUELANOS BALEADOS FORAM CONDUZIDOS PARA HOSPITAIS EM BOA VISTA, RORAIMA</t>
        </is>
      </c>
      <c r="J1699" t="inlineStr"/>
      <c r="K1699" t="n">
        <v>0</v>
      </c>
      <c r="L1699" t="n">
        <v>1</v>
      </c>
      <c r="M1699" t="n">
        <v>0</v>
      </c>
      <c r="N1699" t="n">
        <v>0</v>
      </c>
      <c r="O1699" t="n">
        <v>0</v>
      </c>
      <c r="P1699">
        <f>HYPERLINK("https://www.acritica.com/confrontos-na-fronteira-com-a-venezuela-deixam-2-mortos-e-15-feridos-1.74912", "URL")</f>
        <v/>
      </c>
      <c r="Q1699">
        <f>HYPERLINK("https://raw.githubusercontent.com/marcosmapl/dataset_imigrantes/main/materias_filtered/a_critica/venezuelanos/2019/01_fev/html/1.74912_996.html", "HTML")</f>
        <v/>
      </c>
      <c r="R1699">
        <f>HYPERLINK("https://raw.githubusercontent.com/marcosmapl/dataset_imigrantes/main/materias_filtered/a_critica/venezuelanos/2019/01_fev/txt/1.74912_996.txt", "TXT")</f>
        <v/>
      </c>
    </row>
    <row r="1700">
      <c r="A1700" s="1" t="n">
        <v>1698</v>
      </c>
      <c r="B1700" t="n">
        <v>2019</v>
      </c>
      <c r="C1700" s="2" t="n">
        <v>43518.71243055556</v>
      </c>
      <c r="D1700" t="inlineStr">
        <is>
          <t>A CRITICA</t>
        </is>
      </c>
      <c r="E1700" t="inlineStr">
        <is>
          <t>VENEZUELANOS</t>
        </is>
      </c>
      <c r="F1700" t="inlineStr"/>
      <c r="G1700" t="inlineStr">
        <is>
          <t>REUTERS</t>
        </is>
      </c>
      <c r="H1700" t="inlineStr">
        <is>
          <t>SOLDADOS VENEZUELANOS DEIXAM UM MORTO E DIVERSOS FERIDOS PERTO DA FRONTEIRA COM BRASIL</t>
        </is>
      </c>
      <c r="I1700" t="inlineStr">
        <is>
          <t>A MORTE ACONTECEU DURANTE SHOW DE ARRECADAÇÃO DE FUNDOS PARA VENEZUELA, COM PARTICIPAÇÃO DE GRANDES ESTRELAS LATINAS COMO LUIS FONSI E MALUMA</t>
        </is>
      </c>
      <c r="J1700" t="inlineStr"/>
      <c r="K1700" t="n">
        <v>0</v>
      </c>
      <c r="L1700" t="n">
        <v>1</v>
      </c>
      <c r="M1700" t="n">
        <v>0</v>
      </c>
      <c r="N1700" t="n">
        <v>0</v>
      </c>
      <c r="O1700" t="n">
        <v>0</v>
      </c>
      <c r="P1700">
        <f>HYPERLINK("https://www.acritica.com/soldados-venezuelanos-deixam-um-morto-e-diversos-feridos-perto-da-fronteira-com-brasil-1.74680", "URL")</f>
        <v/>
      </c>
      <c r="Q1700">
        <f>HYPERLINK("https://raw.githubusercontent.com/marcosmapl/dataset_imigrantes/main/materias_filtered/a_critica/venezuelanos/2019/01_fev/html/1.74680_1369.html", "HTML")</f>
        <v/>
      </c>
      <c r="R1700">
        <f>HYPERLINK("https://raw.githubusercontent.com/marcosmapl/dataset_imigrantes/main/materias_filtered/a_critica/venezuelanos/2019/01_fev/txt/1.74680_1369.txt", "TXT")</f>
        <v/>
      </c>
    </row>
    <row r="1701">
      <c r="A1701" s="1" t="n">
        <v>1699</v>
      </c>
      <c r="B1701" t="n">
        <v>2019</v>
      </c>
      <c r="C1701" s="2" t="n">
        <v>43518.48541666667</v>
      </c>
      <c r="D1701" t="inlineStr">
        <is>
          <t>A CRITICA</t>
        </is>
      </c>
      <c r="E1701" t="inlineStr">
        <is>
          <t>VENEZUELANOS</t>
        </is>
      </c>
      <c r="F1701" t="inlineStr"/>
      <c r="G1701" t="inlineStr">
        <is>
          <t>AGÊNCIA BRASIL</t>
        </is>
      </c>
      <c r="H1701" t="inlineStr">
        <is>
          <t>CARAVANA QUE PREPARA AJUDA HUMANITÁRIA É ATACADA NA VENEZUELA</t>
        </is>
      </c>
      <c r="I1701" t="inlineStr">
        <is>
          <t>DEPUTADOS VENEZUELANOS DENUNCIAM QUE OS ÔNIBUS NOS QUAIS ESTÃO FORAM ALVOS DE ATAQUES DURANTE A MADRUGADA. IMAGENS MOSTRAM VIDROS QUEBRADOS E ESTILHAÇOS</t>
        </is>
      </c>
      <c r="J1701" t="inlineStr"/>
      <c r="K1701" t="n">
        <v>0</v>
      </c>
      <c r="L1701" t="n">
        <v>1</v>
      </c>
      <c r="M1701" t="n">
        <v>0</v>
      </c>
      <c r="N1701" t="n">
        <v>0</v>
      </c>
      <c r="O1701" t="n">
        <v>0</v>
      </c>
      <c r="P1701">
        <f>HYPERLINK("https://www.acritica.com/caravana-que-prepara-ajuda-humanitaria-e-atacada-na-venezuela-1.74714", "URL")</f>
        <v/>
      </c>
      <c r="Q1701">
        <f>HYPERLINK("https://raw.githubusercontent.com/marcosmapl/dataset_imigrantes/main/materias_filtered/a_critica/venezuelanos/2019/01_fev/html/1.74714_782.html", "HTML")</f>
        <v/>
      </c>
      <c r="R1701">
        <f>HYPERLINK("https://raw.githubusercontent.com/marcosmapl/dataset_imigrantes/main/materias_filtered/a_critica/venezuelanos/2019/01_fev/txt/1.74714_782.txt", "TXT")</f>
        <v/>
      </c>
    </row>
    <row r="1702">
      <c r="A1702" s="1" t="n">
        <v>1700</v>
      </c>
      <c r="B1702" t="n">
        <v>2019</v>
      </c>
      <c r="C1702" s="2" t="n">
        <v>43518.47638888889</v>
      </c>
      <c r="D1702" t="inlineStr">
        <is>
          <t>PORTAL AMAZONIA</t>
        </is>
      </c>
      <c r="E1702" t="inlineStr">
        <is>
          <t>VENEZUELANOS</t>
        </is>
      </c>
      <c r="F1702" t="inlineStr">
        <is>
          <t>CIDADES</t>
        </is>
      </c>
      <c r="G1702" t="inlineStr">
        <is>
          <t>REDAÇÃO</t>
        </is>
      </c>
      <c r="H1702" t="inlineStr">
        <is>
          <t>APÓS TER FRONTEIRA FECHADA, RORAIMA PODE FICAR SEM COMBUSTÍVEL E ENERGIA ELÉTRICA</t>
        </is>
      </c>
      <c r="I1702" t="inlineStr">
        <is>
          <t>COM A FRONTEIRA FECHADA APÓS A DECISÃO DO PRESIDENTE DA VENEZUELA, NICOLÁS MADURO, O AGRONEGÓCIO E ABASTECIMENTO DE ENERGIA E COMBUSTÍVEIS NA REGIÃO RORAIMA DEVE SER PREJUDICADO, ALERTOU NESTA QUINTA-FEIRA (21) O GOVERNADOR DO ESTADO, ANTON</t>
        </is>
      </c>
      <c r="J1702" t="inlineStr">
        <is>
          <t>FRONTEIRA VENEZUELA FECHADA, NICOLÃ¡S MADURO</t>
        </is>
      </c>
      <c r="K1702" t="n">
        <v>2</v>
      </c>
      <c r="L1702" t="n">
        <v>2</v>
      </c>
      <c r="M1702" t="n">
        <v>0</v>
      </c>
      <c r="N1702" t="n">
        <v>0</v>
      </c>
      <c r="O1702" t="n">
        <v>7</v>
      </c>
      <c r="P1702">
        <f>HYPERLINK("https://portalamazonia.com/noticias/cidades/apos-ter-fronteira-fechada-roraima-pode-ficar-sem-combustivel-e-energia-eletrica", "URL")</f>
        <v/>
      </c>
      <c r="Q1702">
        <f>HYPERLINK("https://raw.githubusercontent.com/marcosmapl/dataset_imigrantes/main/materias_filtered/portal_amazonia/venezuelanos/2019/01_fev/html/17120.17120_1617.html", "HTML")</f>
        <v/>
      </c>
      <c r="R1702">
        <f>HYPERLINK("https://raw.githubusercontent.com/marcosmapl/dataset_imigrantes/main/materias_filtered/portal_amazonia/venezuelanos/2019/01_fev/txt/17120.17120_1617.txt", "TXT")</f>
        <v/>
      </c>
    </row>
    <row r="1703">
      <c r="A1703" s="1" t="n">
        <v>1701</v>
      </c>
      <c r="B1703" t="n">
        <v>2019</v>
      </c>
      <c r="C1703" s="2" t="n">
        <v>43517.96736111111</v>
      </c>
      <c r="D1703" t="inlineStr">
        <is>
          <t>A CRITICA</t>
        </is>
      </c>
      <c r="E1703" t="inlineStr">
        <is>
          <t>VENEZUELANOS</t>
        </is>
      </c>
      <c r="F1703" t="inlineStr"/>
      <c r="G1703" t="inlineStr">
        <is>
          <t>POR LISANDRA PARAGUASSU - REUTERS</t>
        </is>
      </c>
      <c r="H1703" t="inlineStr">
        <is>
          <t>BRASIL MANTÉM  AJUDA PARA A VENEZUELA MESMO COM FECHAMENTO DA FRONTEIRA</t>
        </is>
      </c>
      <c r="I1703" t="inlineStr">
        <is>
          <t>SEGUNDO O PORTA-VOZ DA PRESIDÊNCIA, O GOVERNO BRASILEIRO NÃO IDENTIFICA ATÉ O MOMENTO “POSSIBILIDADE DE FRICÇÃO” NA FRONTEIRA E MANTÉM O PLANEJAMENTO DE LEVAR MANTIMENTOS E MEDICAMENTOS ATÉ PACARAIMA (RR)</t>
        </is>
      </c>
      <c r="J1703" t="inlineStr"/>
      <c r="K1703" t="n">
        <v>0</v>
      </c>
      <c r="L1703" t="n">
        <v>1</v>
      </c>
      <c r="M1703" t="n">
        <v>0</v>
      </c>
      <c r="N1703" t="n">
        <v>0</v>
      </c>
      <c r="O1703" t="n">
        <v>0</v>
      </c>
      <c r="P1703">
        <f>HYPERLINK("https://www.acritica.com/brasil-mantem-ajuda-para-a-venezuela-mesmo-com-fechamento-da-fronteira-1.74730", "URL")</f>
        <v/>
      </c>
      <c r="Q1703">
        <f>HYPERLINK("https://raw.githubusercontent.com/marcosmapl/dataset_imigrantes/main/materias_filtered/a_critica/venezuelanos/2019/01_fev/html/1.74730_1032.html", "HTML")</f>
        <v/>
      </c>
      <c r="R1703">
        <f>HYPERLINK("https://raw.githubusercontent.com/marcosmapl/dataset_imigrantes/main/materias_filtered/a_critica/venezuelanos/2019/01_fev/txt/1.74730_1032.txt", "TXT")</f>
        <v/>
      </c>
    </row>
    <row r="1704">
      <c r="A1704" s="1" t="n">
        <v>1702</v>
      </c>
      <c r="B1704" t="n">
        <v>2019</v>
      </c>
      <c r="C1704" s="2" t="n">
        <v>43517.60563657407</v>
      </c>
      <c r="D1704" t="inlineStr">
        <is>
          <t>A CRITICA</t>
        </is>
      </c>
      <c r="E1704" t="inlineStr">
        <is>
          <t>VENEZUELANOS</t>
        </is>
      </c>
      <c r="F1704" t="inlineStr"/>
      <c r="G1704" t="inlineStr">
        <is>
          <t>AGÊNCIA BRASIL</t>
        </is>
      </c>
      <c r="H1704" t="inlineStr">
        <is>
          <t>GUAIDÓ VAI À FRONTEIRA COM A COLÔMBIA GARANTIR ENTRADA DE AJUDA</t>
        </is>
      </c>
      <c r="I1704" t="inlineStr">
        <is>
          <t>AUTOPROCLAMADO PRESIDENTE INTERINO DA VENEZUELA VAI AO PAÍS NA TENTATIVA DE TRAZER AJUDA HUMANITÁRIA BLOQUEADA PELO GOVERNO DE NICOLÁS MADURO</t>
        </is>
      </c>
      <c r="J1704" t="inlineStr"/>
      <c r="K1704" t="n">
        <v>0</v>
      </c>
      <c r="L1704" t="n">
        <v>1</v>
      </c>
      <c r="M1704" t="n">
        <v>0</v>
      </c>
      <c r="N1704" t="n">
        <v>0</v>
      </c>
      <c r="O1704" t="n">
        <v>0</v>
      </c>
      <c r="P1704">
        <f>HYPERLINK("https://www.acritica.com/guaido-vai-a-fronteira-com-a-colombia-garantir-entrada-de-ajuda-1.74773", "URL")</f>
        <v/>
      </c>
      <c r="Q1704">
        <f>HYPERLINK("https://raw.githubusercontent.com/marcosmapl/dataset_imigrantes/main/materias_filtered/a_critica/venezuelanos/2019/01_fev/html/1.74773_1004.html", "HTML")</f>
        <v/>
      </c>
      <c r="R1704">
        <f>HYPERLINK("https://raw.githubusercontent.com/marcosmapl/dataset_imigrantes/main/materias_filtered/a_critica/venezuelanos/2019/01_fev/txt/1.74773_1004.txt", "TXT")</f>
        <v/>
      </c>
    </row>
    <row r="1705">
      <c r="A1705" s="1" t="n">
        <v>1703</v>
      </c>
      <c r="B1705" t="n">
        <v>2019</v>
      </c>
      <c r="C1705" s="2" t="n">
        <v>43516.93796731481</v>
      </c>
      <c r="D1705" t="inlineStr">
        <is>
          <t>G1</t>
        </is>
      </c>
      <c r="E1705" t="inlineStr">
        <is>
          <t>VENEZUELANOS</t>
        </is>
      </c>
      <c r="F1705" t="inlineStr">
        <is>
          <t>RORAIMA</t>
        </is>
      </c>
      <c r="G1705" t="inlineStr">
        <is>
          <t>ALAN CHAVES, G1 RR — BOA VISTA</t>
        </is>
      </c>
      <c r="H1705" t="inlineStr">
        <is>
          <t>FAMÍLIA VENEZUELANA TEM CASA INCENDIADA EM BOA VISTA E PERDE TUDO: 'CHAMAS DESTRUÍRAM NOSSA VIDA'</t>
        </is>
      </c>
      <c r="I1705" t="inlineStr">
        <is>
          <t>QUATRO PESSOAS, ENTRE ELAS DUAS CRIANÇAS, ESTAVAM NA RESIDÊNCIA NA HORA DO ACIDENTE, MAS NINGUÉM SE FERIU. FAMÍLIA PERDEU TUDO: MÓVEIS, ELETRODOMÉSTICO, ROUPAS, DINHEIRO E ATÉ ALIMENTOS.</t>
        </is>
      </c>
      <c r="J1705" t="inlineStr"/>
      <c r="K1705" t="n">
        <v>0</v>
      </c>
      <c r="L1705" t="n">
        <v>2</v>
      </c>
      <c r="M1705" t="n">
        <v>0</v>
      </c>
      <c r="N1705" t="n">
        <v>0</v>
      </c>
      <c r="O1705" t="n">
        <v>0</v>
      </c>
      <c r="P1705">
        <f>HYPERLINK("https://g1.globo.com/rr/roraima/noticia/2019/02/20/familia-venezuelana-tem-casa-incendiada-em-boa-vista-e-perde-tudo-chamas-destruiram-nossa-vida.ghtml", "URL")</f>
        <v/>
      </c>
      <c r="Q1705">
        <f>HYPERLINK("https://raw.githubusercontent.com/marcosmapl/dataset_imigrantes/main/materias_filtered/g1/venezuelanos/2019/01_fev/html/g1_5c0c67e4-2311-11ed-b24f-6dbe51e79fca_2912.html", "HTML")</f>
        <v/>
      </c>
      <c r="R1705">
        <f>HYPERLINK("https://raw.githubusercontent.com/marcosmapl/dataset_imigrantes/main/materias_filtered/g1/venezuelanos/2019/01_fev/txt/g1_5c0c67e4-2311-11ed-b24f-6dbe51e79fca_2912.txt", "TXT")</f>
        <v/>
      </c>
    </row>
    <row r="1706">
      <c r="A1706" s="1" t="n">
        <v>1704</v>
      </c>
      <c r="B1706" t="n">
        <v>2019</v>
      </c>
      <c r="C1706" s="2" t="n">
        <v>43514.8359837963</v>
      </c>
      <c r="D1706" t="inlineStr">
        <is>
          <t>A CRITICA</t>
        </is>
      </c>
      <c r="E1706" t="inlineStr">
        <is>
          <t>VENEZUELANOS</t>
        </is>
      </c>
      <c r="F1706" t="inlineStr">
        <is>
          <t>MANAUS</t>
        </is>
      </c>
      <c r="G1706" t="inlineStr">
        <is>
          <t>AMANDA GUIMARÃES</t>
        </is>
      </c>
      <c r="H1706" t="inlineStr">
        <is>
          <t>A ESPERANÇA EM UM NOME: VENEZUELANOS EM MANAUS SONHAM COM PRESIDÊNCIA DE GUAIDÓ</t>
        </is>
      </c>
      <c r="I1706" t="inlineStr">
        <is>
          <t>ABRIGADOS EM UM ACAMPAMENTO AO LADO DA RODOVIÁRIA DE MANAUS, VENEZUELANOS AFIRMAM QUE ENCONTRAM NO NOME DO PRESIDENTE DA ASSEMBLEIA NACIONAL A ESPERANÇA PARA RECONSTITUIÇÃO DO PAÍS</t>
        </is>
      </c>
      <c r="J1706" t="inlineStr"/>
      <c r="K1706" t="n">
        <v>0</v>
      </c>
      <c r="L1706" t="n">
        <v>1</v>
      </c>
      <c r="M1706" t="n">
        <v>0</v>
      </c>
      <c r="N1706" t="n">
        <v>0</v>
      </c>
      <c r="O1706" t="n">
        <v>0</v>
      </c>
      <c r="P1706">
        <f>HYPERLINK("https://www.acritica.com/manaus/a-esperanca-em-um-nome-venezuelanos-em-manaus-sonham-com-presidencia-de-guaido-1.74026", "URL")</f>
        <v/>
      </c>
      <c r="Q1706">
        <f>HYPERLINK("https://raw.githubusercontent.com/marcosmapl/dataset_imigrantes/main/materias_filtered/a_critica/venezuelanos/2019/01_fev/html/1.74026_371.html", "HTML")</f>
        <v/>
      </c>
      <c r="R1706">
        <f>HYPERLINK("https://raw.githubusercontent.com/marcosmapl/dataset_imigrantes/main/materias_filtered/a_critica/venezuelanos/2019/01_fev/txt/1.74026_371.txt", "TXT")</f>
        <v/>
      </c>
    </row>
    <row r="1707">
      <c r="A1707" s="1" t="n">
        <v>1705</v>
      </c>
      <c r="B1707" t="n">
        <v>2019</v>
      </c>
      <c r="C1707" s="2" t="n">
        <v>43514.63908114583</v>
      </c>
      <c r="D1707" t="inlineStr">
        <is>
          <t>G1</t>
        </is>
      </c>
      <c r="E1707" t="inlineStr">
        <is>
          <t>HAITIANOS</t>
        </is>
      </c>
      <c r="F1707" t="inlineStr">
        <is>
          <t>MUNDO</t>
        </is>
      </c>
      <c r="G1707" t="inlineStr">
        <is>
          <t>REUTERS</t>
        </is>
      </c>
      <c r="H1707" t="inlineStr">
        <is>
          <t>PREMIÊ DO HAITI PROMETE CORTAR GASTOS E INVESTIGAR PETROCARIBE EM MEIO A PROTESTOS</t>
        </is>
      </c>
      <c r="I1707" t="inlineStr">
        <is>
          <t>DESDE 7 DE FEVEREIRO, PROTESTOS PEDEM RENÚNCIA DO PRESIDENTE E DO PREMIÊ, ALÉM DE UM INQUÉRITO INDEPENDENTE SOBRE FUNDOS DE ACORDO DE COMPRA DE ENERGIA.</t>
        </is>
      </c>
      <c r="J1707" t="inlineStr"/>
      <c r="K1707" t="n">
        <v>0</v>
      </c>
      <c r="L1707" t="n">
        <v>2</v>
      </c>
      <c r="M1707" t="n">
        <v>1</v>
      </c>
      <c r="N1707" t="n">
        <v>0</v>
      </c>
      <c r="O1707" t="n">
        <v>1</v>
      </c>
      <c r="P1707">
        <f>HYPERLINK("https://g1.globo.com/mundo/noticia/2019/02/18/premie-do-haiti-promete-cortar-gastos-e-investigar-petrocaribe-em-meio-a-protestos.ghtml", "URL")</f>
        <v/>
      </c>
      <c r="Q1707">
        <f>HYPERLINK("https://raw.githubusercontent.com/marcosmapl/dataset_imigrantes/main/materias_filtered/g1/haitianos/2019/01_fev/html/g1_db18723a-231b-11ed-b24f-6dbe51e79fca_3411.html", "HTML")</f>
        <v/>
      </c>
      <c r="R1707">
        <f>HYPERLINK("https://raw.githubusercontent.com/marcosmapl/dataset_imigrantes/main/materias_filtered/g1/haitianos/2019/01_fev/txt/g1_db18723a-231b-11ed-b24f-6dbe51e79fca_3411.txt", "TXT")</f>
        <v/>
      </c>
    </row>
    <row r="1708">
      <c r="A1708" s="1" t="n">
        <v>1706</v>
      </c>
      <c r="B1708" t="n">
        <v>2019</v>
      </c>
      <c r="C1708" s="2" t="n">
        <v>43514.51494212963</v>
      </c>
      <c r="D1708" t="inlineStr">
        <is>
          <t>A CRITICA</t>
        </is>
      </c>
      <c r="E1708" t="inlineStr">
        <is>
          <t>VENEZUELANOS</t>
        </is>
      </c>
      <c r="F1708" t="inlineStr"/>
      <c r="G1708" t="inlineStr">
        <is>
          <t>AGÊNCIA BRASIL</t>
        </is>
      </c>
      <c r="H1708" t="inlineStr">
        <is>
          <t>DELEGAÇÃO DA VENEZUELA E DOS EUA VAI À FRONTEIRA VER AJUDA HUMANITÁRIA</t>
        </is>
      </c>
      <c r="I1708" t="inlineStr">
        <is>
          <t>O PRESIDENTE INTERINO DA VENEZUELA, JUAN GUAIDÓ, OPOSIÇÃO AO GOVERNO DE NICOLÁS MADURO, FAZ CAMPANHA PARA ANGARIAR AJUDA HUMANITÁRIA INTERNACIONAL</t>
        </is>
      </c>
      <c r="J1708" t="inlineStr"/>
      <c r="K1708" t="n">
        <v>0</v>
      </c>
      <c r="L1708" t="n">
        <v>1</v>
      </c>
      <c r="M1708" t="n">
        <v>0</v>
      </c>
      <c r="N1708" t="n">
        <v>0</v>
      </c>
      <c r="O1708" t="n">
        <v>0</v>
      </c>
      <c r="P1708">
        <f>HYPERLINK("https://www.acritica.com/delegac-o-da-venezuela-e-dos-eua-vai-a-fronteira-ver-ajuda-humanitaria-1.74489", "URL")</f>
        <v/>
      </c>
      <c r="Q1708">
        <f>HYPERLINK("https://raw.githubusercontent.com/marcosmapl/dataset_imigrantes/main/materias_filtered/a_critica/venezuelanos/2019/01_fev/html/1.74489_967.html", "HTML")</f>
        <v/>
      </c>
      <c r="R1708">
        <f>HYPERLINK("https://raw.githubusercontent.com/marcosmapl/dataset_imigrantes/main/materias_filtered/a_critica/venezuelanos/2019/01_fev/txt/1.74489_967.txt", "TXT")</f>
        <v/>
      </c>
    </row>
    <row r="1709">
      <c r="A1709" s="1" t="n">
        <v>1707</v>
      </c>
      <c r="B1709" t="n">
        <v>2019</v>
      </c>
      <c r="C1709" s="2" t="n">
        <v>43511.94117546296</v>
      </c>
      <c r="D1709" t="inlineStr">
        <is>
          <t>G1</t>
        </is>
      </c>
      <c r="E1709" t="inlineStr">
        <is>
          <t>VENEZUELANOS</t>
        </is>
      </c>
      <c r="F1709" t="inlineStr">
        <is>
          <t>MINAS GERAIS</t>
        </is>
      </c>
      <c r="G1709" t="inlineStr">
        <is>
          <t>G1 MINAS — BELO HORIZONTE</t>
        </is>
      </c>
      <c r="H1709" t="inlineStr">
        <is>
          <t>BH RECEBE PRIMEIRO GRUPO DE REFUGIADOS VENEZUELANOS</t>
        </is>
      </c>
      <c r="I1709" t="inlineStr">
        <is>
          <t>A INICIATIVA FAZ PARTE DO PROJETO “ACOLHE MINAS”, REALIZADO PELA ARQUIDIOCESE DE BELO HORIZONTE E SERVIÇO JESUÍTA A MIGRANTES E REFUGIADOS, COM APOIO DO ALTO COMISSARIADO DA ONU PARA REFUGIADOS.</t>
        </is>
      </c>
      <c r="J1709" t="inlineStr"/>
      <c r="K1709" t="n">
        <v>0</v>
      </c>
      <c r="L1709" t="n">
        <v>1</v>
      </c>
      <c r="M1709" t="n">
        <v>0</v>
      </c>
      <c r="N1709" t="n">
        <v>0</v>
      </c>
      <c r="O1709" t="n">
        <v>0</v>
      </c>
      <c r="P1709">
        <f>HYPERLINK("https://g1.globo.com/mg/minas-gerais/noticia/2019/02/15/bh-recebe-primeiro-grupo-de-refugiados-venezuelanos.ghtml", "URL")</f>
        <v/>
      </c>
      <c r="Q1709">
        <f>HYPERLINK("https://raw.githubusercontent.com/marcosmapl/dataset_imigrantes/main/materias_filtered/g1/venezuelanos/2019/01_fev/html/g1_32389876-231f-11ed-b24f-6dbe51e79fca_3608.html", "HTML")</f>
        <v/>
      </c>
      <c r="R1709">
        <f>HYPERLINK("https://raw.githubusercontent.com/marcosmapl/dataset_imigrantes/main/materias_filtered/g1/venezuelanos/2019/01_fev/txt/g1_32389876-231f-11ed-b24f-6dbe51e79fca_3608.txt", "TXT")</f>
        <v/>
      </c>
    </row>
    <row r="1710">
      <c r="A1710" s="1" t="n">
        <v>1708</v>
      </c>
      <c r="B1710" t="n">
        <v>2019</v>
      </c>
      <c r="C1710" s="2" t="n">
        <v>43511.77569444444</v>
      </c>
      <c r="D1710" t="inlineStr">
        <is>
          <t>PORTAL AMAZONIA</t>
        </is>
      </c>
      <c r="E1710" t="inlineStr">
        <is>
          <t>VENEZUELANOS</t>
        </is>
      </c>
      <c r="F1710" t="inlineStr">
        <is>
          <t>CIDADES</t>
        </is>
      </c>
      <c r="G1710" t="inlineStr">
        <is>
          <t>REDAÇÃO</t>
        </is>
      </c>
      <c r="H1710" t="inlineStr">
        <is>
          <t>VENEZUELANOS DEIXAM RORAIMA E SEGUEM PARA OITO CIDADES NO PAÍS</t>
        </is>
      </c>
      <c r="I1710" t="inlineStr">
        <is>
          <t>COM UM ANO DE FUNCIONAMENTO, O PROCESSO DE INTERIORIZAÇÃO DE VENEZUELANOS QUE IMIGRARAM PARA O BRASIL CHEGA HOJE (15) À 24ª ETAPA. MAIS 226 PESSOAS SERÃO TRANSFERIDAS ATÉ AMANHÃ (16) DE BOA VISTA, EM RORAIMA, PARA OITO CIDADES NO PAÍS: PORTO ALEGRE,</t>
        </is>
      </c>
      <c r="J1710" t="inlineStr">
        <is>
          <t>RORAIMA, VENEZUELANOS</t>
        </is>
      </c>
      <c r="K1710" t="n">
        <v>2</v>
      </c>
      <c r="L1710" t="n">
        <v>1</v>
      </c>
      <c r="M1710" t="n">
        <v>0</v>
      </c>
      <c r="N1710" t="n">
        <v>0</v>
      </c>
      <c r="O1710" t="n">
        <v>7</v>
      </c>
      <c r="P1710">
        <f>HYPERLINK("https://portalamazonia.com/noticias/cidades/venezuelanos-deixam-roraima-e-seguem-para-oito-cidades-no-pais", "URL")</f>
        <v/>
      </c>
      <c r="Q1710">
        <f>HYPERLINK("https://raw.githubusercontent.com/marcosmapl/dataset_imigrantes/main/materias_filtered/portal_amazonia/venezuelanos/2019/01_fev/html/17040.17040_1583.html", "HTML")</f>
        <v/>
      </c>
      <c r="R1710">
        <f>HYPERLINK("https://raw.githubusercontent.com/marcosmapl/dataset_imigrantes/main/materias_filtered/portal_amazonia/venezuelanos/2019/01_fev/txt/17040.17040_1583.txt", "TXT")</f>
        <v/>
      </c>
    </row>
    <row r="1711">
      <c r="A1711" s="1" t="n">
        <v>1709</v>
      </c>
      <c r="B1711" t="n">
        <v>2019</v>
      </c>
      <c r="C1711" s="2" t="n">
        <v>43511.70002929398</v>
      </c>
      <c r="D1711" t="inlineStr">
        <is>
          <t>G1</t>
        </is>
      </c>
      <c r="E1711" t="inlineStr">
        <is>
          <t>AMBOS</t>
        </is>
      </c>
      <c r="F1711" t="inlineStr">
        <is>
          <t>RORAIMA</t>
        </is>
      </c>
      <c r="G1711" t="inlineStr">
        <is>
          <t>G1 RR — BOA VISTA</t>
        </is>
      </c>
      <c r="H1711" t="inlineStr">
        <is>
          <t>SUSPEITO DE FURTO TENTA FUGIR ESCALANDO TELHADOS, MAS É DETIDO EM BOA VISTA</t>
        </is>
      </c>
      <c r="I1711" t="inlineStr">
        <is>
          <t>ELE E COMPARSA ASSALTARAM ADOLESCENTE E FORAM PEGOS POR MORADORES; NA PERSEGUIÇÃO COMPARSA ESCAPOU.</t>
        </is>
      </c>
      <c r="J1711" t="inlineStr"/>
      <c r="K1711" t="n">
        <v>0</v>
      </c>
      <c r="L1711" t="n">
        <v>0</v>
      </c>
      <c r="M1711" t="n">
        <v>0</v>
      </c>
      <c r="N1711" t="n">
        <v>0</v>
      </c>
      <c r="O1711" t="n">
        <v>1</v>
      </c>
      <c r="P1711">
        <f>HYPERLINK("https://g1.globo.com/rr/roraima/noticia/2019/02/15/suspeito-de-furto-tenta-fugir-escalando-telhados-mas-e-detido-em-boa-vista.ghtml", "URL")</f>
        <v/>
      </c>
      <c r="Q1711">
        <f>HYPERLINK("https://raw.githubusercontent.com/marcosmapl/dataset_imigrantes/main/materias_filtered/g1/ambos/2019/01_fev/html/g1_8fc7cf2a-2329-11ed-b24f-6dbe51e79fca_4124.html", "HTML")</f>
        <v/>
      </c>
      <c r="R1711">
        <f>HYPERLINK("https://raw.githubusercontent.com/marcosmapl/dataset_imigrantes/main/materias_filtered/g1/ambos/2019/01_fev/txt/g1_8fc7cf2a-2329-11ed-b24f-6dbe51e79fca_4124.txt", "TXT")</f>
        <v/>
      </c>
    </row>
    <row r="1712">
      <c r="A1712" s="1" t="n">
        <v>1710</v>
      </c>
      <c r="B1712" t="n">
        <v>2019</v>
      </c>
      <c r="C1712" s="2" t="n">
        <v>43511.49532407407</v>
      </c>
      <c r="D1712" t="inlineStr">
        <is>
          <t>A CRITICA</t>
        </is>
      </c>
      <c r="E1712" t="inlineStr">
        <is>
          <t>VENEZUELANOS</t>
        </is>
      </c>
      <c r="F1712" t="inlineStr"/>
      <c r="G1712" t="inlineStr">
        <is>
          <t>LETYCIA BOND (AGÊNCIA BRASIL)</t>
        </is>
      </c>
      <c r="H1712" t="inlineStr">
        <is>
          <t>PROCESSO DE INTERIORIZAÇÃO TRANSFERE 226 VENEZUELANOS PARA OITO CIDADES NO PAÍS</t>
        </is>
      </c>
      <c r="I1712" t="inlineStr">
        <is>
          <t>REFUGIADOS SÃO LEVADOS DE BOA VISTA, EM RORAIMA, PARA PORTO ALEGRE, CAXIAS DO SUL, CURITIBA, GOIOERÊ, GUARULHOS, SÃO PAULO, BELO HORIZONTE E RIO DE JANEIRO</t>
        </is>
      </c>
      <c r="J1712" t="inlineStr"/>
      <c r="K1712" t="n">
        <v>0</v>
      </c>
      <c r="L1712" t="n">
        <v>1</v>
      </c>
      <c r="M1712" t="n">
        <v>0</v>
      </c>
      <c r="N1712" t="n">
        <v>0</v>
      </c>
      <c r="O1712" t="n">
        <v>0</v>
      </c>
      <c r="P1712">
        <f>HYPERLINK("https://www.acritica.com/processo-de-interiorizac-o-transfere-226-venezuelanos-para-oito-cidades-no-pais-1.74398", "URL")</f>
        <v/>
      </c>
      <c r="Q1712">
        <f>HYPERLINK("https://raw.githubusercontent.com/marcosmapl/dataset_imigrantes/main/materias_filtered/a_critica/venezuelanos/2019/01_fev/html/1.74398_420.html", "HTML")</f>
        <v/>
      </c>
      <c r="R1712">
        <f>HYPERLINK("https://raw.githubusercontent.com/marcosmapl/dataset_imigrantes/main/materias_filtered/a_critica/venezuelanos/2019/01_fev/txt/1.74398_420.txt", "TXT")</f>
        <v/>
      </c>
    </row>
    <row r="1713">
      <c r="A1713" s="1" t="n">
        <v>1711</v>
      </c>
      <c r="B1713" t="n">
        <v>2019</v>
      </c>
      <c r="C1713" s="2" t="n">
        <v>43511.43706524306</v>
      </c>
      <c r="D1713" t="inlineStr">
        <is>
          <t>G1</t>
        </is>
      </c>
      <c r="E1713" t="inlineStr">
        <is>
          <t>HAITIANOS</t>
        </is>
      </c>
      <c r="F1713" t="inlineStr">
        <is>
          <t>MUNDO</t>
        </is>
      </c>
      <c r="G1713" t="inlineStr">
        <is>
          <t>G1</t>
        </is>
      </c>
      <c r="H1713" t="inlineStr">
        <is>
          <t>PRESIDENTE DO HAITI ROMPE SILÊNCIO APÓS SEMANA DE PROTESTOS VIOLENTOS</t>
        </is>
      </c>
      <c r="I1713" t="inlineStr">
        <is>
          <t>DESDE 7 DE FEVEREIRO, SETE PESSOAS MORRERAM NAS MANIFESTAÇÕES QUE PEDEM A RENÚNCIA DE JOVENEL MOÏSE.</t>
        </is>
      </c>
      <c r="J1713" t="inlineStr"/>
      <c r="K1713" t="n">
        <v>0</v>
      </c>
      <c r="L1713" t="n">
        <v>2</v>
      </c>
      <c r="M1713" t="n">
        <v>0</v>
      </c>
      <c r="N1713" t="n">
        <v>0</v>
      </c>
      <c r="O1713" t="n">
        <v>0</v>
      </c>
      <c r="P1713">
        <f>HYPERLINK("https://g1.globo.com/mundo/noticia/2019/02/15/presidente-do-haiti-rompe-silencio-apos-semana-de-protestos-violentoss.ghtml", "URL")</f>
        <v/>
      </c>
      <c r="Q1713">
        <f>HYPERLINK("https://raw.githubusercontent.com/marcosmapl/dataset_imigrantes/main/materias_filtered/g1/haitianos/2019/01_fev/html/g1_6bc5447a-231c-11ed-b24f-6dbe51e79fca_3445.html", "HTML")</f>
        <v/>
      </c>
      <c r="R1713">
        <f>HYPERLINK("https://raw.githubusercontent.com/marcosmapl/dataset_imigrantes/main/materias_filtered/g1/haitianos/2019/01_fev/txt/g1_6bc5447a-231c-11ed-b24f-6dbe51e79fca_3445.txt", "TXT")</f>
        <v/>
      </c>
    </row>
    <row r="1714">
      <c r="A1714" s="1" t="n">
        <v>1712</v>
      </c>
      <c r="B1714" t="n">
        <v>2019</v>
      </c>
      <c r="C1714" s="2" t="n">
        <v>43511.29216907408</v>
      </c>
      <c r="D1714" t="inlineStr">
        <is>
          <t>G1</t>
        </is>
      </c>
      <c r="E1714" t="inlineStr">
        <is>
          <t>HAITIANOS</t>
        </is>
      </c>
      <c r="F1714" t="inlineStr">
        <is>
          <t>EDUCAÇÃO</t>
        </is>
      </c>
      <c r="G1714" t="inlineStr">
        <is>
          <t>ANA CAROLINA MORENO, G1</t>
        </is>
      </c>
      <c r="H1714" t="inlineStr">
        <is>
          <t>A BRASILEIRA QUE DRIBLOU AS DÍVIDAS E A SOLIDÃO PARA TROCAR DE CARREIRA E VIROU CINEASTA PREMIADA NOS EUA</t>
        </is>
      </c>
      <c r="I1714" t="inlineStr">
        <is>
          <t>NA SÉRIE 'TRABALHAR NO EXTERIOR', O GUIA DE CARREIRAS DO G1 ENTREVISTA BRASILEIROS QUE FIZERAM A GRADUAÇÃO NO PAÍS, MAS HOJE SEGUEM CARREIRA EM OUTRAS PARTES DO MUNDO. CONHEÇA A HISTÓRIA DA CATARINENSE JULIANA SAKAE, QUE PRODUZ E DIRIGE DOCUMENTÁRIOS EM LOS ANGELES.</t>
        </is>
      </c>
      <c r="J1714" t="inlineStr"/>
      <c r="K1714" t="n">
        <v>0</v>
      </c>
      <c r="L1714" t="n">
        <v>1</v>
      </c>
      <c r="M1714" t="n">
        <v>0</v>
      </c>
      <c r="N1714" t="n">
        <v>0</v>
      </c>
      <c r="O1714" t="n">
        <v>6</v>
      </c>
      <c r="P1714">
        <f>HYPERLINK("https://g1.globo.com/educacao/guia-de-carreiras/noticia/2019/02/15/a-brasileira-que-driblou-as-dividas-e-a-solidao-para-trocar-de-carreira-e-virou-cineasta-premiada-nos-eua.ghtml", "URL")</f>
        <v/>
      </c>
      <c r="Q1714">
        <f>HYPERLINK("https://raw.githubusercontent.com/marcosmapl/dataset_imigrantes/main/materias_filtered/g1/haitianos/2019/01_fev/html/g1_476a5c46-2321-11ed-b24f-6dbe51e79fca_3690.html", "HTML")</f>
        <v/>
      </c>
      <c r="R1714">
        <f>HYPERLINK("https://raw.githubusercontent.com/marcosmapl/dataset_imigrantes/main/materias_filtered/g1/haitianos/2019/01_fev/txt/g1_476a5c46-2321-11ed-b24f-6dbe51e79fca_3690.txt", "TXT")</f>
        <v/>
      </c>
    </row>
    <row r="1715">
      <c r="A1715" s="1" t="n">
        <v>1713</v>
      </c>
      <c r="B1715" t="n">
        <v>2019</v>
      </c>
      <c r="C1715" s="2" t="n">
        <v>43508.65874090278</v>
      </c>
      <c r="D1715" t="inlineStr">
        <is>
          <t>G1</t>
        </is>
      </c>
      <c r="E1715" t="inlineStr">
        <is>
          <t>HAITIANOS</t>
        </is>
      </c>
      <c r="F1715" t="inlineStr">
        <is>
          <t>MATO GROSSO</t>
        </is>
      </c>
      <c r="G1715" t="inlineStr">
        <is>
          <t>G1 MT</t>
        </is>
      </c>
      <c r="H1715" t="inlineStr">
        <is>
          <t>HAITIANO QUE TRANCOU MEDICINA APÓS TERREMOTO CURSA ENGENHARIA EM MT, FAZ AULA DE MÚSICA E SONHA TOCAR EM ORQUESTRA</t>
        </is>
      </c>
      <c r="I1715" t="inlineStr">
        <is>
          <t>LONGE DA FAMÍLIA E DOS AMIGOS QUE DEIXOU NO HAITI, RONY GUERISMA CONSIDERA A MÚSICA A COISA MAIS IMPORTANTE QUE ELE TEM NO BRASIL. ELE GANHOU UM SAXOFONE DE PRESENTE E FAZ AULAS.</t>
        </is>
      </c>
      <c r="J1715" t="inlineStr"/>
      <c r="K1715" t="n">
        <v>0</v>
      </c>
      <c r="L1715" t="n">
        <v>2</v>
      </c>
      <c r="M1715" t="n">
        <v>0</v>
      </c>
      <c r="N1715" t="n">
        <v>0</v>
      </c>
      <c r="O1715" t="n">
        <v>0</v>
      </c>
      <c r="P1715">
        <f>HYPERLINK("https://g1.globo.com/mt/mato-grosso/noticia/2019/02/12/haitiano-que-deixou-a-faculdade-de-medicina-apos-terremoto-cursa-engenharia-em-mt-aprende-musica-e-sonha-tocar-em-orquestra.ghtml", "URL")</f>
        <v/>
      </c>
      <c r="Q1715">
        <f>HYPERLINK("https://raw.githubusercontent.com/marcosmapl/dataset_imigrantes/main/materias_filtered/g1/haitianos/2019/01_fev/html/g1_46494b6c-22f7-11ed-b24f-6dbe51e79fca_2068.html", "HTML")</f>
        <v/>
      </c>
      <c r="R1715">
        <f>HYPERLINK("https://raw.githubusercontent.com/marcosmapl/dataset_imigrantes/main/materias_filtered/g1/haitianos/2019/01_fev/txt/g1_46494b6c-22f7-11ed-b24f-6dbe51e79fca_2068.txt", "TXT")</f>
        <v/>
      </c>
    </row>
    <row r="1716">
      <c r="A1716" s="1" t="n">
        <v>1714</v>
      </c>
      <c r="B1716" t="n">
        <v>2019</v>
      </c>
      <c r="C1716" s="2" t="n">
        <v>43508.61458333334</v>
      </c>
      <c r="D1716" t="inlineStr">
        <is>
          <t>PORTAL AMAZONIA</t>
        </is>
      </c>
      <c r="E1716" t="inlineStr">
        <is>
          <t>VENEZUELANOS</t>
        </is>
      </c>
      <c r="F1716" t="inlineStr">
        <is>
          <t>CIDADES</t>
        </is>
      </c>
      <c r="G1716" t="inlineStr">
        <is>
          <t>REDAÇÃO</t>
        </is>
      </c>
      <c r="H1716" t="inlineStr">
        <is>
          <t>PRESENÇA DA FORÇA NACIONAL EM RORAIMA É PRORROGADA POR MAIS DOIS MESES</t>
        </is>
      </c>
      <c r="I1716" t="inlineStr">
        <is>
          <t>A PERMANÊNCIA DA FORÇA NACIONAL E DA FORÇA TAREFA DE INTERVENÇÃO PENITENCIÁRIA (FTIP) EM RORAIMA FOI PRORROGADA ATÉ O DIA 28 DE ABRIL. AS PORTARIAS, AUTORIZADAS PELO MINISTRO DA JUSTIÇA DE SEGURANÇA PÚBLICA SÉRGIO MORO, FORAM PUBLICADAS NO DIÁRIO OFI</t>
        </is>
      </c>
      <c r="J1716" t="inlineStr">
        <is>
          <t>FORCA NACIONAL DE SEGURANCA, RORAIMA</t>
        </is>
      </c>
      <c r="K1716" t="n">
        <v>2</v>
      </c>
      <c r="L1716" t="n">
        <v>2</v>
      </c>
      <c r="M1716" t="n">
        <v>0</v>
      </c>
      <c r="N1716" t="n">
        <v>0</v>
      </c>
      <c r="O1716" t="n">
        <v>7</v>
      </c>
      <c r="P1716">
        <f>HYPERLINK("https://portalamazonia.com/noticias/cidades/presenca-da-forca-nacional-em-roraima-e-prorrogada-por-mais-dois-meses", "URL")</f>
        <v/>
      </c>
      <c r="Q1716">
        <f>HYPERLINK("https://raw.githubusercontent.com/marcosmapl/dataset_imigrantes/main/materias_filtered/portal_amazonia/venezuelanos/2019/01_fev/html/16997.16997_1535.html", "HTML")</f>
        <v/>
      </c>
      <c r="R1716">
        <f>HYPERLINK("https://raw.githubusercontent.com/marcosmapl/dataset_imigrantes/main/materias_filtered/portal_amazonia/venezuelanos/2019/01_fev/txt/16997.16997_1535.txt", "TXT")</f>
        <v/>
      </c>
    </row>
    <row r="1717">
      <c r="A1717" s="1" t="n">
        <v>1715</v>
      </c>
      <c r="B1717" t="n">
        <v>2019</v>
      </c>
      <c r="C1717" s="2" t="n">
        <v>43508.469375</v>
      </c>
      <c r="D1717" t="inlineStr">
        <is>
          <t>A CRITICA</t>
        </is>
      </c>
      <c r="E1717" t="inlineStr">
        <is>
          <t>VENEZUELANOS</t>
        </is>
      </c>
      <c r="F1717" t="inlineStr"/>
      <c r="G1717" t="inlineStr">
        <is>
          <t>AGÊNCIA BRASIL</t>
        </is>
      </c>
      <c r="H1717" t="inlineStr">
        <is>
          <t>GUAIDÓ CONVOCA MANIFESTAÇÃO EM FAVOR DE AJUDA HUMANITÁRIA NA VENEZUELA</t>
        </is>
      </c>
      <c r="I1717" t="inlineStr">
        <is>
          <t>ELE PEDIU QUE AS PESSOAS SAIAM ÀS RUAS E APELEM POR SEUS DIREITOS. EM MEIO À CRISE POLÍTICA NO PAÍS, HÁ DIFICULDADES PARA QUE AS DOAÇÕES CHEGUEM AOS MAIS NECESSITADOS</t>
        </is>
      </c>
      <c r="J1717" t="inlineStr"/>
      <c r="K1717" t="n">
        <v>0</v>
      </c>
      <c r="L1717" t="n">
        <v>1</v>
      </c>
      <c r="M1717" t="n">
        <v>0</v>
      </c>
      <c r="N1717" t="n">
        <v>0</v>
      </c>
      <c r="O1717" t="n">
        <v>0</v>
      </c>
      <c r="P1717">
        <f>HYPERLINK("https://www.acritica.com/guaido-convoca-manifestac-o-em-favor-de-ajuda-humanitaria-na-venezuela-1.74120", "URL")</f>
        <v/>
      </c>
      <c r="Q1717">
        <f>HYPERLINK("https://raw.githubusercontent.com/marcosmapl/dataset_imigrantes/main/materias_filtered/a_critica/venezuelanos/2019/01_fev/html/1.74120_68.html", "HTML")</f>
        <v/>
      </c>
      <c r="R1717">
        <f>HYPERLINK("https://raw.githubusercontent.com/marcosmapl/dataset_imigrantes/main/materias_filtered/a_critica/venezuelanos/2019/01_fev/txt/1.74120_68.txt", "TXT")</f>
        <v/>
      </c>
    </row>
    <row r="1718">
      <c r="A1718" s="1" t="n">
        <v>1716</v>
      </c>
      <c r="B1718" t="n">
        <v>2019</v>
      </c>
      <c r="C1718" s="2" t="n">
        <v>43507.79889296296</v>
      </c>
      <c r="D1718" t="inlineStr">
        <is>
          <t>G1</t>
        </is>
      </c>
      <c r="E1718" t="inlineStr">
        <is>
          <t>VENEZUELANOS</t>
        </is>
      </c>
      <c r="F1718" t="inlineStr">
        <is>
          <t>MUNDO</t>
        </is>
      </c>
      <c r="G1718" t="inlineStr">
        <is>
          <t>AGÊNCIA EFE</t>
        </is>
      </c>
      <c r="H1718" t="inlineStr">
        <is>
          <t>CONTROLADORIA VENEZUELANA AUDITARÁ GUAIDÓ POR DEPÓSITOS 'SEM JUSTIFICATIVA'</t>
        </is>
      </c>
      <c r="I1718" t="inlineStr">
        <is>
          <t>SEGUNDO O ÓRGÃO DO GOVERNO DE MADURO, OPOSICIONISTA 'SUPOSTAMENTE OCULTOU, FALSEOU DADOS CONTIDOS NA SUA DECLARAÇÃO JURAMENTADA DE PATRIMÔNIO E RECEBEU DINHEIRO PROVENIENTE DE INSTÂNCIAS INTERNACIONAIS E NACIONAIS SEM NENHUM TIPO DE JUSTIFICATIVA'.</t>
        </is>
      </c>
      <c r="J1718" t="inlineStr"/>
      <c r="K1718" t="n">
        <v>0</v>
      </c>
      <c r="L1718" t="n">
        <v>1</v>
      </c>
      <c r="M1718" t="n">
        <v>0</v>
      </c>
      <c r="N1718" t="n">
        <v>0</v>
      </c>
      <c r="O1718" t="n">
        <v>7</v>
      </c>
      <c r="P1718">
        <f>HYPERLINK("https://g1.globo.com/mundo/noticia/2019/02/11/controladoria-venezuelana-auditara-guaido-por-depositos-sem-justificativa.ghtml", "URL")</f>
        <v/>
      </c>
      <c r="Q1718">
        <f>HYPERLINK("https://raw.githubusercontent.com/marcosmapl/dataset_imigrantes/main/materias_filtered/g1/venezuelanos/2019/01_fev/html/g1_2916d1ec-2318-11ed-b24f-6dbe51e79fca_3246.html", "HTML")</f>
        <v/>
      </c>
      <c r="R1718">
        <f>HYPERLINK("https://raw.githubusercontent.com/marcosmapl/dataset_imigrantes/main/materias_filtered/g1/venezuelanos/2019/01_fev/txt/g1_2916d1ec-2318-11ed-b24f-6dbe51e79fca_3246.txt", "TXT")</f>
        <v/>
      </c>
    </row>
    <row r="1719">
      <c r="A1719" s="1" t="n">
        <v>1717</v>
      </c>
      <c r="B1719" t="n">
        <v>2019</v>
      </c>
      <c r="C1719" s="2" t="n">
        <v>43506.56052773148</v>
      </c>
      <c r="D1719" t="inlineStr">
        <is>
          <t>G1</t>
        </is>
      </c>
      <c r="E1719" t="inlineStr">
        <is>
          <t>HAITIANOS</t>
        </is>
      </c>
      <c r="F1719" t="inlineStr">
        <is>
          <t>MUNDO</t>
        </is>
      </c>
      <c r="G1719" t="inlineStr">
        <is>
          <t>FRANCE PRESSE</t>
        </is>
      </c>
      <c r="H1719" t="inlineStr">
        <is>
          <t>TERCEIRO DIA DE PROTESTOS NO HAITI TERMINA COM UM MORTO E UM FERIDO</t>
        </is>
      </c>
      <c r="I1719" t="inlineStr">
        <is>
          <t>MANIFESTANTES PEDEM A SAÍDA DO PRESIDENTE HAITIANO, JOVENEL MOÏSE.</t>
        </is>
      </c>
      <c r="J1719" t="inlineStr"/>
      <c r="K1719" t="n">
        <v>0</v>
      </c>
      <c r="L1719" t="n">
        <v>1</v>
      </c>
      <c r="M1719" t="n">
        <v>0</v>
      </c>
      <c r="N1719" t="n">
        <v>0</v>
      </c>
      <c r="O1719" t="n">
        <v>1</v>
      </c>
      <c r="P1719">
        <f>HYPERLINK("https://g1.globo.com/mundo/noticia/2019/02/10/terceiro-dia-de-protestos-no-haiti-termina-com-um-morto-e-um-ferido.ghtml", "URL")</f>
        <v/>
      </c>
      <c r="Q1719">
        <f>HYPERLINK("https://raw.githubusercontent.com/marcosmapl/dataset_imigrantes/main/materias_filtered/g1/haitianos/2019/01_fev/html/g1_4f78fd96-2319-11ed-b24f-6dbe51e79fca_3309.html", "HTML")</f>
        <v/>
      </c>
      <c r="R1719">
        <f>HYPERLINK("https://raw.githubusercontent.com/marcosmapl/dataset_imigrantes/main/materias_filtered/g1/haitianos/2019/01_fev/txt/g1_4f78fd96-2319-11ed-b24f-6dbe51e79fca_3309.txt", "TXT")</f>
        <v/>
      </c>
    </row>
    <row r="1720">
      <c r="A1720" s="1" t="n">
        <v>1718</v>
      </c>
      <c r="B1720" t="n">
        <v>2019</v>
      </c>
      <c r="C1720" s="2" t="n">
        <v>43505.61052508102</v>
      </c>
      <c r="D1720" t="inlineStr">
        <is>
          <t>G1</t>
        </is>
      </c>
      <c r="E1720" t="inlineStr">
        <is>
          <t>VENEZUELANOS</t>
        </is>
      </c>
      <c r="F1720" t="inlineStr">
        <is>
          <t>RORAIMA</t>
        </is>
      </c>
      <c r="G1720" t="inlineStr">
        <is>
          <t>G1 RR — BOA VISTA</t>
        </is>
      </c>
      <c r="H1720" t="inlineStr">
        <is>
          <t>VIGILANTE ATIRA EM VENEZUELANO SUSPEITO DE FURTO EM PACARAIMA, RR</t>
        </is>
      </c>
      <c r="I1720" t="inlineStr">
        <is>
          <t>SUSPEITO TERIA SIDO FLAGRADO TENTANDO FURTAR CARRETA EM PÁTIO DA RECEITA FEDERAL. CASO DEVE SER APURADO PELA POLÍCIA FEDERAL.</t>
        </is>
      </c>
      <c r="J1720" t="inlineStr"/>
      <c r="K1720" t="n">
        <v>0</v>
      </c>
      <c r="L1720" t="n">
        <v>0</v>
      </c>
      <c r="M1720" t="n">
        <v>0</v>
      </c>
      <c r="N1720" t="n">
        <v>0</v>
      </c>
      <c r="O1720" t="n">
        <v>1</v>
      </c>
      <c r="P1720">
        <f>HYPERLINK("https://g1.globo.com/rr/roraima/noticia/2019/02/09/vigilante-atira-em-venezuelano-suspeito-de-furto-em-pacaraima-rr.ghtml", "URL")</f>
        <v/>
      </c>
      <c r="Q1720">
        <f>HYPERLINK("https://raw.githubusercontent.com/marcosmapl/dataset_imigrantes/main/materias_filtered/g1/venezuelanos/2019/01_fev/html/g1_1ffdb24c-2327-11ed-b24f-6dbe51e79fca_4019.html", "HTML")</f>
        <v/>
      </c>
      <c r="R1720">
        <f>HYPERLINK("https://raw.githubusercontent.com/marcosmapl/dataset_imigrantes/main/materias_filtered/g1/venezuelanos/2019/01_fev/txt/g1_1ffdb24c-2327-11ed-b24f-6dbe51e79fca_4019.txt", "TXT")</f>
        <v/>
      </c>
    </row>
    <row r="1721">
      <c r="A1721" s="1" t="n">
        <v>1719</v>
      </c>
      <c r="B1721" t="n">
        <v>2019</v>
      </c>
      <c r="C1721" s="2" t="n">
        <v>43505.53409543981</v>
      </c>
      <c r="D1721" t="inlineStr">
        <is>
          <t>G1</t>
        </is>
      </c>
      <c r="E1721" t="inlineStr">
        <is>
          <t>VENEZUELANOS</t>
        </is>
      </c>
      <c r="F1721" t="inlineStr">
        <is>
          <t>MATO GROSSO DO SUL</t>
        </is>
      </c>
      <c r="G1721" t="inlineStr">
        <is>
          <t>FLÁVIO DIAS, G1MS — CAMPO GRANDE</t>
        </is>
      </c>
      <c r="H1721" t="inlineStr">
        <is>
          <t>VENEZUELANO PEDE EMPREGO NA RUA EM MS: 'NÃO TENHO COMIDA PARA MEU FILHO MAS QUERO TRABALHAR PARA COMPRAR'</t>
        </is>
      </c>
      <c r="I1721" t="inlineStr">
        <is>
          <t>MESMO ENFRENTANDO DIFICULDADES NO BRASIL, A FAMÍLIA NÃO QUER VOLTAR À VENEZUELA: "AS PESSOAS SE MATAM POR UM FRANGO E ÀS VEZES UMA FILA PARA COMPRAR ARROZ DEMORA UMA SEMANA".</t>
        </is>
      </c>
      <c r="J1721" t="inlineStr"/>
      <c r="K1721" t="n">
        <v>0</v>
      </c>
      <c r="L1721" t="n">
        <v>2</v>
      </c>
      <c r="M1721" t="n">
        <v>0</v>
      </c>
      <c r="N1721" t="n">
        <v>0</v>
      </c>
      <c r="O1721" t="n">
        <v>0</v>
      </c>
      <c r="P1721">
        <f>HYPERLINK("https://g1.globo.com/ms/mato-grosso-do-sul/noticia/2019/02/09/venezuelano-pede-emprego-na-rua-em-ms-nao-tenho-comida-para-meu-filho-mas-quero-trabalhar-para-comprar.ghtml", "URL")</f>
        <v/>
      </c>
      <c r="Q1721">
        <f>HYPERLINK("https://raw.githubusercontent.com/marcosmapl/dataset_imigrantes/main/materias_filtered/g1/venezuelanos/2019/01_fev/html/g1_c62bd7a8-232b-11ed-b24f-6dbe51e79fca_4269.html", "HTML")</f>
        <v/>
      </c>
      <c r="R1721">
        <f>HYPERLINK("https://raw.githubusercontent.com/marcosmapl/dataset_imigrantes/main/materias_filtered/g1/venezuelanos/2019/01_fev/txt/g1_c62bd7a8-232b-11ed-b24f-6dbe51e79fca_4269.txt", "TXT")</f>
        <v/>
      </c>
    </row>
    <row r="1722">
      <c r="A1722" s="1" t="n">
        <v>1720</v>
      </c>
      <c r="B1722" t="n">
        <v>2019</v>
      </c>
      <c r="C1722" s="2" t="n">
        <v>43505.49821759259</v>
      </c>
      <c r="D1722" t="inlineStr">
        <is>
          <t>A CRITICA</t>
        </is>
      </c>
      <c r="E1722" t="inlineStr">
        <is>
          <t>VENEZUELANOS</t>
        </is>
      </c>
      <c r="F1722" t="inlineStr"/>
      <c r="G1722" t="inlineStr">
        <is>
          <t>ALEXANDER MARTINEZ / AFP</t>
        </is>
      </c>
      <c r="H1722" t="inlineStr">
        <is>
          <t>'FAREMOS TUDO QUE FOR NECESSÁRIO PARA SALVAR VIDAS', DIZ OPOSITOR DE MADURO</t>
        </is>
      </c>
      <c r="I1722" t="inlineStr">
        <is>
          <t>AUTOPROCLAMADO PRESIDENTE, O PARLAMENTAR NÃO DESCARTA AUTORIZAR UMA INTERVENÇÃO NORTE-AMERICANA NA VENEZUELA PARA PERMITIR A REALIZAÇÃO DE ELEIÇÕES LIVRES</t>
        </is>
      </c>
      <c r="J1722" t="inlineStr"/>
      <c r="K1722" t="n">
        <v>0</v>
      </c>
      <c r="L1722" t="n">
        <v>1</v>
      </c>
      <c r="M1722" t="n">
        <v>0</v>
      </c>
      <c r="N1722" t="n">
        <v>0</v>
      </c>
      <c r="O1722" t="n">
        <v>0</v>
      </c>
      <c r="P1722">
        <f>HYPERLINK("https://www.acritica.com/faremos-tudo-que-for-necessario-para-salvar-vidas-diz-opositor-de-maduro-1.75487", "URL")</f>
        <v/>
      </c>
      <c r="Q1722">
        <f>HYPERLINK("https://raw.githubusercontent.com/marcosmapl/dataset_imigrantes/main/materias_filtered/a_critica/venezuelanos/2019/01_fev/html/1.75487_1354.html", "HTML")</f>
        <v/>
      </c>
      <c r="R1722">
        <f>HYPERLINK("https://raw.githubusercontent.com/marcosmapl/dataset_imigrantes/main/materias_filtered/a_critica/venezuelanos/2019/01_fev/txt/1.75487_1354.txt", "TXT")</f>
        <v/>
      </c>
    </row>
    <row r="1723">
      <c r="A1723" s="1" t="n">
        <v>1721</v>
      </c>
      <c r="B1723" t="n">
        <v>2019</v>
      </c>
      <c r="C1723" s="2" t="n">
        <v>43504.45229442129</v>
      </c>
      <c r="D1723" t="inlineStr">
        <is>
          <t>G1</t>
        </is>
      </c>
      <c r="E1723" t="inlineStr">
        <is>
          <t>HAITIANOS</t>
        </is>
      </c>
      <c r="F1723" t="inlineStr">
        <is>
          <t>MUNDO</t>
        </is>
      </c>
      <c r="G1723" t="inlineStr">
        <is>
          <t>FRANCE PRESSE</t>
        </is>
      </c>
      <c r="H1723" t="inlineStr">
        <is>
          <t>MILHARES DE HAITIANOS PROTESTAM CONTRA A INFLAÇÃO E A CORRUPÇÃO</t>
        </is>
      </c>
      <c r="I1723" t="inlineStr">
        <is>
          <t>DUAS PESSOAS MORRERAM E 14 POLICIAIS FICARAM FERIDOS NOS PROTESTOS.</t>
        </is>
      </c>
      <c r="J1723" t="inlineStr"/>
      <c r="K1723" t="n">
        <v>0</v>
      </c>
      <c r="L1723" t="n">
        <v>2</v>
      </c>
      <c r="M1723" t="n">
        <v>0</v>
      </c>
      <c r="N1723" t="n">
        <v>0</v>
      </c>
      <c r="O1723" t="n">
        <v>0</v>
      </c>
      <c r="P1723">
        <f>HYPERLINK("https://g1.globo.com/mundo/noticia/2019/02/08/milhares-de-haitianos-protestam-contra-a-inflacao-e-a-corrupcao.ghtml", "URL")</f>
        <v/>
      </c>
      <c r="Q1723">
        <f>HYPERLINK("https://raw.githubusercontent.com/marcosmapl/dataset_imigrantes/main/materias_filtered/g1/haitianos/2019/01_fev/html/g1_3d561b58-22f1-11ed-b24f-6dbe51e79fca_1741.html", "HTML")</f>
        <v/>
      </c>
      <c r="R1723">
        <f>HYPERLINK("https://raw.githubusercontent.com/marcosmapl/dataset_imigrantes/main/materias_filtered/g1/haitianos/2019/01_fev/txt/g1_3d561b58-22f1-11ed-b24f-6dbe51e79fca_1741.txt", "TXT")</f>
        <v/>
      </c>
    </row>
    <row r="1724">
      <c r="A1724" s="1" t="n">
        <v>1722</v>
      </c>
      <c r="B1724" t="n">
        <v>2019</v>
      </c>
      <c r="C1724" s="2" t="n">
        <v>43502.95820601852</v>
      </c>
      <c r="D1724" t="inlineStr">
        <is>
          <t>A CRITICA</t>
        </is>
      </c>
      <c r="E1724" t="inlineStr">
        <is>
          <t>VENEZUELANOS</t>
        </is>
      </c>
      <c r="F1724" t="inlineStr">
        <is>
          <t>MANAUS</t>
        </is>
      </c>
      <c r="G1724" t="inlineStr">
        <is>
          <t>ACRÍTICA.COM</t>
        </is>
      </c>
      <c r="H1724" t="inlineStr">
        <is>
          <t>INDÍGENAS VENEZUELANOS EM ABRIGO NO CENTRO ESTÃO COM SINTOMAS DE TUBERCULOSE</t>
        </is>
      </c>
      <c r="I1724" t="inlineStr">
        <is>
          <t>SEMSA TAMBÉM FEZ UMA AÇÃO EM ABRIGO DA ZONA NORTE, NESTA QUARTA-FEIRA (6), E  RESULTADO DOS EXAMES DEVE FICAR PRONTO EM ATÉ TRÊS DIAS</t>
        </is>
      </c>
      <c r="J1724" t="inlineStr"/>
      <c r="K1724" t="n">
        <v>0</v>
      </c>
      <c r="L1724" t="n">
        <v>1</v>
      </c>
      <c r="M1724" t="n">
        <v>0</v>
      </c>
      <c r="N1724" t="n">
        <v>0</v>
      </c>
      <c r="O1724" t="n">
        <v>0</v>
      </c>
      <c r="P1724">
        <f>HYPERLINK("https://www.acritica.com/manaus/indigenas-venezuelanos-em-abrigo-no-centro-est-o-com-sintomas-de-tuberculose-1.75807", "URL")</f>
        <v/>
      </c>
      <c r="Q1724">
        <f>HYPERLINK("https://raw.githubusercontent.com/marcosmapl/dataset_imigrantes/main/materias_filtered/a_critica/venezuelanos/2019/01_fev/html/1.75807_252.html", "HTML")</f>
        <v/>
      </c>
      <c r="R1724">
        <f>HYPERLINK("https://raw.githubusercontent.com/marcosmapl/dataset_imigrantes/main/materias_filtered/a_critica/venezuelanos/2019/01_fev/txt/1.75807_252.txt", "TXT")</f>
        <v/>
      </c>
    </row>
    <row r="1725">
      <c r="A1725" s="1" t="n">
        <v>1723</v>
      </c>
      <c r="B1725" t="n">
        <v>2019</v>
      </c>
      <c r="C1725" s="2" t="n">
        <v>43500.48685185185</v>
      </c>
      <c r="D1725" t="inlineStr">
        <is>
          <t>A CRITICA</t>
        </is>
      </c>
      <c r="E1725" t="inlineStr">
        <is>
          <t>VENEZUELANOS</t>
        </is>
      </c>
      <c r="F1725" t="inlineStr">
        <is>
          <t>MANAUS</t>
        </is>
      </c>
      <c r="G1725" t="inlineStr">
        <is>
          <t>ACRÍTICA.COM</t>
        </is>
      </c>
      <c r="H1725" t="inlineStr">
        <is>
          <t>IGREJA OFERECE CURSO GRATUITO DE PORTUGUÊS PARA IMIGRANTES EM MANAUS</t>
        </is>
      </c>
      <c r="I1725" t="inlineStr">
        <is>
          <t>QUALQUER PESSOA DE OUTRA NACIONALIDADE PODE PARTICIPAR DO CURSO, INDEPENDENTEMENTE DA SITUAÇÃO MIGRATÓRIA. INSCRIÇÕES JÁ ESTÃO ABERTAS</t>
        </is>
      </c>
      <c r="J1725" t="inlineStr"/>
      <c r="K1725" t="n">
        <v>0</v>
      </c>
      <c r="L1725" t="n">
        <v>1</v>
      </c>
      <c r="M1725" t="n">
        <v>0</v>
      </c>
      <c r="N1725" t="n">
        <v>0</v>
      </c>
      <c r="O1725" t="n">
        <v>0</v>
      </c>
      <c r="P1725">
        <f>HYPERLINK("https://www.acritica.com/manaus/igreja-oferece-curso-gratuito-de-portugues-para-imigrantes-em-manaus-1.75938", "URL")</f>
        <v/>
      </c>
      <c r="Q1725">
        <f>HYPERLINK("https://raw.githubusercontent.com/marcosmapl/dataset_imigrantes/main/materias_filtered/a_critica/venezuelanos/2019/01_fev/html/1.75938_759.html", "HTML")</f>
        <v/>
      </c>
      <c r="R1725">
        <f>HYPERLINK("https://raw.githubusercontent.com/marcosmapl/dataset_imigrantes/main/materias_filtered/a_critica/venezuelanos/2019/01_fev/txt/1.75938_759.txt", "TXT")</f>
        <v/>
      </c>
    </row>
    <row r="1726">
      <c r="A1726" s="1" t="n">
        <v>1724</v>
      </c>
      <c r="B1726" t="n">
        <v>2019</v>
      </c>
      <c r="C1726" s="2" t="n">
        <v>43499.58489583333</v>
      </c>
      <c r="D1726" t="inlineStr">
        <is>
          <t>A CRITICA</t>
        </is>
      </c>
      <c r="E1726" t="inlineStr">
        <is>
          <t>VENEZUELANOS</t>
        </is>
      </c>
      <c r="F1726" t="inlineStr"/>
      <c r="G1726" t="inlineStr">
        <is>
          <t>AFP</t>
        </is>
      </c>
      <c r="H1726" t="inlineStr">
        <is>
          <t>VENEZUELA: GUAIDÓ PRESSIONA MADURO COM ANÚNCIO DE AJUDA HUMANITÁRIA</t>
        </is>
      </c>
      <c r="I1726" t="inlineStr">
        <is>
          <t>NICOLÁS MADURO É CONTRÁRIO À MEDIDA POIS CONSIDERA QUE ESSA INICIATIVA ABRE CAMINHO PARA UMA INTERVENÇÃO MILITAR DOS ESTADOS UNIDOS.</t>
        </is>
      </c>
      <c r="J1726" t="inlineStr"/>
      <c r="K1726" t="n">
        <v>0</v>
      </c>
      <c r="L1726" t="n">
        <v>1</v>
      </c>
      <c r="M1726" t="n">
        <v>0</v>
      </c>
      <c r="N1726" t="n">
        <v>0</v>
      </c>
      <c r="O1726" t="n">
        <v>0</v>
      </c>
      <c r="P1726">
        <f>HYPERLINK("https://www.acritica.com/venezuela-guaido-pressiona-maduro-com-anuncio-de-ajuda-humanitaria-1.76294", "URL")</f>
        <v/>
      </c>
      <c r="Q1726">
        <f>HYPERLINK("https://raw.githubusercontent.com/marcosmapl/dataset_imigrantes/main/materias_filtered/a_critica/venezuelanos/2019/01_fev/html/1.76294_1267.html", "HTML")</f>
        <v/>
      </c>
      <c r="R1726">
        <f>HYPERLINK("https://raw.githubusercontent.com/marcosmapl/dataset_imigrantes/main/materias_filtered/a_critica/venezuelanos/2019/01_fev/txt/1.76294_1267.txt", "TXT")</f>
        <v/>
      </c>
    </row>
    <row r="1727">
      <c r="A1727" s="1" t="n">
        <v>1725</v>
      </c>
      <c r="B1727" t="n">
        <v>2019</v>
      </c>
      <c r="C1727" s="2" t="n">
        <v>43498.79099537037</v>
      </c>
      <c r="D1727" t="inlineStr">
        <is>
          <t>A CRITICA</t>
        </is>
      </c>
      <c r="E1727" t="inlineStr">
        <is>
          <t>VENEZUELANOS</t>
        </is>
      </c>
      <c r="F1727" t="inlineStr"/>
      <c r="G1727" t="inlineStr">
        <is>
          <t>MONICA YANAKIEW (AGÊNCIA BRASIL)</t>
        </is>
      </c>
      <c r="H1727" t="inlineStr">
        <is>
          <t>BRASIL VAI SER UM DOS TRÊS PONTOS DE AJUDA HUMANITÁRIA À VENEZUELA</t>
        </is>
      </c>
      <c r="I1727" t="inlineStr">
        <is>
          <t>ANÚNCIO FOI FEITO, NESTE SÁBADO (2), PELO LÍDER OPOSICIONISTA VENEZUELANO JUAN GUAIDÓ</t>
        </is>
      </c>
      <c r="J1727" t="inlineStr"/>
      <c r="K1727" t="n">
        <v>0</v>
      </c>
      <c r="L1727" t="n">
        <v>1</v>
      </c>
      <c r="M1727" t="n">
        <v>0</v>
      </c>
      <c r="N1727" t="n">
        <v>0</v>
      </c>
      <c r="O1727" t="n">
        <v>0</v>
      </c>
      <c r="P1727">
        <f>HYPERLINK("https://www.acritica.com/brasil-vai-ser-um-dos-tres-pontos-de-ajuda-humanitaria-a-venezuela-1.76306", "URL")</f>
        <v/>
      </c>
      <c r="Q1727">
        <f>HYPERLINK("https://raw.githubusercontent.com/marcosmapl/dataset_imigrantes/main/materias_filtered/a_critica/venezuelanos/2019/01_fev/html/1.76306_417.html", "HTML")</f>
        <v/>
      </c>
      <c r="R1727">
        <f>HYPERLINK("https://raw.githubusercontent.com/marcosmapl/dataset_imigrantes/main/materias_filtered/a_critica/venezuelanos/2019/01_fev/txt/1.76306_417.txt", "TXT")</f>
        <v/>
      </c>
    </row>
    <row r="1728">
      <c r="A1728" s="1" t="n">
        <v>1726</v>
      </c>
      <c r="B1728" t="n">
        <v>2019</v>
      </c>
      <c r="C1728" s="2" t="n">
        <v>43498.72916666666</v>
      </c>
      <c r="D1728" t="inlineStr">
        <is>
          <t>A CRITICA</t>
        </is>
      </c>
      <c r="E1728" t="inlineStr">
        <is>
          <t>AMBOS</t>
        </is>
      </c>
      <c r="F1728" t="inlineStr">
        <is>
          <t>MANAUS</t>
        </is>
      </c>
      <c r="G1728" t="inlineStr">
        <is>
          <t>LUIZ G. MELO</t>
        </is>
      </c>
      <c r="H1728" t="inlineStr">
        <is>
          <t>INTERIORANOS, INDÍGENAS E ESTRANGEIROS DIVIDEM SONHOS EM COMUNIDADE</t>
        </is>
      </c>
      <c r="I1728" t="inlineStr">
        <is>
          <t>MONTE HOREBE, NA ZONA NORTE DE MANAUS, REÚNE 400 ÍNDIOS, DE 30 ETNIAS DIFERENTES, 250 VENEZUELANOS E 600 HAITIANOS, SEGUNDO LEVANTAMENTO DA SECRETARIA DE POLÍTICA FUNDIÁRIA (SPF)</t>
        </is>
      </c>
      <c r="J1728" t="inlineStr"/>
      <c r="K1728" t="n">
        <v>0</v>
      </c>
      <c r="L1728" t="n">
        <v>1</v>
      </c>
      <c r="M1728" t="n">
        <v>0</v>
      </c>
      <c r="N1728" t="n">
        <v>0</v>
      </c>
      <c r="O1728" t="n">
        <v>0</v>
      </c>
      <c r="P1728">
        <f>HYPERLINK("https://www.acritica.com/manaus/interioranos-indigenas-e-estrangeiros-dividem-sonhos-em-comunidade-1.75979", "URL")</f>
        <v/>
      </c>
      <c r="Q1728">
        <f>HYPERLINK("https://raw.githubusercontent.com/marcosmapl/dataset_imigrantes/main/materias_filtered/a_critica/ambos/2019/01_fev/html/1.75979_1046.html", "HTML")</f>
        <v/>
      </c>
      <c r="R1728">
        <f>HYPERLINK("https://raw.githubusercontent.com/marcosmapl/dataset_imigrantes/main/materias_filtered/a_critica/ambos/2019/01_fev/txt/1.75979_1046.txt", "TXT")</f>
        <v/>
      </c>
    </row>
    <row r="1729">
      <c r="A1729" s="1" t="n">
        <v>1727</v>
      </c>
      <c r="B1729" t="n">
        <v>2019</v>
      </c>
      <c r="C1729" s="2" t="n">
        <v>43498.58427604166</v>
      </c>
      <c r="D1729" t="inlineStr">
        <is>
          <t>G1</t>
        </is>
      </c>
      <c r="E1729" t="inlineStr">
        <is>
          <t>VENEZUELANOS</t>
        </is>
      </c>
      <c r="F1729" t="inlineStr">
        <is>
          <t>MUNDO</t>
        </is>
      </c>
      <c r="G1729" t="inlineStr">
        <is>
          <t>FRANCE PRESSE</t>
        </is>
      </c>
      <c r="H1729" t="inlineStr">
        <is>
          <t>GENERAL VENEZUELANO FRANCISCO YÁNEZ RECONHECE JUAN GUAIDÓ COMO PRESIDENTE INTERINO</t>
        </is>
      </c>
      <c r="I1729" t="inlineStr">
        <is>
          <t>'DESCONHEÇO A AUTORIDADE AUTORITÁRIA E DITATORIAL DE NICOLÁS MADURO', AFIRMOU O GENERAL EM VÍDEO EM QUE AINDA CONVOCA A POPULAÇÃO PARA IR ÀS RUAS.</t>
        </is>
      </c>
      <c r="J1729" t="inlineStr"/>
      <c r="K1729" t="n">
        <v>0</v>
      </c>
      <c r="L1729" t="n">
        <v>1</v>
      </c>
      <c r="M1729" t="n">
        <v>0</v>
      </c>
      <c r="N1729" t="n">
        <v>0</v>
      </c>
      <c r="O1729" t="n">
        <v>2</v>
      </c>
      <c r="P1729">
        <f>HYPERLINK("https://g1.globo.com/mundo/noticia/2019/02/02/general-venezuelano-francisco-yanez-reconhece-juan-guaido-como-presidente-interino.ghtml", "URL")</f>
        <v/>
      </c>
      <c r="Q1729">
        <f>HYPERLINK("https://raw.githubusercontent.com/marcosmapl/dataset_imigrantes/main/materias_filtered/g1/venezuelanos/2019/01_fev/html/g1_fd4732a2-230b-11ed-b24f-6dbe51e79fca_2601.html", "HTML")</f>
        <v/>
      </c>
      <c r="R1729">
        <f>HYPERLINK("https://raw.githubusercontent.com/marcosmapl/dataset_imigrantes/main/materias_filtered/g1/venezuelanos/2019/01_fev/txt/g1_fd4732a2-230b-11ed-b24f-6dbe51e79fca_2601.txt", "TXT")</f>
        <v/>
      </c>
    </row>
    <row r="1730">
      <c r="A1730" s="1" t="n">
        <v>1728</v>
      </c>
      <c r="B1730" t="n">
        <v>2019</v>
      </c>
      <c r="C1730" s="2" t="n">
        <v>43498.42361111111</v>
      </c>
      <c r="D1730" t="inlineStr">
        <is>
          <t>A CRITICA</t>
        </is>
      </c>
      <c r="E1730" t="inlineStr">
        <is>
          <t>VENEZUELANOS</t>
        </is>
      </c>
      <c r="F1730" t="inlineStr">
        <is>
          <t>OPINIAO</t>
        </is>
      </c>
      <c r="G1730" t="inlineStr"/>
      <c r="H1730" t="inlineStr">
        <is>
          <t>A VENEZUELA EM DISPUTA</t>
        </is>
      </c>
      <c r="I1730" t="inlineStr"/>
      <c r="J1730" t="inlineStr"/>
      <c r="K1730" t="n">
        <v>0</v>
      </c>
      <c r="L1730" t="n">
        <v>1</v>
      </c>
      <c r="M1730" t="n">
        <v>0</v>
      </c>
      <c r="N1730" t="n">
        <v>0</v>
      </c>
      <c r="O1730" t="n">
        <v>0</v>
      </c>
      <c r="P1730">
        <f>HYPERLINK("https://www.acritica.com/opiniao/a-venezuela-em-disputa-1.223952", "URL")</f>
        <v/>
      </c>
      <c r="Q1730">
        <f>HYPERLINK("https://raw.githubusercontent.com/marcosmapl/dataset_imigrantes/main/materias_filtered/a_critica/venezuelanos/2019/01_fev/html/1.223952_163.html", "HTML")</f>
        <v/>
      </c>
      <c r="R1730">
        <f>HYPERLINK("https://raw.githubusercontent.com/marcosmapl/dataset_imigrantes/main/materias_filtered/a_critica/venezuelanos/2019/01_fev/txt/1.223952_163.txt", "TXT")</f>
        <v/>
      </c>
    </row>
    <row r="1731">
      <c r="A1731" s="1" t="n">
        <v>1729</v>
      </c>
      <c r="B1731" t="n">
        <v>2019</v>
      </c>
      <c r="C1731" s="2" t="n">
        <v>43497.93704857639</v>
      </c>
      <c r="D1731" t="inlineStr">
        <is>
          <t>G1</t>
        </is>
      </c>
      <c r="E1731" t="inlineStr">
        <is>
          <t>VENEZUELANOS</t>
        </is>
      </c>
      <c r="F1731" t="inlineStr">
        <is>
          <t>MATO GROSSO</t>
        </is>
      </c>
      <c r="G1731" t="inlineStr">
        <is>
          <t>RICARDO MELLO, TV CENTRO AMÉRICA</t>
        </is>
      </c>
      <c r="H1731" t="inlineStr">
        <is>
          <t>VENEZUELANOS DIZEM QUE DEMORA NA EMISSÃO DE DOCUMENTOS DIFICULTA TRABALHO, DIZEM VENEZUELANOS EM MT</t>
        </is>
      </c>
      <c r="I1731" t="inlineStr">
        <is>
          <t>POLÍCIA FEDERAL APONTA QUE 133 VENEZUELANOS TIVERAM OS DOCUMENTOS REGULARIZADOS NO ESTADO EM 2018. DESTES, 63 EM CUIABÁ.</t>
        </is>
      </c>
      <c r="J1731" t="inlineStr"/>
      <c r="K1731" t="n">
        <v>0</v>
      </c>
      <c r="L1731" t="n">
        <v>1</v>
      </c>
      <c r="M1731" t="n">
        <v>0</v>
      </c>
      <c r="N1731" t="n">
        <v>0</v>
      </c>
      <c r="O1731" t="n">
        <v>1</v>
      </c>
      <c r="P1731">
        <f>HYPERLINK("https://g1.globo.com/mt/mato-grosso/noticia/2019/02/01/venezuelanos-dizem-que-demora-na-emissao-de-documentos-dificulta-trabalho-dizem-venezuelanos-em-mt.ghtml", "URL")</f>
        <v/>
      </c>
      <c r="Q1731">
        <f>HYPERLINK("https://raw.githubusercontent.com/marcosmapl/dataset_imigrantes/main/materias_filtered/g1/venezuelanos/2019/01_fev/html/g1_f42675ca-2310-11ed-b24f-6dbe51e79fca_2887.html", "HTML")</f>
        <v/>
      </c>
      <c r="R1731">
        <f>HYPERLINK("https://raw.githubusercontent.com/marcosmapl/dataset_imigrantes/main/materias_filtered/g1/venezuelanos/2019/01_fev/txt/g1_f42675ca-2310-11ed-b24f-6dbe51e79fca_2887.txt", "TXT")</f>
        <v/>
      </c>
    </row>
    <row r="1732">
      <c r="A1732" s="1" t="n">
        <v>1730</v>
      </c>
      <c r="B1732" t="n">
        <v>2019</v>
      </c>
      <c r="C1732" s="2" t="n">
        <v>43494.81625</v>
      </c>
      <c r="D1732" t="inlineStr">
        <is>
          <t>A CRITICA</t>
        </is>
      </c>
      <c r="E1732" t="inlineStr">
        <is>
          <t>HAITIANOS</t>
        </is>
      </c>
      <c r="F1732" t="inlineStr">
        <is>
          <t>MANAUS</t>
        </is>
      </c>
      <c r="G1732" t="inlineStr">
        <is>
          <t>ACRÍTICA.COM</t>
        </is>
      </c>
      <c r="H1732" t="inlineStr">
        <is>
          <t>VÍDEO MOSTRA MOMENTO EM QUE VENDEDOR DE DINDIN ATACA POLICIAL E É MORTO</t>
        </is>
      </c>
      <c r="I1732" t="inlineStr">
        <is>
          <t>AÇÃO DUROU POUCO MAIS DE 20 SEGUNDOS, NA AVENIDA DJALMA BATISTA.  HOMEM RESISTIU À ABORDAGEM E ATACOU POLICIAL COM UMA FACA E ACABOU MORTO COM UM TIRO</t>
        </is>
      </c>
      <c r="J1732" t="inlineStr"/>
      <c r="K1732" t="n">
        <v>0</v>
      </c>
      <c r="L1732" t="n">
        <v>1</v>
      </c>
      <c r="M1732" t="n">
        <v>0</v>
      </c>
      <c r="N1732" t="n">
        <v>0</v>
      </c>
      <c r="O1732" t="n">
        <v>1</v>
      </c>
      <c r="P1732">
        <f>HYPERLINK("https://www.acritica.com/manaus/video-mostra-momento-em-que-vendedor-de-dindin-ataca-policial-e-e-morto-1.76763", "URL")</f>
        <v/>
      </c>
      <c r="Q1732">
        <f>HYPERLINK("https://raw.githubusercontent.com/marcosmapl/dataset_imigrantes/main/materias_filtered/a_critica/haitianos/2019/00_jan/html/1.76763_1057.html", "HTML")</f>
        <v/>
      </c>
      <c r="R1732">
        <f>HYPERLINK("https://raw.githubusercontent.com/marcosmapl/dataset_imigrantes/main/materias_filtered/a_critica/haitianos/2019/00_jan/txt/1.76763_1057.txt", "TXT")</f>
        <v/>
      </c>
    </row>
    <row r="1733">
      <c r="A1733" s="1" t="n">
        <v>1731</v>
      </c>
      <c r="B1733" t="n">
        <v>2019</v>
      </c>
      <c r="C1733" s="2" t="n">
        <v>43494.81545953704</v>
      </c>
      <c r="D1733" t="inlineStr">
        <is>
          <t>G1</t>
        </is>
      </c>
      <c r="E1733" t="inlineStr">
        <is>
          <t>HAITIANOS</t>
        </is>
      </c>
      <c r="F1733" t="inlineStr">
        <is>
          <t>DISTRITO FEDERAL</t>
        </is>
      </c>
      <c r="G1733" t="inlineStr">
        <is>
          <t>G1 DF</t>
        </is>
      </c>
      <c r="H1733" t="inlineStr">
        <is>
          <t>HAITIANO QUE ATUAVA COMO PASTOR É PRESO POR ESTUPRAR MENINO DE 13 ANOS NO DF</t>
        </is>
      </c>
      <c r="I1733" t="inlineStr">
        <is>
          <t>SEGUNDO POLÍCIA CIVIL, COM A DESCULPA DE ENSINAR INGLÊS, HOMEM ABUSAVA DO ADOLESCENTE. CRIME FOI EM 2012, MAS FAMÍLIA SOUBE SÓ EM 2017.</t>
        </is>
      </c>
      <c r="J1733" t="inlineStr"/>
      <c r="K1733" t="n">
        <v>0</v>
      </c>
      <c r="L1733" t="n">
        <v>1</v>
      </c>
      <c r="M1733" t="n">
        <v>0</v>
      </c>
      <c r="N1733" t="n">
        <v>0</v>
      </c>
      <c r="O1733" t="n">
        <v>1</v>
      </c>
      <c r="P1733">
        <f>HYPERLINK("https://g1.globo.com/df/distrito-federal/noticia/2019/01/29/haitiano-que-atuava-como-pastor-e-preso-por-estuprar-jovem-no-df.ghtml", "URL")</f>
        <v/>
      </c>
      <c r="Q1733">
        <f>HYPERLINK("https://raw.githubusercontent.com/marcosmapl/dataset_imigrantes/main/materias_filtered/g1/haitianos/2019/00_jan/html/g1_0410e1d2-22f8-11ed-b24f-6dbe51e79fca_2112.html", "HTML")</f>
        <v/>
      </c>
      <c r="R1733">
        <f>HYPERLINK("https://raw.githubusercontent.com/marcosmapl/dataset_imigrantes/main/materias_filtered/g1/haitianos/2019/00_jan/txt/g1_0410e1d2-22f8-11ed-b24f-6dbe51e79fca_2112.txt", "TXT")</f>
        <v/>
      </c>
    </row>
    <row r="1734">
      <c r="A1734" s="1" t="n">
        <v>1732</v>
      </c>
      <c r="B1734" t="n">
        <v>2019</v>
      </c>
      <c r="C1734" s="2" t="n">
        <v>43494.80553833333</v>
      </c>
      <c r="D1734" t="inlineStr">
        <is>
          <t>G1</t>
        </is>
      </c>
      <c r="E1734" t="inlineStr">
        <is>
          <t>HAITIANOS</t>
        </is>
      </c>
      <c r="F1734" t="inlineStr">
        <is>
          <t>AMAZONAS</t>
        </is>
      </c>
      <c r="G1734" t="inlineStr">
        <is>
          <t>G1 AM</t>
        </is>
      </c>
      <c r="H1734" t="inlineStr">
        <is>
          <t>HAITIANO É MORTO APÓS ESFAQUEAR POLICIAL QUE PEDIU PARA REVISTÁ-LO, EM MANAUS</t>
        </is>
      </c>
      <c r="I1734" t="inlineStr">
        <is>
          <t>COLEGA DE PM FERIDO ATIROU CONTRA HAITIANO NA TARDE DESTA TERÇA-FEIRA (29).</t>
        </is>
      </c>
      <c r="J1734" t="inlineStr"/>
      <c r="K1734" t="n">
        <v>0</v>
      </c>
      <c r="L1734" t="n">
        <v>1</v>
      </c>
      <c r="M1734" t="n">
        <v>0</v>
      </c>
      <c r="N1734" t="n">
        <v>0</v>
      </c>
      <c r="O1734" t="n">
        <v>6</v>
      </c>
      <c r="P1734">
        <f>HYPERLINK("https://g1.globo.com/am/amazonas/noticia/2019/01/29/haitiano-e-morto-apos-esfaquear-policial-que-pediu-para-revista-lo-em-manaus.ghtml", "URL")</f>
        <v/>
      </c>
      <c r="Q1734">
        <f>HYPERLINK("https://raw.githubusercontent.com/marcosmapl/dataset_imigrantes/main/materias_filtered/g1/haitianos/2019/00_jan/html/g1_dac11f84-22ae-11ed-b24f-6dbe51e79fca_1628.html", "HTML")</f>
        <v/>
      </c>
      <c r="R1734">
        <f>HYPERLINK("https://raw.githubusercontent.com/marcosmapl/dataset_imigrantes/main/materias_filtered/g1/haitianos/2019/00_jan/txt/g1_dac11f84-22ae-11ed-b24f-6dbe51e79fca_1628.txt", "TXT")</f>
        <v/>
      </c>
    </row>
    <row r="1735">
      <c r="A1735" s="1" t="n">
        <v>1733</v>
      </c>
      <c r="B1735" t="n">
        <v>2019</v>
      </c>
      <c r="C1735" s="2" t="n">
        <v>43494.67777777778</v>
      </c>
      <c r="D1735" t="inlineStr">
        <is>
          <t>A CRITICA</t>
        </is>
      </c>
      <c r="E1735" t="inlineStr">
        <is>
          <t>HAITIANOS</t>
        </is>
      </c>
      <c r="F1735" t="inlineStr">
        <is>
          <t>MANAUS</t>
        </is>
      </c>
      <c r="G1735" t="inlineStr">
        <is>
          <t>OSWALDO NETO</t>
        </is>
      </c>
      <c r="H1735" t="inlineStr">
        <is>
          <t>APÓS BRIGA, VENDEDOR DE DINDIN ATACA POLICIAL COM FACA E É MORTO A TIROS</t>
        </is>
      </c>
      <c r="I1735" t="inlineStr">
        <is>
          <t>TUMULTO QUE ACABOU EM MORTE OCORREU NA AVENIDA DJALMA BATISTA, NO INÍCIO DA TARDE DESTA TERÇA-FEIRA. POLICIAL FICOU FERIDO NAS MÃOS E NO ROSTO E FOI LEVADO AO HOSPITAL 28 DE AGOSTO</t>
        </is>
      </c>
      <c r="J1735" t="inlineStr"/>
      <c r="K1735" t="n">
        <v>0</v>
      </c>
      <c r="L1735" t="n">
        <v>1</v>
      </c>
      <c r="M1735" t="n">
        <v>0</v>
      </c>
      <c r="N1735" t="n">
        <v>0</v>
      </c>
      <c r="O1735" t="n">
        <v>0</v>
      </c>
      <c r="P1735">
        <f>HYPERLINK("https://www.acritica.com/manaus/apos-briga-vendedor-de-dindin-ataca-policial-com-faca-e-e-morto-a-tiros-1.76799", "URL")</f>
        <v/>
      </c>
      <c r="Q1735">
        <f>HYPERLINK("https://raw.githubusercontent.com/marcosmapl/dataset_imigrantes/main/materias_filtered/a_critica/haitianos/2019/00_jan/html/1.76799_227.html", "HTML")</f>
        <v/>
      </c>
      <c r="R1735">
        <f>HYPERLINK("https://raw.githubusercontent.com/marcosmapl/dataset_imigrantes/main/materias_filtered/a_critica/haitianos/2019/00_jan/txt/1.76799_227.txt", "TXT")</f>
        <v/>
      </c>
    </row>
    <row r="1736">
      <c r="A1736" s="1" t="n">
        <v>1734</v>
      </c>
      <c r="B1736" t="n">
        <v>2019</v>
      </c>
      <c r="C1736" s="2" t="n">
        <v>43493.46348379629</v>
      </c>
      <c r="D1736" t="inlineStr">
        <is>
          <t>A CRITICA</t>
        </is>
      </c>
      <c r="E1736" t="inlineStr">
        <is>
          <t>VENEZUELANOS</t>
        </is>
      </c>
      <c r="F1736" t="inlineStr"/>
      <c r="G1736" t="inlineStr">
        <is>
          <t>AGÊNCIA BRASIL</t>
        </is>
      </c>
      <c r="H1736" t="inlineStr">
        <is>
          <t>GUAIDÓ FALA À NAÇÃO E CONCLAMA PARA MANIFESTAÇÕES AO LONGO DA SEMANA</t>
        </is>
      </c>
      <c r="I1736" t="inlineStr">
        <is>
          <t>O PRESIDENTE INTERINO DA VENEZUELA AGRADECEU O APOIO INTERNACIONAL E A AJUDA HUMANITÁRIA PROMETIDOS AO POVO VENEZUELANO</t>
        </is>
      </c>
      <c r="J1736" t="inlineStr"/>
      <c r="K1736" t="n">
        <v>0</v>
      </c>
      <c r="L1736" t="n">
        <v>1</v>
      </c>
      <c r="M1736" t="n">
        <v>0</v>
      </c>
      <c r="N1736" t="n">
        <v>0</v>
      </c>
      <c r="O1736" t="n">
        <v>0</v>
      </c>
      <c r="P1736">
        <f>HYPERLINK("https://www.acritica.com/guaido-fala-a-nac-o-e-conclama-para-manifestac-es-ao-longo-da-semana-1.76812", "URL")</f>
        <v/>
      </c>
      <c r="Q1736">
        <f>HYPERLINK("https://raw.githubusercontent.com/marcosmapl/dataset_imigrantes/main/materias_filtered/a_critica/venezuelanos/2019/00_jan/html/1.76812_1023.html", "HTML")</f>
        <v/>
      </c>
      <c r="R1736">
        <f>HYPERLINK("https://raw.githubusercontent.com/marcosmapl/dataset_imigrantes/main/materias_filtered/a_critica/venezuelanos/2019/00_jan/txt/1.76812_1023.txt", "TXT")</f>
        <v/>
      </c>
    </row>
    <row r="1737">
      <c r="A1737" s="1" t="n">
        <v>1735</v>
      </c>
      <c r="B1737" t="n">
        <v>2019</v>
      </c>
      <c r="C1737" s="2" t="n">
        <v>43492.82754582176</v>
      </c>
      <c r="D1737" t="inlineStr">
        <is>
          <t>G1</t>
        </is>
      </c>
      <c r="E1737" t="inlineStr">
        <is>
          <t>VENEZUELANOS</t>
        </is>
      </c>
      <c r="F1737" t="inlineStr">
        <is>
          <t>RORAIMA</t>
        </is>
      </c>
      <c r="G1737" t="inlineStr">
        <is>
          <t>G1 RR — BOA VISTA</t>
        </is>
      </c>
      <c r="H1737" t="inlineStr">
        <is>
          <t>VOCÊ VIU? PRESO OSTENTA ARMA NA WEB, VENEZUELANO AGREDIDO NA RUA, 'LUA DE SANGUE' EM RORAIMA E MAIS</t>
        </is>
      </c>
      <c r="I1737" t="inlineStr">
        <is>
          <t>CONFIRA A SELEÇÃO DE NOTÍCIAS MAIS ACESSADAS NO G1 RORAIMA ENTRE 20 E 26 DE JANEIRO.</t>
        </is>
      </c>
      <c r="J1737" t="inlineStr"/>
      <c r="K1737" t="n">
        <v>0</v>
      </c>
      <c r="L1737" t="n">
        <v>4</v>
      </c>
      <c r="M1737" t="n">
        <v>2</v>
      </c>
      <c r="N1737" t="n">
        <v>0</v>
      </c>
      <c r="O1737" t="n">
        <v>17</v>
      </c>
      <c r="P1737">
        <f>HYPERLINK("https://g1.globo.com/rr/roraima/noticia/2019/01/27/voce-viu-preso-ostenta-arma-na-web-venezuelano-agredido-na-rua-lua-de-sangue-em-roraima-e-mais.ghtml", "URL")</f>
        <v/>
      </c>
      <c r="Q1737">
        <f>HYPERLINK("https://raw.githubusercontent.com/marcosmapl/dataset_imigrantes/main/materias_filtered/g1/venezuelanos/2019/00_jan/html/g1_e7e434ac-2318-11ed-b24f-6dbe51e79fca_3287.html", "HTML")</f>
        <v/>
      </c>
      <c r="R1737">
        <f>HYPERLINK("https://raw.githubusercontent.com/marcosmapl/dataset_imigrantes/main/materias_filtered/g1/venezuelanos/2019/00_jan/txt/g1_e7e434ac-2318-11ed-b24f-6dbe51e79fca_3287.txt", "TXT")</f>
        <v/>
      </c>
    </row>
    <row r="1738">
      <c r="A1738" s="1" t="n">
        <v>1736</v>
      </c>
      <c r="B1738" t="n">
        <v>2019</v>
      </c>
      <c r="C1738" s="2" t="n">
        <v>43492.74716435185</v>
      </c>
      <c r="D1738" t="inlineStr">
        <is>
          <t>A CRITICA</t>
        </is>
      </c>
      <c r="E1738" t="inlineStr">
        <is>
          <t>VENEZUELANOS</t>
        </is>
      </c>
      <c r="F1738" t="inlineStr"/>
      <c r="G1738" t="inlineStr">
        <is>
          <t>POR ALI KUCUKGOCMEN</t>
        </is>
      </c>
      <c r="H1738" t="inlineStr">
        <is>
          <t>MADURO REJEITA NOVAS ELEIÇÕES, MAS DIZ QUE ESTÁ PRONTO PARA O DIÁLOGO</t>
        </is>
      </c>
      <c r="I1738" t="inlineStr">
        <is>
          <t>EM ENTREVISTA À CNN DA TURQUIA NESTE DOMINGO, MADURO DISSE ESTAR ABERTO AO DIÁLOGO E QUE UM ENCONTRO COM O PRESIDENTE DOS EUA, DONALD TRUMP, É IMPROVÁVEL, MAS NÃO IMPOSSÍVEL</t>
        </is>
      </c>
      <c r="J1738" t="inlineStr"/>
      <c r="K1738" t="n">
        <v>0</v>
      </c>
      <c r="L1738" t="n">
        <v>1</v>
      </c>
      <c r="M1738" t="n">
        <v>0</v>
      </c>
      <c r="N1738" t="n">
        <v>0</v>
      </c>
      <c r="O1738" t="n">
        <v>0</v>
      </c>
      <c r="P1738">
        <f>HYPERLINK("https://www.acritica.com/maduro-rejeita-novas-eleic-es-mas-diz-que-esta-pronto-para-o-dialogo-1.76857", "URL")</f>
        <v/>
      </c>
      <c r="Q1738">
        <f>HYPERLINK("https://raw.githubusercontent.com/marcosmapl/dataset_imigrantes/main/materias_filtered/a_critica/venezuelanos/2019/00_jan/html/1.76857_622.html", "HTML")</f>
        <v/>
      </c>
      <c r="R1738">
        <f>HYPERLINK("https://raw.githubusercontent.com/marcosmapl/dataset_imigrantes/main/materias_filtered/a_critica/venezuelanos/2019/00_jan/txt/1.76857_622.txt", "TXT")</f>
        <v/>
      </c>
    </row>
    <row r="1739">
      <c r="A1739" s="1" t="n">
        <v>1737</v>
      </c>
      <c r="B1739" t="n">
        <v>2019</v>
      </c>
      <c r="C1739" s="2" t="n">
        <v>43491.90366751157</v>
      </c>
      <c r="D1739" t="inlineStr">
        <is>
          <t>G1</t>
        </is>
      </c>
      <c r="E1739" t="inlineStr">
        <is>
          <t>VENEZUELANOS</t>
        </is>
      </c>
      <c r="F1739" t="inlineStr">
        <is>
          <t>MUNDO</t>
        </is>
      </c>
      <c r="G1739" t="inlineStr">
        <is>
          <t>G1</t>
        </is>
      </c>
      <c r="H1739" t="inlineStr">
        <is>
          <t>REPRESENTANTE MILITAR DA VENEZUELA NOS EUA ROMPE COM NICOLÁS MADURO</t>
        </is>
      </c>
      <c r="I1739" t="inlineStr">
        <is>
          <t>ADIDO MILITAR DO GOVERNO VENEZUELANO NOS EUA DIZ, DE DENTRO DA EMBAIXADA, QUE APOIA JUAN GUAIDÓ COMO CHEFE DE GOVERNO INTERINO.</t>
        </is>
      </c>
      <c r="J1739" t="inlineStr"/>
      <c r="K1739" t="n">
        <v>0</v>
      </c>
      <c r="L1739" t="n">
        <v>1</v>
      </c>
      <c r="M1739" t="n">
        <v>0</v>
      </c>
      <c r="N1739" t="n">
        <v>0</v>
      </c>
      <c r="O1739" t="n">
        <v>16</v>
      </c>
      <c r="P1739">
        <f>HYPERLINK("https://g1.globo.com/mundo/noticia/2019/01/26/representante-militar-da-venezuela-nos-eua-rompe-com-nicolas-maduro.ghtml", "URL")</f>
        <v/>
      </c>
      <c r="Q1739">
        <f>HYPERLINK("https://raw.githubusercontent.com/marcosmapl/dataset_imigrantes/main/materias_filtered/g1/venezuelanos/2019/00_jan/html/g1_fd00e010-2322-11ed-b24f-6dbe51e79fca_3782.html", "HTML")</f>
        <v/>
      </c>
      <c r="R1739">
        <f>HYPERLINK("https://raw.githubusercontent.com/marcosmapl/dataset_imigrantes/main/materias_filtered/g1/venezuelanos/2019/00_jan/txt/g1_fd00e010-2322-11ed-b24f-6dbe51e79fca_3782.txt", "TXT")</f>
        <v/>
      </c>
    </row>
    <row r="1740">
      <c r="A1740" s="1" t="n">
        <v>1738</v>
      </c>
      <c r="B1740" t="n">
        <v>2019</v>
      </c>
      <c r="C1740" s="2" t="n">
        <v>43491.67696759259</v>
      </c>
      <c r="D1740" t="inlineStr">
        <is>
          <t>A CRITICA</t>
        </is>
      </c>
      <c r="E1740" t="inlineStr">
        <is>
          <t>VENEZUELANOS</t>
        </is>
      </c>
      <c r="F1740" t="inlineStr"/>
      <c r="G1740" t="inlineStr">
        <is>
          <t>AFP</t>
        </is>
      </c>
      <c r="H1740" t="inlineStr">
        <is>
          <t>VENEZUELA RECHAÇA ULTIMATO DE ELEIÇÕES DADO PELA EUROPA NA ONU</t>
        </is>
      </c>
      <c r="I1740" t="inlineStr">
        <is>
          <t>'DE ONDE VOCÊS TIRAM QUE TÊM ALGUM PODER PARA DAR PRAZOS OU ULTIMATOS A UM POVO SOBERANO?', AFIRMOU O CHANCELER   JORGE ARREAZA</t>
        </is>
      </c>
      <c r="J1740" t="inlineStr"/>
      <c r="K1740" t="n">
        <v>0</v>
      </c>
      <c r="L1740" t="n">
        <v>1</v>
      </c>
      <c r="M1740" t="n">
        <v>0</v>
      </c>
      <c r="N1740" t="n">
        <v>0</v>
      </c>
      <c r="O1740" t="n">
        <v>0</v>
      </c>
      <c r="P1740">
        <f>HYPERLINK("https://www.acritica.com/venezuela-rechaca-ultimato-de-eleic-es-dado-pela-europa-na-onu-1.76818", "URL")</f>
        <v/>
      </c>
      <c r="Q1740">
        <f>HYPERLINK("https://raw.githubusercontent.com/marcosmapl/dataset_imigrantes/main/materias_filtered/a_critica/venezuelanos/2019/00_jan/html/1.76818_841.html", "HTML")</f>
        <v/>
      </c>
      <c r="R1740">
        <f>HYPERLINK("https://raw.githubusercontent.com/marcosmapl/dataset_imigrantes/main/materias_filtered/a_critica/venezuelanos/2019/00_jan/txt/1.76818_841.txt", "TXT")</f>
        <v/>
      </c>
    </row>
    <row r="1741">
      <c r="A1741" s="1" t="n">
        <v>1739</v>
      </c>
      <c r="B1741" t="n">
        <v>2019</v>
      </c>
      <c r="C1741" s="2" t="n">
        <v>43491.58246527778</v>
      </c>
      <c r="D1741" t="inlineStr">
        <is>
          <t>A CRITICA</t>
        </is>
      </c>
      <c r="E1741" t="inlineStr">
        <is>
          <t>VENEZUELANOS</t>
        </is>
      </c>
      <c r="F1741" t="inlineStr"/>
      <c r="G1741" t="inlineStr">
        <is>
          <t>AFP</t>
        </is>
      </c>
      <c r="H1741" t="inlineStr">
        <is>
          <t>POTÊNCIAS EUROPEIAS EXIGEM QUE MADURO CONVOQUE ELEIÇÕES EM OITO DIAS</t>
        </is>
      </c>
      <c r="I1741" t="inlineStr">
        <is>
          <t>ESPANHA, FRANÇA, ALEMANHA E REINO UNIDO DIVULGARAM UMA ADVERTÊNCIA PRATICAMENTE IDÊNTICA. CASO MADURO NÃO 'OBEDEÇA', PAÍSES RECONHECERÃO OPOSITOR COMO PRESIDENTE</t>
        </is>
      </c>
      <c r="J1741" t="inlineStr"/>
      <c r="K1741" t="n">
        <v>0</v>
      </c>
      <c r="L1741" t="n">
        <v>1</v>
      </c>
      <c r="M1741" t="n">
        <v>0</v>
      </c>
      <c r="N1741" t="n">
        <v>0</v>
      </c>
      <c r="O1741" t="n">
        <v>0</v>
      </c>
      <c r="P1741">
        <f>HYPERLINK("https://www.acritica.com/potencias-europeias-exigem-que-maduro-convoque-eleic-es-em-oito-dias-1.76874", "URL")</f>
        <v/>
      </c>
      <c r="Q1741">
        <f>HYPERLINK("https://raw.githubusercontent.com/marcosmapl/dataset_imigrantes/main/materias_filtered/a_critica/venezuelanos/2019/00_jan/html/1.76874_897.html", "HTML")</f>
        <v/>
      </c>
      <c r="R1741">
        <f>HYPERLINK("https://raw.githubusercontent.com/marcosmapl/dataset_imigrantes/main/materias_filtered/a_critica/venezuelanos/2019/00_jan/txt/1.76874_897.txt", "TXT")</f>
        <v/>
      </c>
    </row>
    <row r="1742">
      <c r="A1742" s="1" t="n">
        <v>1740</v>
      </c>
      <c r="B1742" t="n">
        <v>2019</v>
      </c>
      <c r="C1742" s="2" t="n">
        <v>43491.57422453703</v>
      </c>
      <c r="D1742" t="inlineStr">
        <is>
          <t>A CRITICA</t>
        </is>
      </c>
      <c r="E1742" t="inlineStr">
        <is>
          <t>VENEZUELANOS</t>
        </is>
      </c>
      <c r="F1742" t="inlineStr"/>
      <c r="G1742" t="inlineStr">
        <is>
          <t>AFP</t>
        </is>
      </c>
      <c r="H1742" t="inlineStr">
        <is>
          <t>RÚSSIA E ESTADOS UNIDOS TROCAM FARPAS SOBRE A VENEZUELA NA ONU</t>
        </is>
      </c>
      <c r="I1742" t="inlineStr">
        <is>
          <t>DE UM LADO, O PAÍS EUROPEU ACUSA OS EUA DE 'ORQUESTRAR GOLPE DE ESTADO' NA VENEZUELA, ENQUANTO SECRETÁRIO DE TRUMP SUSTENTA QUE MADURO LIDERA 'ESTADO MAFIOSO E ILEGÍTIMO'</t>
        </is>
      </c>
      <c r="J1742" t="inlineStr"/>
      <c r="K1742" t="n">
        <v>0</v>
      </c>
      <c r="L1742" t="n">
        <v>1</v>
      </c>
      <c r="M1742" t="n">
        <v>0</v>
      </c>
      <c r="N1742" t="n">
        <v>0</v>
      </c>
      <c r="O1742" t="n">
        <v>0</v>
      </c>
      <c r="P1742">
        <f>HYPERLINK("https://www.acritica.com/russia-e-estados-unidos-trocam-farpas-sobre-a-venezuela-na-onu-1.76880", "URL")</f>
        <v/>
      </c>
      <c r="Q1742">
        <f>HYPERLINK("https://raw.githubusercontent.com/marcosmapl/dataset_imigrantes/main/materias_filtered/a_critica/venezuelanos/2019/00_jan/html/1.76880_193.html", "HTML")</f>
        <v/>
      </c>
      <c r="R1742">
        <f>HYPERLINK("https://raw.githubusercontent.com/marcosmapl/dataset_imigrantes/main/materias_filtered/a_critica/venezuelanos/2019/00_jan/txt/1.76880_193.txt", "TXT")</f>
        <v/>
      </c>
    </row>
    <row r="1743">
      <c r="A1743" s="1" t="n">
        <v>1741</v>
      </c>
      <c r="B1743" t="n">
        <v>2019</v>
      </c>
      <c r="C1743" s="2" t="n">
        <v>43490.55390046296</v>
      </c>
      <c r="D1743" t="inlineStr">
        <is>
          <t>A CRITICA</t>
        </is>
      </c>
      <c r="E1743" t="inlineStr">
        <is>
          <t>VENEZUELANOS</t>
        </is>
      </c>
      <c r="F1743" t="inlineStr"/>
      <c r="G1743" t="inlineStr">
        <is>
          <t>AGÊNCIA BRASIL*</t>
        </is>
      </c>
      <c r="H1743" t="inlineStr">
        <is>
          <t>JUAN GUAIDÓ SUGERE ANISTIA A MADURO PARA RESTAURAR ‘ORDEM DEMOCRÁTICA’ NA VENEZUELA</t>
        </is>
      </c>
      <c r="I1743" t="inlineStr">
        <is>
          <t>NA PRIMEIRA ENTREVISTA APÓS SE DECLARAR PRESIDENTE INTERINO, GUAIDÓ APONTOU PARA A POSSIBILIDADE DE PERDÃO A MADURO CASO ELE ACEITE ABRIR MÃO DO PODER NO PAÍS</t>
        </is>
      </c>
      <c r="J1743" t="inlineStr"/>
      <c r="K1743" t="n">
        <v>0</v>
      </c>
      <c r="L1743" t="n">
        <v>1</v>
      </c>
      <c r="M1743" t="n">
        <v>0</v>
      </c>
      <c r="N1743" t="n">
        <v>0</v>
      </c>
      <c r="O1743" t="n">
        <v>0</v>
      </c>
      <c r="P1743">
        <f>HYPERLINK("https://www.acritica.com/juan-guaido-sugere-anistia-a-maduro-para-restaurar-ordem-democratica-na-venezuela-1.76466", "URL")</f>
        <v/>
      </c>
      <c r="Q1743">
        <f>HYPERLINK("https://raw.githubusercontent.com/marcosmapl/dataset_imigrantes/main/materias_filtered/a_critica/venezuelanos/2019/00_jan/html/1.76466_692.html", "HTML")</f>
        <v/>
      </c>
      <c r="R1743">
        <f>HYPERLINK("https://raw.githubusercontent.com/marcosmapl/dataset_imigrantes/main/materias_filtered/a_critica/venezuelanos/2019/00_jan/txt/1.76466_692.txt", "TXT")</f>
        <v/>
      </c>
    </row>
    <row r="1744">
      <c r="A1744" s="1" t="n">
        <v>1742</v>
      </c>
      <c r="B1744" t="n">
        <v>2019</v>
      </c>
      <c r="C1744" s="2" t="n">
        <v>43490.45532407407</v>
      </c>
      <c r="D1744" t="inlineStr">
        <is>
          <t>A CRITICA</t>
        </is>
      </c>
      <c r="E1744" t="inlineStr">
        <is>
          <t>VENEZUELANOS</t>
        </is>
      </c>
      <c r="F1744" t="inlineStr"/>
      <c r="G1744" t="inlineStr">
        <is>
          <t>PAULA LABOISSIÈRE (AGÊNCIA BRASIL)</t>
        </is>
      </c>
      <c r="H1744" t="inlineStr">
        <is>
          <t>ESTADOS UNIDOS PEDEM REUNIÃO DO CONSELHO DE SEGURANÇA DA ONU SOBRE VENEZUELA</t>
        </is>
      </c>
      <c r="I1744" t="inlineStr">
        <is>
          <t>O PEDIDO É PARA QUE O ENCONTRO OCORRA AMANHÃ (26). O SECRETÁRIO DE ESTADO NORTE-AMERICANO DISSE QUE O PAÍS É “AMIGO” DO POVO VENEZUELANO</t>
        </is>
      </c>
      <c r="J1744" t="inlineStr"/>
      <c r="K1744" t="n">
        <v>0</v>
      </c>
      <c r="L1744" t="n">
        <v>1</v>
      </c>
      <c r="M1744" t="n">
        <v>0</v>
      </c>
      <c r="N1744" t="n">
        <v>0</v>
      </c>
      <c r="O1744" t="n">
        <v>0</v>
      </c>
      <c r="P1744">
        <f>HYPERLINK("https://www.acritica.com/estados-unidos-pedem-reuni-o-do-conselho-de-seguranca-da-onu-sobre-venezuela-1.76938", "URL")</f>
        <v/>
      </c>
      <c r="Q1744">
        <f>HYPERLINK("https://raw.githubusercontent.com/marcosmapl/dataset_imigrantes/main/materias_filtered/a_critica/venezuelanos/2019/00_jan/html/1.76938_1340.html", "HTML")</f>
        <v/>
      </c>
      <c r="R1744">
        <f>HYPERLINK("https://raw.githubusercontent.com/marcosmapl/dataset_imigrantes/main/materias_filtered/a_critica/venezuelanos/2019/00_jan/txt/1.76938_1340.txt", "TXT")</f>
        <v/>
      </c>
    </row>
    <row r="1745">
      <c r="A1745" s="1" t="n">
        <v>1743</v>
      </c>
      <c r="B1745" t="n">
        <v>2019</v>
      </c>
      <c r="C1745" s="2" t="n">
        <v>43490.3956712963</v>
      </c>
      <c r="D1745" t="inlineStr">
        <is>
          <t>A CRITICA</t>
        </is>
      </c>
      <c r="E1745" t="inlineStr">
        <is>
          <t>VENEZUELANOS</t>
        </is>
      </c>
      <c r="F1745" t="inlineStr"/>
      <c r="G1745" t="inlineStr"/>
      <c r="H1745" t="inlineStr">
        <is>
          <t>AMAZONAS VAI PEITAR GESTÃO PAULO GUEDES</t>
        </is>
      </c>
      <c r="I1745" t="inlineStr"/>
      <c r="J1745" t="inlineStr"/>
      <c r="K1745" t="n">
        <v>0</v>
      </c>
      <c r="L1745" t="n">
        <v>1</v>
      </c>
      <c r="M1745" t="n">
        <v>0</v>
      </c>
      <c r="N1745" t="n">
        <v>0</v>
      </c>
      <c r="O1745" t="n">
        <v>0</v>
      </c>
      <c r="P1745">
        <f>HYPERLINK("https://www.acritica.com/amazonas-vai-peitar-gest-o-paulo-guedes-1.223989", "URL")</f>
        <v/>
      </c>
      <c r="Q1745">
        <f>HYPERLINK("https://raw.githubusercontent.com/marcosmapl/dataset_imigrantes/main/materias_filtered/a_critica/venezuelanos/2019/00_jan/html/1.223989_1349.html", "HTML")</f>
        <v/>
      </c>
      <c r="R1745">
        <f>HYPERLINK("https://raw.githubusercontent.com/marcosmapl/dataset_imigrantes/main/materias_filtered/a_critica/venezuelanos/2019/00_jan/txt/1.223989_1349.txt", "TXT")</f>
        <v/>
      </c>
    </row>
    <row r="1746">
      <c r="A1746" s="1" t="n">
        <v>1744</v>
      </c>
      <c r="B1746" t="n">
        <v>2019</v>
      </c>
      <c r="C1746" s="2" t="n">
        <v>43489.95626157407</v>
      </c>
      <c r="D1746" t="inlineStr">
        <is>
          <t>A CRITICA</t>
        </is>
      </c>
      <c r="E1746" t="inlineStr">
        <is>
          <t>VENEZUELANOS</t>
        </is>
      </c>
      <c r="F1746" t="inlineStr"/>
      <c r="G1746" t="inlineStr">
        <is>
          <t>AGÊNCIA BRASIL*</t>
        </is>
      </c>
      <c r="H1746" t="inlineStr">
        <is>
          <t>EM SESSÃO EXTRAORDINÁRIA, OEA DEFENDE ELEIÇÕES LIVRES NA VENEZUELA</t>
        </is>
      </c>
      <c r="I1746" t="inlineStr">
        <is>
          <t>POR SUGESTÃO DOS ESTADOS UNIDOS, FOI APROVADA UMA DECLARAÇÃO NA QUAL SÃO EXIGIDAS GARANTIAS DE SEGURANÇA PARA JUAN GUAIDÓ ASSUMIR INTERINAMENTE A PRESIDÊNCIA</t>
        </is>
      </c>
      <c r="J1746" t="inlineStr"/>
      <c r="K1746" t="n">
        <v>0</v>
      </c>
      <c r="L1746" t="n">
        <v>1</v>
      </c>
      <c r="M1746" t="n">
        <v>0</v>
      </c>
      <c r="N1746" t="n">
        <v>0</v>
      </c>
      <c r="O1746" t="n">
        <v>0</v>
      </c>
      <c r="P1746">
        <f>HYPERLINK("https://www.acritica.com/em-sess-o-extraordinaria-oea-defende-eleic-es-livres-na-venezuela-1.76944", "URL")</f>
        <v/>
      </c>
      <c r="Q1746">
        <f>HYPERLINK("https://raw.githubusercontent.com/marcosmapl/dataset_imigrantes/main/materias_filtered/a_critica/venezuelanos/2019/00_jan/html/1.76944_778.html", "HTML")</f>
        <v/>
      </c>
      <c r="R1746">
        <f>HYPERLINK("https://raw.githubusercontent.com/marcosmapl/dataset_imigrantes/main/materias_filtered/a_critica/venezuelanos/2019/00_jan/txt/1.76944_778.txt", "TXT")</f>
        <v/>
      </c>
    </row>
    <row r="1747">
      <c r="A1747" s="1" t="n">
        <v>1745</v>
      </c>
      <c r="B1747" t="n">
        <v>2019</v>
      </c>
      <c r="C1747" s="2" t="n">
        <v>43489.94513888889</v>
      </c>
      <c r="D1747" t="inlineStr">
        <is>
          <t>A CRITICA</t>
        </is>
      </c>
      <c r="E1747" t="inlineStr">
        <is>
          <t>VENEZUELANOS</t>
        </is>
      </c>
      <c r="F1747" t="inlineStr">
        <is>
          <t>ESPORTES</t>
        </is>
      </c>
      <c r="G1747" t="inlineStr">
        <is>
          <t>LÉO RODRIGUES (AGÊNCIA BRASIL)</t>
        </is>
      </c>
      <c r="H1747" t="inlineStr">
        <is>
          <t>COPA AMÉRICA 2019: SELEÇÃO BRASILEIRA CONHECE ADVERSÁRIOS DA 1ª FASE</t>
        </is>
      </c>
      <c r="I1747" t="inlineStr">
        <is>
          <t>CABEÇA DE CHAVE DO GRUPO A, BRASIL ESTREIA NA COMPETIÇÃO NO DIA 14 DE JUNHO CONTRA A BOLÍVIA, EM SÃO PAULO</t>
        </is>
      </c>
      <c r="J1747" t="inlineStr"/>
      <c r="K1747" t="n">
        <v>0</v>
      </c>
      <c r="L1747" t="n">
        <v>1</v>
      </c>
      <c r="M1747" t="n">
        <v>0</v>
      </c>
      <c r="N1747" t="n">
        <v>0</v>
      </c>
      <c r="O1747" t="n">
        <v>1</v>
      </c>
      <c r="P1747">
        <f>HYPERLINK("https://www.acritica.com/esportes/copa-america-2019-selec-o-brasileira-conhece-adversarios-da-1-fase-1.76947", "URL")</f>
        <v/>
      </c>
      <c r="Q1747">
        <f>HYPERLINK("https://raw.githubusercontent.com/marcosmapl/dataset_imigrantes/main/materias_filtered/a_critica/venezuelanos/2019/00_jan/html/1.76947_433.html", "HTML")</f>
        <v/>
      </c>
      <c r="R1747">
        <f>HYPERLINK("https://raw.githubusercontent.com/marcosmapl/dataset_imigrantes/main/materias_filtered/a_critica/venezuelanos/2019/00_jan/txt/1.76947_433.txt", "TXT")</f>
        <v/>
      </c>
    </row>
    <row r="1748">
      <c r="A1748" s="1" t="n">
        <v>1746</v>
      </c>
      <c r="B1748" t="n">
        <v>2019</v>
      </c>
      <c r="C1748" s="2" t="n">
        <v>43489.89791666667</v>
      </c>
      <c r="D1748" t="inlineStr">
        <is>
          <t>A CRITICA</t>
        </is>
      </c>
      <c r="E1748" t="inlineStr">
        <is>
          <t>VENEZUELANOS</t>
        </is>
      </c>
      <c r="F1748" t="inlineStr">
        <is>
          <t>ESPORTES</t>
        </is>
      </c>
      <c r="G1748" t="inlineStr">
        <is>
          <t>GABRIEL FERREIRA</t>
        </is>
      </c>
      <c r="H1748" t="inlineStr">
        <is>
          <t>ROLO COMPRESSOR EMPATA EM JOGO SEM GOLS NO TERCEIRO AMISTOSO NA VENEZUELA</t>
        </is>
      </c>
      <c r="I1748" t="inlineStr">
        <is>
          <t>NA FASE DE PRÉ-TEMPORADA O TIME AMAZONENSE DISPUTOU ATÉ O MOMENTO TRÊS PARTIDAS, COM UMA VITÓRIA, UMA DERROTA E UM EMPATE</t>
        </is>
      </c>
      <c r="J1748" t="inlineStr"/>
      <c r="K1748" t="n">
        <v>0</v>
      </c>
      <c r="L1748" t="n">
        <v>1</v>
      </c>
      <c r="M1748" t="n">
        <v>0</v>
      </c>
      <c r="N1748" t="n">
        <v>0</v>
      </c>
      <c r="O1748" t="n">
        <v>0</v>
      </c>
      <c r="P1748">
        <f>HYPERLINK("https://www.acritica.com/esportes/rolo-compressor-empata-em-jogo-sem-gols-no-terceiro-amistoso-na-venezuela-1.76981", "URL")</f>
        <v/>
      </c>
      <c r="Q1748">
        <f>HYPERLINK("https://raw.githubusercontent.com/marcosmapl/dataset_imigrantes/main/materias_filtered/a_critica/venezuelanos/2019/00_jan/html/1.76981_915.html", "HTML")</f>
        <v/>
      </c>
      <c r="R1748">
        <f>HYPERLINK("https://raw.githubusercontent.com/marcosmapl/dataset_imigrantes/main/materias_filtered/a_critica/venezuelanos/2019/00_jan/txt/1.76981_915.txt", "TXT")</f>
        <v/>
      </c>
    </row>
    <row r="1749">
      <c r="A1749" s="1" t="n">
        <v>1747</v>
      </c>
      <c r="B1749" t="n">
        <v>2019</v>
      </c>
      <c r="C1749" s="2" t="n">
        <v>43489.60763888889</v>
      </c>
      <c r="D1749" t="inlineStr">
        <is>
          <t>A CRITICA</t>
        </is>
      </c>
      <c r="E1749" t="inlineStr">
        <is>
          <t>VENEZUELANOS</t>
        </is>
      </c>
      <c r="F1749" t="inlineStr"/>
      <c r="G1749" t="inlineStr">
        <is>
          <t>AFP</t>
        </is>
      </c>
      <c r="H1749" t="inlineStr">
        <is>
          <t>MILITARES VENEZUELANOS CHAMAM AUTOPROCLAMAÇÃO DE GUAIDÓ DE 'GOLPE'</t>
        </is>
      </c>
      <c r="I1749" t="inlineStr">
        <is>
          <t>PRESIDENTE DO PARLAMENTO VENEZUELANO, JUAN GUAIDÓ, SE AUTOPROCLAMOU PRESIDENTE E JÁ FOI RECONHECIDO POR DIVERSOS PAÍSES, ENTRE ELES ESTADOS UNIDOS E BRASIL</t>
        </is>
      </c>
      <c r="J1749" t="inlineStr"/>
      <c r="K1749" t="n">
        <v>0</v>
      </c>
      <c r="L1749" t="n">
        <v>1</v>
      </c>
      <c r="M1749" t="n">
        <v>0</v>
      </c>
      <c r="N1749" t="n">
        <v>0</v>
      </c>
      <c r="O1749" t="n">
        <v>1</v>
      </c>
      <c r="P1749">
        <f>HYPERLINK("https://www.acritica.com/militares-venezuelanos-chamam-autoproclamac-o-de-guaido-de-golpe-1.77022", "URL")</f>
        <v/>
      </c>
      <c r="Q1749">
        <f>HYPERLINK("https://raw.githubusercontent.com/marcosmapl/dataset_imigrantes/main/materias_filtered/a_critica/venezuelanos/2019/00_jan/html/1.77022_182.html", "HTML")</f>
        <v/>
      </c>
      <c r="R1749">
        <f>HYPERLINK("https://raw.githubusercontent.com/marcosmapl/dataset_imigrantes/main/materias_filtered/a_critica/venezuelanos/2019/00_jan/txt/1.77022_182.txt", "TXT")</f>
        <v/>
      </c>
    </row>
    <row r="1750">
      <c r="A1750" s="1" t="n">
        <v>1748</v>
      </c>
      <c r="B1750" t="n">
        <v>2019</v>
      </c>
      <c r="C1750" s="2" t="n">
        <v>43489.56824074074</v>
      </c>
      <c r="D1750" t="inlineStr">
        <is>
          <t>A CRITICA</t>
        </is>
      </c>
      <c r="E1750" t="inlineStr">
        <is>
          <t>VENEZUELANOS</t>
        </is>
      </c>
      <c r="F1750" t="inlineStr"/>
      <c r="G1750" t="inlineStr">
        <is>
          <t>AFP</t>
        </is>
      </c>
      <c r="H1750" t="inlineStr">
        <is>
          <t>AUMENTA PARA 16 O NÚMERO DE MORTOS NOS DISTÚRBIOS NA VENEZUELA</t>
        </is>
      </c>
      <c r="I1750" t="inlineStr">
        <is>
          <t>AS MORTES, PRINCIPALMENTE POR ARMAS DE FOGO, OCORRERAM EM CARACAS E NOS ESTADOS DE TÁCHIRA, BARINAS, AMAZONAS, BOLÍVAR E PORTUGUESA</t>
        </is>
      </c>
      <c r="J1750" t="inlineStr"/>
      <c r="K1750" t="n">
        <v>0</v>
      </c>
      <c r="L1750" t="n">
        <v>1</v>
      </c>
      <c r="M1750" t="n">
        <v>0</v>
      </c>
      <c r="N1750" t="n">
        <v>0</v>
      </c>
      <c r="O1750" t="n">
        <v>0</v>
      </c>
      <c r="P1750">
        <f>HYPERLINK("https://www.acritica.com/aumenta-para-16-o-numero-de-mortos-nos-disturbios-na-venezuela-1.77031", "URL")</f>
        <v/>
      </c>
      <c r="Q1750">
        <f>HYPERLINK("https://raw.githubusercontent.com/marcosmapl/dataset_imigrantes/main/materias_filtered/a_critica/venezuelanos/2019/00_jan/html/1.77031_736.html", "HTML")</f>
        <v/>
      </c>
      <c r="R1750">
        <f>HYPERLINK("https://raw.githubusercontent.com/marcosmapl/dataset_imigrantes/main/materias_filtered/a_critica/venezuelanos/2019/00_jan/txt/1.77031_736.txt", "TXT")</f>
        <v/>
      </c>
    </row>
    <row r="1751">
      <c r="A1751" s="1" t="n">
        <v>1749</v>
      </c>
      <c r="B1751" t="n">
        <v>2019</v>
      </c>
      <c r="C1751" s="2" t="n">
        <v>43489.46891203704</v>
      </c>
      <c r="D1751" t="inlineStr">
        <is>
          <t>A CRITICA</t>
        </is>
      </c>
      <c r="E1751" t="inlineStr">
        <is>
          <t>VENEZUELANOS</t>
        </is>
      </c>
      <c r="F1751" t="inlineStr"/>
      <c r="G1751" t="inlineStr">
        <is>
          <t>REUTERS</t>
        </is>
      </c>
      <c r="H1751" t="inlineStr">
        <is>
          <t>SECRETÁRIO-GERAL DA ONU PEDE DIÁLOGO E INVESTIGAÇÃO DE MORTES NA VENEZUELA</t>
        </is>
      </c>
      <c r="I1751" t="inlineStr">
        <is>
          <t>DE ACORDO COM AUTORIDADES VENEZUELANAS, OITO PESSOAS MORRERAM EM CONFRONTOS COM A POLÍCIA NESTA SEMANA NO PAÍS DEPOIS DO LÍDER JUAN GUAIDÓ SE DECLARAR PRESIDENTE</t>
        </is>
      </c>
      <c r="J1751" t="inlineStr"/>
      <c r="K1751" t="n">
        <v>0</v>
      </c>
      <c r="L1751" t="n">
        <v>1</v>
      </c>
      <c r="M1751" t="n">
        <v>0</v>
      </c>
      <c r="N1751" t="n">
        <v>0</v>
      </c>
      <c r="O1751" t="n">
        <v>0</v>
      </c>
      <c r="P1751">
        <f>HYPERLINK("https://www.acritica.com/secretario-geral-da-onu-pede-dialogo-e-investigac-o-de-mortes-na-venezuela-1.76956", "URL")</f>
        <v/>
      </c>
      <c r="Q1751">
        <f>HYPERLINK("https://raw.githubusercontent.com/marcosmapl/dataset_imigrantes/main/materias_filtered/a_critica/venezuelanos/2019/00_jan/html/1.76956_1345.html", "HTML")</f>
        <v/>
      </c>
      <c r="R1751">
        <f>HYPERLINK("https://raw.githubusercontent.com/marcosmapl/dataset_imigrantes/main/materias_filtered/a_critica/venezuelanos/2019/00_jan/txt/1.76956_1345.txt", "TXT")</f>
        <v/>
      </c>
    </row>
    <row r="1752">
      <c r="A1752" s="1" t="n">
        <v>1750</v>
      </c>
      <c r="B1752" t="n">
        <v>2019</v>
      </c>
      <c r="C1752" s="2" t="n">
        <v>43489.29000956019</v>
      </c>
      <c r="D1752" t="inlineStr">
        <is>
          <t>G1</t>
        </is>
      </c>
      <c r="E1752" t="inlineStr">
        <is>
          <t>VENEZUELANOS</t>
        </is>
      </c>
      <c r="F1752" t="inlineStr">
        <is>
          <t>MUNDO</t>
        </is>
      </c>
      <c r="G1752" t="inlineStr">
        <is>
          <t>G1</t>
        </is>
      </c>
      <c r="H1752" t="inlineStr">
        <is>
          <t>GOVERNO VENEZUELANO ENFRENTA PROTESTOS POPULARES PELO 3º DIA</t>
        </is>
      </c>
      <c r="I1752" t="inlineStr">
        <is>
          <t>SEGUNDO ONG, 13 PESSOAS MORRERAM DESDE O INÍCIO DAS MANIFESTAÇÕES. LÍDER DA OPOSIÇÃO, JUAN GUAIDÓ, SE DECLAROU 'PRESIDENTE INTERINO', E GOVERNO DE MADURO ESTÁ DIANTE DE IMPASSE.</t>
        </is>
      </c>
      <c r="J1752" t="inlineStr"/>
      <c r="K1752" t="n">
        <v>0</v>
      </c>
      <c r="L1752" t="n">
        <v>2</v>
      </c>
      <c r="M1752" t="n">
        <v>1</v>
      </c>
      <c r="N1752" t="n">
        <v>0</v>
      </c>
      <c r="O1752" t="n">
        <v>9</v>
      </c>
      <c r="P1752">
        <f>HYPERLINK("https://g1.globo.com/mundo/noticia/2019/01/24/governo-venezuelano-enfrenta-protestos-populares-pelo-3o-dia.ghtml", "URL")</f>
        <v/>
      </c>
      <c r="Q1752">
        <f>HYPERLINK("https://raw.githubusercontent.com/marcosmapl/dataset_imigrantes/main/materias_filtered/g1/venezuelanos/2019/00_jan/html/g1_fb3a68f4-2323-11ed-b24f-6dbe51e79fca_3840.html", "HTML")</f>
        <v/>
      </c>
      <c r="R1752">
        <f>HYPERLINK("https://raw.githubusercontent.com/marcosmapl/dataset_imigrantes/main/materias_filtered/g1/venezuelanos/2019/00_jan/txt/g1_fb3a68f4-2323-11ed-b24f-6dbe51e79fca_3840.txt", "TXT")</f>
        <v/>
      </c>
    </row>
    <row r="1753">
      <c r="A1753" s="1" t="n">
        <v>1751</v>
      </c>
      <c r="B1753" t="n">
        <v>2019</v>
      </c>
      <c r="C1753" s="2" t="n">
        <v>43488.93819444445</v>
      </c>
      <c r="D1753" t="inlineStr">
        <is>
          <t>PORTAL AMAZONIA</t>
        </is>
      </c>
      <c r="E1753" t="inlineStr">
        <is>
          <t>VENEZUELANOS</t>
        </is>
      </c>
      <c r="F1753" t="inlineStr">
        <is>
          <t>CIDADES</t>
        </is>
      </c>
      <c r="G1753" t="inlineStr">
        <is>
          <t>REDAÇÃO</t>
        </is>
      </c>
      <c r="H1753" t="inlineStr">
        <is>
          <t>EM MANAUS, IMIGRANTES VENEZUELANOS APOIAM JUAN GUAIDÓ</t>
        </is>
      </c>
      <c r="I1753" t="inlineStr">
        <is>
          <t>NA TARDE DESTA QUARTA-FEIRA, (23), MANIFESTANTES VENEZUELANOS SE REUNIRAM NA PRAÇA DO CONGRESSO, EM MANAUS, EM FORMA DE APOIO AO PRESIDENTE DA ASSEMBLEIA NACIONAL DA VENEZUELA,  O PARLAMENTO DO PAÍS, O DEPUTADO JUAN GUAIDÓ. DURANTE UM DISCURSO,</t>
        </is>
      </c>
      <c r="J1753" t="inlineStr">
        <is>
          <t>AMAZONAS, IMIGRANTES VENEZUELANOS, JUAN GUAIDO, MANAUS, NICOLÃ¡S MADURO</t>
        </is>
      </c>
      <c r="K1753" t="n">
        <v>5</v>
      </c>
      <c r="L1753" t="n">
        <v>3</v>
      </c>
      <c r="M1753" t="n">
        <v>0</v>
      </c>
      <c r="N1753" t="n">
        <v>0</v>
      </c>
      <c r="O1753" t="n">
        <v>10</v>
      </c>
      <c r="P1753">
        <f>HYPERLINK("https://portalamazonia.com/noticias/cidades/em-manaus-imigrantes-venezuelanos-apoiam-juan-guaido", "URL")</f>
        <v/>
      </c>
      <c r="Q1753">
        <f>HYPERLINK("https://raw.githubusercontent.com/marcosmapl/dataset_imigrantes/main/materias_filtered/portal_amazonia/venezuelanos/2019/00_jan/html/16839.16839_1549.html", "HTML")</f>
        <v/>
      </c>
      <c r="R1753">
        <f>HYPERLINK("https://raw.githubusercontent.com/marcosmapl/dataset_imigrantes/main/materias_filtered/portal_amazonia/venezuelanos/2019/00_jan/txt/16839.16839_1549.txt", "TXT")</f>
        <v/>
      </c>
    </row>
    <row r="1754">
      <c r="A1754" s="1" t="n">
        <v>1752</v>
      </c>
      <c r="B1754" t="n">
        <v>2019</v>
      </c>
      <c r="C1754" s="2" t="n">
        <v>43488.93772268519</v>
      </c>
      <c r="D1754" t="inlineStr">
        <is>
          <t>G1</t>
        </is>
      </c>
      <c r="E1754" t="inlineStr">
        <is>
          <t>VENEZUELANOS</t>
        </is>
      </c>
      <c r="F1754" t="inlineStr">
        <is>
          <t>RIO GRANDE DO SUL</t>
        </is>
      </c>
      <c r="G1754" t="inlineStr">
        <is>
          <t>G1 RS</t>
        </is>
      </c>
      <c r="H1754" t="inlineStr">
        <is>
          <t>VENEZUELANA QUE CAMINHOU DE CANOAS A PORTO ALEGRE POR EMPREGO É CONTRATADA: 'MUITO AGRADECIDA'</t>
        </is>
      </c>
      <c r="I1754" t="inlineStr">
        <is>
          <t>ELA CONCEDEU ENTREVISTA AO RBS NOTÍCIAS LAMENTANDO QUE NÃO TINHA TRABALHO E PEDINDO UMA OPORTUNIDADE. SENSIBILIZADO, EMPRESÁRIO A PROCUROU E OFERECEU VAGA.</t>
        </is>
      </c>
      <c r="J1754" t="inlineStr"/>
      <c r="K1754" t="n">
        <v>0</v>
      </c>
      <c r="L1754" t="n">
        <v>1</v>
      </c>
      <c r="M1754" t="n">
        <v>1</v>
      </c>
      <c r="N1754" t="n">
        <v>0</v>
      </c>
      <c r="O1754" t="n">
        <v>1</v>
      </c>
      <c r="P1754">
        <f>HYPERLINK("https://g1.globo.com/rs/rio-grande-do-sul/noticia/2019/01/23/venezuelana-que-caminhou-de-canoas-a-porto-alegre-por-emprego-e-contratada-muito-agradecida.ghtml", "URL")</f>
        <v/>
      </c>
      <c r="Q1754">
        <f>HYPERLINK("https://raw.githubusercontent.com/marcosmapl/dataset_imigrantes/main/materias_filtered/g1/venezuelanos/2019/00_jan/html/g1_daffa182-2308-11ed-b24f-6dbe51e79fca_2408.html", "HTML")</f>
        <v/>
      </c>
      <c r="R1754">
        <f>HYPERLINK("https://raw.githubusercontent.com/marcosmapl/dataset_imigrantes/main/materias_filtered/g1/venezuelanos/2019/00_jan/txt/g1_daffa182-2308-11ed-b24f-6dbe51e79fca_2408.txt", "TXT")</f>
        <v/>
      </c>
    </row>
    <row r="1755">
      <c r="A1755" s="1" t="n">
        <v>1753</v>
      </c>
      <c r="B1755" t="n">
        <v>2019</v>
      </c>
      <c r="C1755" s="2" t="n">
        <v>43488.78284722222</v>
      </c>
      <c r="D1755" t="inlineStr">
        <is>
          <t>A CRITICA</t>
        </is>
      </c>
      <c r="E1755" t="inlineStr">
        <is>
          <t>VENEZUELANOS</t>
        </is>
      </c>
      <c r="F1755" t="inlineStr"/>
      <c r="G1755" t="inlineStr">
        <is>
          <t>AFP</t>
        </is>
      </c>
      <c r="H1755" t="inlineStr">
        <is>
          <t>COM PALAVRÕES, NICOLÁS MADURO ROMPE RELAÇÕES DIPLOMÁTICAS COM OS EUA</t>
        </is>
      </c>
      <c r="I1755" t="inlineStr">
        <is>
          <t>PRESIDENTE VENEZUELANO, QUE É ALVO DE DIVERSOS PROTESTOS NO PAÍS, DEU 72 HORAS PARA DELEGAÇÃO DIPLOMÁTICA DOS EUA DEIXAR A VENEZUELA</t>
        </is>
      </c>
      <c r="J1755" t="inlineStr"/>
      <c r="K1755" t="n">
        <v>0</v>
      </c>
      <c r="L1755" t="n">
        <v>1</v>
      </c>
      <c r="M1755" t="n">
        <v>0</v>
      </c>
      <c r="N1755" t="n">
        <v>0</v>
      </c>
      <c r="O1755" t="n">
        <v>2</v>
      </c>
      <c r="P1755">
        <f>HYPERLINK("https://www.acritica.com/com-palavr-es-nicolas-maduro-rompe-relac-es-diplomaticas-com-os-eua-1.76484", "URL")</f>
        <v/>
      </c>
      <c r="Q1755">
        <f>HYPERLINK("https://raw.githubusercontent.com/marcosmapl/dataset_imigrantes/main/materias_filtered/a_critica/venezuelanos/2019/00_jan/html/1.76484_165.html", "HTML")</f>
        <v/>
      </c>
      <c r="R1755">
        <f>HYPERLINK("https://raw.githubusercontent.com/marcosmapl/dataset_imigrantes/main/materias_filtered/a_critica/venezuelanos/2019/00_jan/txt/1.76484_165.txt", "TXT")</f>
        <v/>
      </c>
    </row>
    <row r="1756">
      <c r="A1756" s="1" t="n">
        <v>1754</v>
      </c>
      <c r="B1756" t="n">
        <v>2019</v>
      </c>
      <c r="C1756" s="2" t="n">
        <v>43488.73037037037</v>
      </c>
      <c r="D1756" t="inlineStr">
        <is>
          <t>A CRITICA</t>
        </is>
      </c>
      <c r="E1756" t="inlineStr">
        <is>
          <t>VENEZUELANOS</t>
        </is>
      </c>
      <c r="F1756" t="inlineStr"/>
      <c r="G1756" t="inlineStr">
        <is>
          <t>ACRÍTICA.COM</t>
        </is>
      </c>
      <c r="H1756" t="inlineStr">
        <is>
          <t>BRASIL RECONHECE OPOSITOR DE MADURO COMO PRESIDENTE VENEZUELANO E PROMETE APOIO</t>
        </is>
      </c>
      <c r="I1756" t="inlineStr">
        <is>
          <t>NA NOTA, O MINISTÉRIO DAS RELAÇÕES EXTERIORES AFIRMA QUE 'APOIARÁ POLÍTICA E ECONOMICAMENTE O PROCESSO DE TRANSIÇÃO PARA QUE A DEMOCRACIA E A PAZ SOCIAL VOLTEM À VENEZUELA'</t>
        </is>
      </c>
      <c r="J1756" t="inlineStr"/>
      <c r="K1756" t="n">
        <v>0</v>
      </c>
      <c r="L1756" t="n">
        <v>1</v>
      </c>
      <c r="M1756" t="n">
        <v>0</v>
      </c>
      <c r="N1756" t="n">
        <v>0</v>
      </c>
      <c r="O1756" t="n">
        <v>0</v>
      </c>
      <c r="P1756">
        <f>HYPERLINK("https://www.acritica.com/brasil-reconhece-opositor-de-maduro-como-presidente-venezuelano-e-promete-apoio-1.76492", "URL")</f>
        <v/>
      </c>
      <c r="Q1756">
        <f>HYPERLINK("https://raw.githubusercontent.com/marcosmapl/dataset_imigrantes/main/materias_filtered/a_critica/venezuelanos/2019/00_jan/html/1.76492_37.html", "HTML")</f>
        <v/>
      </c>
      <c r="R1756">
        <f>HYPERLINK("https://raw.githubusercontent.com/marcosmapl/dataset_imigrantes/main/materias_filtered/a_critica/venezuelanos/2019/00_jan/txt/1.76492_37.txt", "TXT")</f>
        <v/>
      </c>
    </row>
    <row r="1757">
      <c r="A1757" s="1" t="n">
        <v>1755</v>
      </c>
      <c r="B1757" t="n">
        <v>2019</v>
      </c>
      <c r="C1757" s="2" t="n">
        <v>43488.70069444444</v>
      </c>
      <c r="D1757" t="inlineStr">
        <is>
          <t>A CRITICA</t>
        </is>
      </c>
      <c r="E1757" t="inlineStr">
        <is>
          <t>VENEZUELANOS</t>
        </is>
      </c>
      <c r="F1757" t="inlineStr"/>
      <c r="G1757" t="inlineStr">
        <is>
          <t>AFP</t>
        </is>
      </c>
      <c r="H1757" t="inlineStr">
        <is>
          <t>DONALD TRUMP RECONHECE OPOSITOR JUAN GUAIDÓ COMO PRESIDENTE DA VENEZUELA</t>
        </is>
      </c>
      <c r="I1757" t="inlineStr">
        <is>
          <t>O CHEFE DO PARLAMENTO VENEZUELANO SE AUTOPROCLAMOU PRESIDENTE DO PAÍS NESTA QUARTA-FEIRA. PARA TRUMP, ELE É O ÚNICO BRAÇO LEGÍTIMO DO GOVERNO ELEITO PELO POVO VENEZUELANO</t>
        </is>
      </c>
      <c r="J1757" t="inlineStr"/>
      <c r="K1757" t="n">
        <v>0</v>
      </c>
      <c r="L1757" t="n">
        <v>1</v>
      </c>
      <c r="M1757" t="n">
        <v>0</v>
      </c>
      <c r="N1757" t="n">
        <v>0</v>
      </c>
      <c r="O1757" t="n">
        <v>0</v>
      </c>
      <c r="P1757">
        <f>HYPERLINK("https://www.acritica.com/donald-trump-reconhece-opositor-juan-guaido-como-presidente-da-venezuela-1.76496", "URL")</f>
        <v/>
      </c>
      <c r="Q1757">
        <f>HYPERLINK("https://raw.githubusercontent.com/marcosmapl/dataset_imigrantes/main/materias_filtered/a_critica/venezuelanos/2019/00_jan/html/1.76496_1216.html", "HTML")</f>
        <v/>
      </c>
      <c r="R1757">
        <f>HYPERLINK("https://raw.githubusercontent.com/marcosmapl/dataset_imigrantes/main/materias_filtered/a_critica/venezuelanos/2019/00_jan/txt/1.76496_1216.txt", "TXT")</f>
        <v/>
      </c>
    </row>
    <row r="1758">
      <c r="A1758" s="1" t="n">
        <v>1756</v>
      </c>
      <c r="B1758" t="n">
        <v>2019</v>
      </c>
      <c r="C1758" s="2" t="n">
        <v>43488.54096064815</v>
      </c>
      <c r="D1758" t="inlineStr">
        <is>
          <t>A CRITICA</t>
        </is>
      </c>
      <c r="E1758" t="inlineStr">
        <is>
          <t>VENEZUELANOS</t>
        </is>
      </c>
      <c r="F1758" t="inlineStr"/>
      <c r="G1758" t="inlineStr">
        <is>
          <t>ALEX RODRIGUES (AGÊNCIA BRASIL)</t>
        </is>
      </c>
      <c r="H1758" t="inlineStr">
        <is>
          <t>GOVERNO ESTUDA REGULARIZAR PERMANÊNCIA DE MÉDICOS CUBANOS NO BRASIL</t>
        </is>
      </c>
      <c r="I1758" t="inlineStr">
        <is>
          <t>AS MEDIDAS SÃO ANALISADAS APÓS O FIM DO ACORDO DE COOPERAÇÃO ENTRE O BRASIL E CUBA PARA PARTICIPAÇÃO NO PROGRAMA MAIS MÉDICOS, ANO PASSADO</t>
        </is>
      </c>
      <c r="J1758" t="inlineStr"/>
      <c r="K1758" t="n">
        <v>0</v>
      </c>
      <c r="L1758" t="n">
        <v>1</v>
      </c>
      <c r="M1758" t="n">
        <v>0</v>
      </c>
      <c r="N1758" t="n">
        <v>0</v>
      </c>
      <c r="O1758" t="n">
        <v>0</v>
      </c>
      <c r="P1758">
        <f>HYPERLINK("https://www.acritica.com/governo-estuda-regularizar-permanencia-de-medicos-cubanos-no-brasil-1.76534", "URL")</f>
        <v/>
      </c>
      <c r="Q1758">
        <f>HYPERLINK("https://raw.githubusercontent.com/marcosmapl/dataset_imigrantes/main/materias_filtered/a_critica/venezuelanos/2019/00_jan/html/1.76534_1343.html", "HTML")</f>
        <v/>
      </c>
      <c r="R1758">
        <f>HYPERLINK("https://raw.githubusercontent.com/marcosmapl/dataset_imigrantes/main/materias_filtered/a_critica/venezuelanos/2019/00_jan/txt/1.76534_1343.txt", "TXT")</f>
        <v/>
      </c>
    </row>
    <row r="1759">
      <c r="A1759" s="1" t="n">
        <v>1757</v>
      </c>
      <c r="B1759" t="n">
        <v>2019</v>
      </c>
      <c r="C1759" s="2" t="n">
        <v>43488.45623347222</v>
      </c>
      <c r="D1759" t="inlineStr">
        <is>
          <t>G1</t>
        </is>
      </c>
      <c r="E1759" t="inlineStr">
        <is>
          <t>HAITIANOS</t>
        </is>
      </c>
      <c r="F1759" t="inlineStr">
        <is>
          <t>RORAIMA</t>
        </is>
      </c>
      <c r="G1759" t="inlineStr">
        <is>
          <t>G1 RR — BOA VISTA</t>
        </is>
      </c>
      <c r="H1759" t="inlineStr">
        <is>
          <t>MULHER É DETIDA COM 110 KG DE ALHO CONTRABANDEADO NA BR-401, EM RR</t>
        </is>
      </c>
      <c r="I1759" t="inlineStr">
        <is>
          <t>PRODUTO ERA TRANSPORTADO EM UM ÔNIBUS DE LINHA DE BONFIM PARA BOA VISTA. ESTA É A QUARTA APREENSÃO DE PRODUTOS ILEGAIS EM MENOS DE UMA SEMANA.</t>
        </is>
      </c>
      <c r="J1759" t="inlineStr"/>
      <c r="K1759" t="n">
        <v>0</v>
      </c>
      <c r="L1759" t="n">
        <v>1</v>
      </c>
      <c r="M1759" t="n">
        <v>0</v>
      </c>
      <c r="N1759" t="n">
        <v>0</v>
      </c>
      <c r="O1759" t="n">
        <v>4</v>
      </c>
      <c r="P1759">
        <f>HYPERLINK("https://g1.globo.com/rr/roraima/noticia/2019/01/23/mulher-e-presa-com-110-kg-de-alho-contrabandeado-na-br-401-em-rr.ghtml", "URL")</f>
        <v/>
      </c>
      <c r="Q1759">
        <f>HYPERLINK("https://raw.githubusercontent.com/marcosmapl/dataset_imigrantes/main/materias_filtered/g1/haitianos/2019/00_jan/html/g1_abb4e9c0-2315-11ed-b24f-6dbe51e79fca_3099.html", "HTML")</f>
        <v/>
      </c>
      <c r="R1759">
        <f>HYPERLINK("https://raw.githubusercontent.com/marcosmapl/dataset_imigrantes/main/materias_filtered/g1/haitianos/2019/00_jan/txt/g1_abb4e9c0-2315-11ed-b24f-6dbe51e79fca_3099.txt", "TXT")</f>
        <v/>
      </c>
    </row>
    <row r="1760">
      <c r="A1760" s="1" t="n">
        <v>1758</v>
      </c>
      <c r="B1760" t="n">
        <v>2019</v>
      </c>
      <c r="C1760" s="2" t="n">
        <v>43487.62654057871</v>
      </c>
      <c r="D1760" t="inlineStr">
        <is>
          <t>G1</t>
        </is>
      </c>
      <c r="E1760" t="inlineStr">
        <is>
          <t>VENEZUELANOS</t>
        </is>
      </c>
      <c r="F1760" t="inlineStr">
        <is>
          <t>RORAIMA</t>
        </is>
      </c>
      <c r="G1760" t="inlineStr">
        <is>
          <t>MARCELO MARQUES, G1 RR — BOA VISTA</t>
        </is>
      </c>
      <c r="H1760" t="inlineStr">
        <is>
          <t>VENEZUELANO É ESFAQUEADO ENQUANTO DORMIA E AGREDIDO A PAULADAS POR TRÊS HOMENS EM CALÇADA DE BOA VISTA</t>
        </is>
      </c>
      <c r="I1760" t="inlineStr">
        <is>
          <t>IMAGENS FORAM REGISTRADAS POR CÂMERA DE SEGURANÇA DE UMA AUTOPEÇAS, ONDE A VÍTIMA E OUTROS IMIGRANTES DORMIAM. NINGUÉM FOI PRESO.</t>
        </is>
      </c>
      <c r="J1760" t="inlineStr"/>
      <c r="K1760" t="n">
        <v>0</v>
      </c>
      <c r="L1760" t="n">
        <v>2</v>
      </c>
      <c r="M1760" t="n">
        <v>1</v>
      </c>
      <c r="N1760" t="n">
        <v>0</v>
      </c>
      <c r="O1760" t="n">
        <v>1</v>
      </c>
      <c r="P1760">
        <f>HYPERLINK("https://g1.globo.com/rr/roraima/noticia/2019/01/22/venezuelano-e-esfaqueado-enquanto-dormia-e-agredido-a-pauladas-por-tres-homens-em-calcada-de-boa-vista.ghtml", "URL")</f>
        <v/>
      </c>
      <c r="Q1760">
        <f>HYPERLINK("https://raw.githubusercontent.com/marcosmapl/dataset_imigrantes/main/materias_filtered/g1/venezuelanos/2019/00_jan/html/g1_44742730-230b-11ed-b24f-6dbe51e79fca_2556.html", "HTML")</f>
        <v/>
      </c>
      <c r="R1760">
        <f>HYPERLINK("https://raw.githubusercontent.com/marcosmapl/dataset_imigrantes/main/materias_filtered/g1/venezuelanos/2019/00_jan/txt/g1_44742730-230b-11ed-b24f-6dbe51e79fca_2556.txt", "TXT")</f>
        <v/>
      </c>
    </row>
    <row r="1761">
      <c r="A1761" s="1" t="n">
        <v>1759</v>
      </c>
      <c r="B1761" t="n">
        <v>2019</v>
      </c>
      <c r="C1761" s="2" t="n">
        <v>43487.45416666667</v>
      </c>
      <c r="D1761" t="inlineStr">
        <is>
          <t>A CRITICA</t>
        </is>
      </c>
      <c r="E1761" t="inlineStr">
        <is>
          <t>VENEZUELANOS</t>
        </is>
      </c>
      <c r="F1761" t="inlineStr"/>
      <c r="G1761" t="inlineStr">
        <is>
          <t>AGÊNCIA BRASIL</t>
        </is>
      </c>
      <c r="H1761" t="inlineStr">
        <is>
          <t>VIA TWITTER, BOLSONARO DIZ QUE MINISTROS MAPEIAM OS PROBLEMAS DO BRASIL</t>
        </is>
      </c>
      <c r="I1761" t="inlineStr">
        <is>
          <t>O PRESIDENTE ESTÁ EM DAVOS, NA SUÍÇA, PARA PARTICIPAR DO FÓRUM ECONÔMICO MUNDIAL, MAS SE MANIFESTOU PELAS REDES SOCIAIS NESTA TERÇA-FEIRA</t>
        </is>
      </c>
      <c r="J1761" t="inlineStr"/>
      <c r="K1761" t="n">
        <v>0</v>
      </c>
      <c r="L1761" t="n">
        <v>1</v>
      </c>
      <c r="M1761" t="n">
        <v>0</v>
      </c>
      <c r="N1761" t="n">
        <v>0</v>
      </c>
      <c r="O1761" t="n">
        <v>0</v>
      </c>
      <c r="P1761">
        <f>HYPERLINK("https://www.acritica.com/via-twitter-bolsonaro-diz-que-ministros-mapeiam-os-problemas-do-brasil-1.77109", "URL")</f>
        <v/>
      </c>
      <c r="Q1761">
        <f>HYPERLINK("https://raw.githubusercontent.com/marcosmapl/dataset_imigrantes/main/materias_filtered/a_critica/venezuelanos/2019/00_jan/html/1.77109_392.html", "HTML")</f>
        <v/>
      </c>
      <c r="R1761">
        <f>HYPERLINK("https://raw.githubusercontent.com/marcosmapl/dataset_imigrantes/main/materias_filtered/a_critica/venezuelanos/2019/00_jan/txt/1.77109_392.txt", "TXT")</f>
        <v/>
      </c>
    </row>
    <row r="1762">
      <c r="A1762" s="1" t="n">
        <v>1760</v>
      </c>
      <c r="B1762" t="n">
        <v>2019</v>
      </c>
      <c r="C1762" s="2" t="n">
        <v>43486.96111111111</v>
      </c>
      <c r="D1762" t="inlineStr">
        <is>
          <t>A CRITICA</t>
        </is>
      </c>
      <c r="E1762" t="inlineStr">
        <is>
          <t>VENEZUELANOS</t>
        </is>
      </c>
      <c r="F1762" t="inlineStr">
        <is>
          <t>ESPORTES</t>
        </is>
      </c>
      <c r="G1762" t="inlineStr">
        <is>
          <t>VALTER CARDOSO</t>
        </is>
      </c>
      <c r="H1762" t="inlineStr">
        <is>
          <t>LANA ELOGIA EVOLUÇÃO DEFENSIVA DO NACIONAL DURANTE PREPARAÇÃO PARA O BAREZÃO</t>
        </is>
      </c>
      <c r="I1762" t="inlineStr">
        <is>
          <t>O TÉCNICO ADERBAL LANA ELOGIA PARTE DEFENSIVA DO TIME DO NACIONAL, MAS PRECISA DEFINIR SETOR OFENSIVO DA EQUIPE ATÉ O INÍCIO DO CAMPEONATO AMAZONENSE</t>
        </is>
      </c>
      <c r="J1762" t="inlineStr"/>
      <c r="K1762" t="n">
        <v>0</v>
      </c>
      <c r="L1762" t="n">
        <v>1</v>
      </c>
      <c r="M1762" t="n">
        <v>0</v>
      </c>
      <c r="N1762" t="n">
        <v>0</v>
      </c>
      <c r="O1762" t="n">
        <v>0</v>
      </c>
      <c r="P1762">
        <f>HYPERLINK("https://www.acritica.com/esportes/lana-elogia-evoluc-o-defensiva-do-nacional-durante-preparac-o-para-o-barez-o-1.77119", "URL")</f>
        <v/>
      </c>
      <c r="Q1762">
        <f>HYPERLINK("https://raw.githubusercontent.com/marcosmapl/dataset_imigrantes/main/materias_filtered/a_critica/venezuelanos/2019/00_jan/html/1.77119_156.html", "HTML")</f>
        <v/>
      </c>
      <c r="R1762">
        <f>HYPERLINK("https://raw.githubusercontent.com/marcosmapl/dataset_imigrantes/main/materias_filtered/a_critica/venezuelanos/2019/00_jan/txt/1.77119_156.txt", "TXT")</f>
        <v/>
      </c>
    </row>
    <row r="1763">
      <c r="A1763" s="1" t="n">
        <v>1761</v>
      </c>
      <c r="B1763" t="n">
        <v>2019</v>
      </c>
      <c r="C1763" s="2" t="n">
        <v>43485.95407407408</v>
      </c>
      <c r="D1763" t="inlineStr">
        <is>
          <t>A CRITICA</t>
        </is>
      </c>
      <c r="E1763" t="inlineStr">
        <is>
          <t>VENEZUELANOS</t>
        </is>
      </c>
      <c r="F1763" t="inlineStr">
        <is>
          <t>ESPORTES</t>
        </is>
      </c>
      <c r="G1763" t="inlineStr">
        <is>
          <t>GABRIEL FERREIRA</t>
        </is>
      </c>
      <c r="H1763" t="inlineStr">
        <is>
          <t>FAST SAI DERROTADO POR 2 A 0 NA VENEZUELA EM AMISTOSO PREPARATÓRIO À TEMPORADA 2019</t>
        </is>
      </c>
      <c r="I1763" t="inlineStr">
        <is>
          <t>A EQUIPE AMAZONENSE AINDA TEM MAIS DOIS COMPROMISSOS NO PAÍS VIZINHO E TERMINA JOGANDO EM RORAIMA</t>
        </is>
      </c>
      <c r="J1763" t="inlineStr"/>
      <c r="K1763" t="n">
        <v>0</v>
      </c>
      <c r="L1763" t="n">
        <v>1</v>
      </c>
      <c r="M1763" t="n">
        <v>0</v>
      </c>
      <c r="N1763" t="n">
        <v>0</v>
      </c>
      <c r="O1763" t="n">
        <v>0</v>
      </c>
      <c r="P1763">
        <f>HYPERLINK("https://www.acritica.com/esportes/fast-sai-derrotado-por-2-a-0-na-venezuela-em-amistoso-preparatorio-a-temporada-2019-1.76627", "URL")</f>
        <v/>
      </c>
      <c r="Q1763">
        <f>HYPERLINK("https://raw.githubusercontent.com/marcosmapl/dataset_imigrantes/main/materias_filtered/a_critica/venezuelanos/2019/00_jan/html/1.76627_758.html", "HTML")</f>
        <v/>
      </c>
      <c r="R1763">
        <f>HYPERLINK("https://raw.githubusercontent.com/marcosmapl/dataset_imigrantes/main/materias_filtered/a_critica/venezuelanos/2019/00_jan/txt/1.76627_758.txt", "TXT")</f>
        <v/>
      </c>
    </row>
    <row r="1764">
      <c r="A1764" s="1" t="n">
        <v>1762</v>
      </c>
      <c r="B1764" t="n">
        <v>2019</v>
      </c>
      <c r="C1764" s="2" t="n">
        <v>43485.84930555556</v>
      </c>
      <c r="D1764" t="inlineStr">
        <is>
          <t>A CRITICA</t>
        </is>
      </c>
      <c r="E1764" t="inlineStr">
        <is>
          <t>HAITIANOS</t>
        </is>
      </c>
      <c r="F1764" t="inlineStr">
        <is>
          <t>MANAUS</t>
        </is>
      </c>
      <c r="G1764" t="inlineStr">
        <is>
          <t>IZABEL GUEDES</t>
        </is>
      </c>
      <c r="H1764" t="inlineStr">
        <is>
          <t>SE ENGAJAR EM PROJETOS SOCIAIS É OPÇÃO PARA INICIAR 2019 DE FORMA DIFERENTE</t>
        </is>
      </c>
      <c r="I1764" t="inlineStr">
        <is>
          <t>SEJA DOANDO TEMPO EM ABRIGOS, PROJETOS DE LINGUAGEM, RECOLHENDO ANIMAIS OU ATÉ MESMO POR INICIATIVA PRÓPRIA, AMAZONENSES TÊM CONTRIBUÍDO PARA MELHORAR O MUNDO</t>
        </is>
      </c>
      <c r="J1764" t="inlineStr"/>
      <c r="K1764" t="n">
        <v>0</v>
      </c>
      <c r="L1764" t="n">
        <v>1</v>
      </c>
      <c r="M1764" t="n">
        <v>0</v>
      </c>
      <c r="N1764" t="n">
        <v>0</v>
      </c>
      <c r="O1764" t="n">
        <v>0</v>
      </c>
      <c r="P1764">
        <f>HYPERLINK("https://www.acritica.com/manaus/se-engajar-em-projetos-sociais-e-opc-o-para-iniciar-2019-de-forma-diferente-1.76669", "URL")</f>
        <v/>
      </c>
      <c r="Q1764">
        <f>HYPERLINK("https://raw.githubusercontent.com/marcosmapl/dataset_imigrantes/main/materias_filtered/a_critica/haitianos/2019/00_jan/html/1.76669_820.html", "HTML")</f>
        <v/>
      </c>
      <c r="R1764">
        <f>HYPERLINK("https://raw.githubusercontent.com/marcosmapl/dataset_imigrantes/main/materias_filtered/a_critica/haitianos/2019/00_jan/txt/1.76669_820.txt", "TXT")</f>
        <v/>
      </c>
    </row>
    <row r="1765">
      <c r="A1765" s="1" t="n">
        <v>1763</v>
      </c>
      <c r="B1765" t="n">
        <v>2019</v>
      </c>
      <c r="C1765" s="2" t="n">
        <v>43484.86257898148</v>
      </c>
      <c r="D1765" t="inlineStr">
        <is>
          <t>G1</t>
        </is>
      </c>
      <c r="E1765" t="inlineStr">
        <is>
          <t>VENEZUELANOS</t>
        </is>
      </c>
      <c r="F1765" t="inlineStr">
        <is>
          <t>PARAÍBA</t>
        </is>
      </c>
      <c r="G1765" t="inlineStr">
        <is>
          <t>FELÍCIA ARBEX, TV CABO BRANCO</t>
        </is>
      </c>
      <c r="H1765" t="inlineStr">
        <is>
          <t>VENEZUELANO É ESFAQUEADO PELO PADRASTO NO CONDE,PB, DIZ POLÍCIA</t>
        </is>
      </c>
      <c r="I1765" t="inlineStr">
        <is>
          <t>AS FACADAS ACONTECERAM DURANTE UMA DISCUSSÃO ENTRE O RAPAZ E O PADRASTO. A VÍTIMA E OS PARENTES SÃO REFUGIADOS DA VENEZUELA.</t>
        </is>
      </c>
      <c r="J1765" t="inlineStr"/>
      <c r="K1765" t="n">
        <v>0</v>
      </c>
      <c r="L1765" t="n">
        <v>1</v>
      </c>
      <c r="M1765" t="n">
        <v>0</v>
      </c>
      <c r="N1765" t="n">
        <v>0</v>
      </c>
      <c r="O1765" t="n">
        <v>0</v>
      </c>
      <c r="P1765">
        <f>HYPERLINK("https://g1.globo.com/pb/paraiba/noticia/2019/01/19/venezuelano-e-esfaqueado-pelo-padrasto-no-condepb-diz-policia.ghtml", "URL")</f>
        <v/>
      </c>
      <c r="Q1765">
        <f>HYPERLINK("https://raw.githubusercontent.com/marcosmapl/dataset_imigrantes/main/materias_filtered/g1/venezuelanos/2019/00_jan/html/g1_0978be80-2328-11ed-b24f-6dbe51e79fca_4061.html", "HTML")</f>
        <v/>
      </c>
      <c r="R1765">
        <f>HYPERLINK("https://raw.githubusercontent.com/marcosmapl/dataset_imigrantes/main/materias_filtered/g1/venezuelanos/2019/00_jan/txt/g1_0978be80-2328-11ed-b24f-6dbe51e79fca_4061.txt", "TXT")</f>
        <v/>
      </c>
    </row>
    <row r="1766">
      <c r="A1766" s="1" t="n">
        <v>1764</v>
      </c>
      <c r="B1766" t="n">
        <v>2019</v>
      </c>
      <c r="C1766" s="2" t="n">
        <v>43484.80208333334</v>
      </c>
      <c r="D1766" t="inlineStr">
        <is>
          <t>A CRITICA</t>
        </is>
      </c>
      <c r="E1766" t="inlineStr">
        <is>
          <t>VENEZUELANOS</t>
        </is>
      </c>
      <c r="F1766" t="inlineStr">
        <is>
          <t>ESPORTES</t>
        </is>
      </c>
      <c r="G1766" t="inlineStr">
        <is>
          <t>GABRIEL FERREIRA</t>
        </is>
      </c>
      <c r="H1766" t="inlineStr">
        <is>
          <t>PENAROL APRESENTA JOGADOR VENEZUELANO COMO REFORÇO DO TIME NA TEMPORADA 2019</t>
        </is>
      </c>
      <c r="I1766" t="inlineStr">
        <is>
          <t>O ATACANTE JHORMAN ROJAS FOI DESTAQUE DO CAMPEONATO AMAZONENSE DO ANO PASSADO JOGANDO PELO FAST CLUBE. AGORA ELE ENTRA NA EQUIPE DO LEÃO DA VELHA SERPA</t>
        </is>
      </c>
      <c r="J1766" t="inlineStr"/>
      <c r="K1766" t="n">
        <v>0</v>
      </c>
      <c r="L1766" t="n">
        <v>1</v>
      </c>
      <c r="M1766" t="n">
        <v>0</v>
      </c>
      <c r="N1766" t="n">
        <v>0</v>
      </c>
      <c r="O1766" t="n">
        <v>0</v>
      </c>
      <c r="P1766">
        <f>HYPERLINK("https://www.acritica.com/esportes/penarol-apresenta-jogador-venezuelano-como-reforco-do-time-na-temporada-2019-1.76691", "URL")</f>
        <v/>
      </c>
      <c r="Q1766">
        <f>HYPERLINK("https://raw.githubusercontent.com/marcosmapl/dataset_imigrantes/main/materias_filtered/a_critica/venezuelanos/2019/00_jan/html/1.76691_346.html", "HTML")</f>
        <v/>
      </c>
      <c r="R1766">
        <f>HYPERLINK("https://raw.githubusercontent.com/marcosmapl/dataset_imigrantes/main/materias_filtered/a_critica/venezuelanos/2019/00_jan/txt/1.76691_346.txt", "TXT")</f>
        <v/>
      </c>
    </row>
    <row r="1767">
      <c r="A1767" s="1" t="n">
        <v>1765</v>
      </c>
      <c r="B1767" t="n">
        <v>2019</v>
      </c>
      <c r="C1767" s="2" t="n">
        <v>43484.64305555556</v>
      </c>
      <c r="D1767" t="inlineStr">
        <is>
          <t>A CRITICA</t>
        </is>
      </c>
      <c r="E1767" t="inlineStr">
        <is>
          <t>VENEZUELANOS</t>
        </is>
      </c>
      <c r="F1767" t="inlineStr"/>
      <c r="G1767" t="inlineStr">
        <is>
          <t>VICTOR RIBEIRO (AGÊNCIA BRASIL)</t>
        </is>
      </c>
      <c r="H1767" t="inlineStr">
        <is>
          <t>DIFTERIA ENTRE VENEZUELANOS PREOCUPA MINISTÉRIO DA SAÚDE BRASILEIRO</t>
        </is>
      </c>
      <c r="I1767" t="inlineStr">
        <is>
          <t>O MINISTRO LUIZ HENRIQUE MANDETTA ESTEVE EM PACARAIMA, EM RORAIMA, E DISSE QUE A VACINAÇÃO É A FORMA MAIS EFICAZ DE EVITAR SURTOS NO BRASIL</t>
        </is>
      </c>
      <c r="J1767" t="inlineStr"/>
      <c r="K1767" t="n">
        <v>0</v>
      </c>
      <c r="L1767" t="n">
        <v>1</v>
      </c>
      <c r="M1767" t="n">
        <v>0</v>
      </c>
      <c r="N1767" t="n">
        <v>0</v>
      </c>
      <c r="O1767" t="n">
        <v>0</v>
      </c>
      <c r="P1767">
        <f>HYPERLINK("https://www.acritica.com/difteria-entre-venezuelanos-preocupa-ministerio-da-saude-brasileiro-1.76683", "URL")</f>
        <v/>
      </c>
      <c r="Q1767">
        <f>HYPERLINK("https://raw.githubusercontent.com/marcosmapl/dataset_imigrantes/main/materias_filtered/a_critica/venezuelanos/2019/00_jan/html/1.76683_437.html", "HTML")</f>
        <v/>
      </c>
      <c r="R1767">
        <f>HYPERLINK("https://raw.githubusercontent.com/marcosmapl/dataset_imigrantes/main/materias_filtered/a_critica/venezuelanos/2019/00_jan/txt/1.76683_437.txt", "TXT")</f>
        <v/>
      </c>
    </row>
    <row r="1768">
      <c r="A1768" s="1" t="n">
        <v>1766</v>
      </c>
      <c r="B1768" t="n">
        <v>2019</v>
      </c>
      <c r="C1768" s="2" t="n">
        <v>43483.88591756945</v>
      </c>
      <c r="D1768" t="inlineStr">
        <is>
          <t>G1</t>
        </is>
      </c>
      <c r="E1768" t="inlineStr">
        <is>
          <t>VENEZUELANOS</t>
        </is>
      </c>
      <c r="F1768" t="inlineStr">
        <is>
          <t>POLÍTICA</t>
        </is>
      </c>
      <c r="G1768" t="inlineStr">
        <is>
          <t>GUSTAVO GARCIA E ELISA CLAVERY, G1 E TV GLOBO — BRASÍLIA</t>
        </is>
      </c>
      <c r="H1768" t="inlineStr">
        <is>
          <t>MORO RECEBE PRESIDENTE DO TRIBUNAL SUPREMO DA VENEZUELA NO EXÍLIO</t>
        </is>
      </c>
      <c r="I1768" t="inlineStr">
        <is>
          <t>MIGUEL ÁNGEL MARTÍN PEDIU ATUAÇÃO DO BRASIL CONTRA O QUE CHAMOU DE 'CRIME TRANSNACIONAL'.  MINISTÉRIO DA JUSTIÇA DISSE QUE MORO FOI ‘SOLIDÁRIO’, MAS NÃO SE COMPROMETEU A ATENDER AO PEDIDO.</t>
        </is>
      </c>
      <c r="J1768" t="inlineStr"/>
      <c r="K1768" t="n">
        <v>0</v>
      </c>
      <c r="L1768" t="n">
        <v>1</v>
      </c>
      <c r="M1768" t="n">
        <v>1</v>
      </c>
      <c r="N1768" t="n">
        <v>0</v>
      </c>
      <c r="O1768" t="n">
        <v>1</v>
      </c>
      <c r="P1768">
        <f>HYPERLINK("https://g1.globo.com/politica/noticia/2019/01/18/moro-recebe-presidente-do-tribunal-supremo-da-venezuela-no-exilio.ghtml", "URL")</f>
        <v/>
      </c>
      <c r="Q1768">
        <f>HYPERLINK("https://raw.githubusercontent.com/marcosmapl/dataset_imigrantes/main/materias_filtered/g1/venezuelanos/2019/00_jan/html/g1_370a2058-230c-11ed-b24f-6dbe51e79fca_2610.html", "HTML")</f>
        <v/>
      </c>
      <c r="R1768">
        <f>HYPERLINK("https://raw.githubusercontent.com/marcosmapl/dataset_imigrantes/main/materias_filtered/g1/venezuelanos/2019/00_jan/txt/g1_370a2058-230c-11ed-b24f-6dbe51e79fca_2610.txt", "TXT")</f>
        <v/>
      </c>
    </row>
    <row r="1769">
      <c r="A1769" s="1" t="n">
        <v>1767</v>
      </c>
      <c r="B1769" t="n">
        <v>2019</v>
      </c>
      <c r="C1769" s="2" t="n">
        <v>43483.63478778935</v>
      </c>
      <c r="D1769" t="inlineStr">
        <is>
          <t>G1</t>
        </is>
      </c>
      <c r="E1769" t="inlineStr">
        <is>
          <t>VENEZUELANOS</t>
        </is>
      </c>
      <c r="F1769" t="inlineStr">
        <is>
          <t>MUNDO</t>
        </is>
      </c>
      <c r="G1769" t="inlineStr">
        <is>
          <t>REUTERS</t>
        </is>
      </c>
      <c r="H1769" t="inlineStr">
        <is>
          <t>MÉDICOS CUBANOS QUE TRABALHARAM NO BRASIL CHEGAM À VENEZUELA NA PRÓXIMA SEMANA, DIZ MADURO</t>
        </is>
      </c>
      <c r="I1769" t="inlineStr">
        <is>
          <t>SEGUNDO PRESIDENTE VENEZUELANO, 2 MIL MÉDICOS CUBANOS DEVEM DESEMBARCAR NA VENEZUELA. EM NOVEMBRO, HAVANA SAIU DE ACORDO COM O BRASIL, EM REAÇÃO A CRÍTICAS DE JAIR BOLSONARO.</t>
        </is>
      </c>
      <c r="J1769" t="inlineStr"/>
      <c r="K1769" t="n">
        <v>0</v>
      </c>
      <c r="L1769" t="n">
        <v>1</v>
      </c>
      <c r="M1769" t="n">
        <v>0</v>
      </c>
      <c r="N1769" t="n">
        <v>0</v>
      </c>
      <c r="O1769" t="n">
        <v>2</v>
      </c>
      <c r="P1769">
        <f>HYPERLINK("https://g1.globo.com/mundo/noticia/2019/01/18/medicos-cubanos-que-trabalharam-no-brasil-chegam-na-venezuela-na-proxima-semana-diz-maduro.ghtml", "URL")</f>
        <v/>
      </c>
      <c r="Q1769">
        <f>HYPERLINK("https://raw.githubusercontent.com/marcosmapl/dataset_imigrantes/main/materias_filtered/g1/venezuelanos/2019/00_jan/html/g1_5b4e304a-230b-11ed-b24f-6dbe51e79fca_2560.html", "HTML")</f>
        <v/>
      </c>
      <c r="R1769">
        <f>HYPERLINK("https://raw.githubusercontent.com/marcosmapl/dataset_imigrantes/main/materias_filtered/g1/venezuelanos/2019/00_jan/txt/g1_5b4e304a-230b-11ed-b24f-6dbe51e79fca_2560.txt", "TXT")</f>
        <v/>
      </c>
    </row>
    <row r="1770">
      <c r="A1770" s="1" t="n">
        <v>1768</v>
      </c>
      <c r="B1770" t="n">
        <v>2019</v>
      </c>
      <c r="C1770" s="2" t="n">
        <v>43483.52377314815</v>
      </c>
      <c r="D1770" t="inlineStr">
        <is>
          <t>A CRITICA</t>
        </is>
      </c>
      <c r="E1770" t="inlineStr">
        <is>
          <t>VENEZUELANOS</t>
        </is>
      </c>
      <c r="F1770" t="inlineStr"/>
      <c r="G1770" t="inlineStr">
        <is>
          <t>VICTOR RIBEIRO (AGÊNCIA BRASIL)</t>
        </is>
      </c>
      <c r="H1770" t="inlineStr">
        <is>
          <t>GOVERNO PRORROGA POR UM ANO OPERAÇÃO ACOLHIDA A VENEZUELANOS</t>
        </is>
      </c>
      <c r="I1770" t="inlineStr">
        <is>
          <t>AÇÃO PROMOVE ABRIGO E INTERIORIZAÇÃO DE IMIGRANTES E REFUGIADOS DA VENEZUELA. ASSIM, NÃO HÁ POSSIBILIDADE DE FECHAMENTO DA FRONTEIRA</t>
        </is>
      </c>
      <c r="J1770" t="inlineStr"/>
      <c r="K1770" t="n">
        <v>0</v>
      </c>
      <c r="L1770" t="n">
        <v>1</v>
      </c>
      <c r="M1770" t="n">
        <v>0</v>
      </c>
      <c r="N1770" t="n">
        <v>0</v>
      </c>
      <c r="O1770" t="n">
        <v>0</v>
      </c>
      <c r="P1770">
        <f>HYPERLINK("https://www.acritica.com/governo-prorroga-por-um-ano-operac-o-acolhida-a-venezuelanos-1.77188", "URL")</f>
        <v/>
      </c>
      <c r="Q1770">
        <f>HYPERLINK("https://raw.githubusercontent.com/marcosmapl/dataset_imigrantes/main/materias_filtered/a_critica/venezuelanos/2019/00_jan/html/1.77188_754.html", "HTML")</f>
        <v/>
      </c>
      <c r="R1770">
        <f>HYPERLINK("https://raw.githubusercontent.com/marcosmapl/dataset_imigrantes/main/materias_filtered/a_critica/venezuelanos/2019/00_jan/txt/1.77188_754.txt", "TXT")</f>
        <v/>
      </c>
    </row>
    <row r="1771">
      <c r="A1771" s="1" t="n">
        <v>1769</v>
      </c>
      <c r="B1771" t="n">
        <v>2019</v>
      </c>
      <c r="C1771" s="2" t="n">
        <v>43483.48680555556</v>
      </c>
      <c r="D1771" t="inlineStr">
        <is>
          <t>PORTAL AMAZONIA</t>
        </is>
      </c>
      <c r="E1771" t="inlineStr">
        <is>
          <t>VENEZUELANOS</t>
        </is>
      </c>
      <c r="F1771" t="inlineStr">
        <is>
          <t>CIDADES</t>
        </is>
      </c>
      <c r="G1771" t="inlineStr">
        <is>
          <t>REDAÇÃO</t>
        </is>
      </c>
      <c r="H1771" t="inlineStr">
        <is>
          <t>GOVERNO FEDERAL PRORROGA OPERAÇÃO ACOLHIDA A VENEZUELANOS ATÉ MARÇO DE 2020</t>
        </is>
      </c>
      <c r="I1771" t="inlineStr">
        <is>
          <t>A OPERAÇÃO ACOLHIDA, QUE RECEBE E PROMOVE A INTERIORIZAÇÃO DE IMIGRANTES E REFUGIADOS VENEZUELANOS, SERÁ PRORROGADA ATÉ MARÇO DE 2020, SEM POSSIBILIDADE DE FECHAMENTO DA FRONTEIRA COM A VENEZUELA. A DECISÃO FOI ANUNCIADA PELO MINISTRO DA DEFESA, FERN</t>
        </is>
      </c>
      <c r="J1771" t="inlineStr">
        <is>
          <t>GOVERNO FEDERAL, OPERACAO ACOLHIDA, VENEZUELANOS</t>
        </is>
      </c>
      <c r="K1771" t="n">
        <v>3</v>
      </c>
      <c r="L1771" t="n">
        <v>2</v>
      </c>
      <c r="M1771" t="n">
        <v>0</v>
      </c>
      <c r="N1771" t="n">
        <v>0</v>
      </c>
      <c r="O1771" t="n">
        <v>8</v>
      </c>
      <c r="P1771">
        <f>HYPERLINK("https://portalamazonia.com/noticias/cidades/governo-federal-prorroga-operacao-acolhida-a-venezuelanos-ate-marco-de-2020", "URL")</f>
        <v/>
      </c>
      <c r="Q1771">
        <f>HYPERLINK("https://raw.githubusercontent.com/marcosmapl/dataset_imigrantes/main/materias_filtered/portal_amazonia/venezuelanos/2019/00_jan/html/16801.16801_1564.html", "HTML")</f>
        <v/>
      </c>
      <c r="R1771">
        <f>HYPERLINK("https://raw.githubusercontent.com/marcosmapl/dataset_imigrantes/main/materias_filtered/portal_amazonia/venezuelanos/2019/00_jan/txt/16801.16801_1564.txt", "TXT")</f>
        <v/>
      </c>
    </row>
    <row r="1772">
      <c r="A1772" s="1" t="n">
        <v>1770</v>
      </c>
      <c r="B1772" t="n">
        <v>2019</v>
      </c>
      <c r="C1772" s="2" t="n">
        <v>43483.37547162037</v>
      </c>
      <c r="D1772" t="inlineStr">
        <is>
          <t>G1</t>
        </is>
      </c>
      <c r="E1772" t="inlineStr">
        <is>
          <t>HAITIANOS</t>
        </is>
      </c>
      <c r="F1772" t="inlineStr">
        <is>
          <t>RIO DE JANEIRO</t>
        </is>
      </c>
      <c r="G1772" t="inlineStr">
        <is>
          <t>CRISTINA BOECKEL E DAIENE DOS SANTOS*, G1 RIO</t>
        </is>
      </c>
      <c r="H1772" t="inlineStr">
        <is>
          <t>HAITIANO SE FORMA ENGENHEIRO NO RIO E SONHA RECONSTRUIR COMUNIDADE DESTRUÍDA POR TERREMOTO</t>
        </is>
      </c>
      <c r="I1772" t="inlineStr">
        <is>
          <t>COM O CONHECIMENTO ADQUIRIDO NO BRASIL, ELE QUER CONSTRUIR CASAS POPULARES EM SEU PAÍS DE ORIGEM.</t>
        </is>
      </c>
      <c r="J1772" t="inlineStr"/>
      <c r="K1772" t="n">
        <v>0</v>
      </c>
      <c r="L1772" t="n">
        <v>2</v>
      </c>
      <c r="M1772" t="n">
        <v>2</v>
      </c>
      <c r="N1772" t="n">
        <v>0</v>
      </c>
      <c r="O1772" t="n">
        <v>3</v>
      </c>
      <c r="P1772">
        <f>HYPERLINK("https://g1.globo.com/rj/rio-de-janeiro/noticia/2019/01/18/haitiano-se-forma-engenheiro-no-rio-e-sonha-reconstruir-comunidade-destruida-por-terremoto.ghtml", "URL")</f>
        <v/>
      </c>
      <c r="Q1772">
        <f>HYPERLINK("https://raw.githubusercontent.com/marcosmapl/dataset_imigrantes/main/materias_filtered/g1/haitianos/2019/00_jan/html/g1_4960fe6a-22f4-11ed-b24f-6dbe51e79fca_1881.html", "HTML")</f>
        <v/>
      </c>
      <c r="R1772">
        <f>HYPERLINK("https://raw.githubusercontent.com/marcosmapl/dataset_imigrantes/main/materias_filtered/g1/haitianos/2019/00_jan/txt/g1_4960fe6a-22f4-11ed-b24f-6dbe51e79fca_1881.txt", "TXT")</f>
        <v/>
      </c>
    </row>
    <row r="1773">
      <c r="A1773" s="1" t="n">
        <v>1771</v>
      </c>
      <c r="B1773" t="n">
        <v>2019</v>
      </c>
      <c r="C1773" s="2" t="n">
        <v>43482.9137962963</v>
      </c>
      <c r="D1773" t="inlineStr">
        <is>
          <t>A CRITICA</t>
        </is>
      </c>
      <c r="E1773" t="inlineStr">
        <is>
          <t>VENEZUELANOS</t>
        </is>
      </c>
      <c r="F1773" t="inlineStr"/>
      <c r="G1773" t="inlineStr">
        <is>
          <t>MARCELO BRANDÃO (AGÊNCIA BRASIL)</t>
        </is>
      </c>
      <c r="H1773" t="inlineStr">
        <is>
          <t>JAIR BOLSONARO ACREDITA QUE SOLUÇÃO PARA CRISE NA VENEZUELA VIRÁ EM BREVE</t>
        </is>
      </c>
      <c r="I1773" t="inlineStr">
        <is>
          <t>“TUDO NÓS FAREMOS PARA QUE A DEMOCRACIA SEJA RESTABELECIDA. A GENTE PEDE A DEUS, EM PRIMEIRO LUGAR, E DEPOIS CONTINUAREMOS FAZENDO O POSSÍVEL", DISSE O PRESIDENTE EM ENCONTRO COM CHEFE DO SUPREMO VENEZUELANO</t>
        </is>
      </c>
      <c r="J1773" t="inlineStr"/>
      <c r="K1773" t="n">
        <v>0</v>
      </c>
      <c r="L1773" t="n">
        <v>1</v>
      </c>
      <c r="M1773" t="n">
        <v>0</v>
      </c>
      <c r="N1773" t="n">
        <v>0</v>
      </c>
      <c r="O1773" t="n">
        <v>3</v>
      </c>
      <c r="P1773">
        <f>HYPERLINK("https://www.acritica.com/jair-bolsonaro-acredita-que-soluc-o-para-crise-na-venezuela-vira-em-breve-1.77266", "URL")</f>
        <v/>
      </c>
      <c r="Q1773">
        <f>HYPERLINK("https://raw.githubusercontent.com/marcosmapl/dataset_imigrantes/main/materias_filtered/a_critica/venezuelanos/2019/00_jan/html/1.77266_1242.html", "HTML")</f>
        <v/>
      </c>
      <c r="R1773">
        <f>HYPERLINK("https://raw.githubusercontent.com/marcosmapl/dataset_imigrantes/main/materias_filtered/a_critica/venezuelanos/2019/00_jan/txt/1.77266_1242.txt", "TXT")</f>
        <v/>
      </c>
    </row>
    <row r="1774">
      <c r="A1774" s="1" t="n">
        <v>1772</v>
      </c>
      <c r="B1774" t="n">
        <v>2019</v>
      </c>
      <c r="C1774" s="2" t="n">
        <v>43482.76660928241</v>
      </c>
      <c r="D1774" t="inlineStr">
        <is>
          <t>G1</t>
        </is>
      </c>
      <c r="E1774" t="inlineStr">
        <is>
          <t>VENEZUELANOS</t>
        </is>
      </c>
      <c r="F1774" t="inlineStr">
        <is>
          <t>POLÍTICA</t>
        </is>
      </c>
      <c r="G1774" t="inlineStr">
        <is>
          <t>GUILHERME MAZUI, G1 — BRASÍLIA</t>
        </is>
      </c>
      <c r="H1774" t="inlineStr">
        <is>
          <t>BOLSONARO RECEBE OPOSICIONISTA VENEZUELANO, INFORMA PLANALTO</t>
        </is>
      </c>
      <c r="I1774" t="inlineStr">
        <is>
          <t>PRESIDENTE DO TRIBUNAL SUPREMO DE JUSTIÇA NO EXÍLIO, MIGUEL ÁNGEL MARTÍN VEIO AO BRASIL NESTA QUINTA (17) PARA PEDIR APOIO DO GOVERNO BRASILEIRO PARA PRESSIONAR NICOLÁS MADURO.</t>
        </is>
      </c>
      <c r="J1774" t="inlineStr"/>
      <c r="K1774" t="n">
        <v>0</v>
      </c>
      <c r="L1774" t="n">
        <v>2</v>
      </c>
      <c r="M1774" t="n">
        <v>1</v>
      </c>
      <c r="N1774" t="n">
        <v>0</v>
      </c>
      <c r="O1774" t="n">
        <v>4</v>
      </c>
      <c r="P1774">
        <f>HYPERLINK("https://g1.globo.com/politica/noticia/2019/01/17/bolsonaro-recebe-oposicionista-venezuelano-informa-planalto.ghtml", "URL")</f>
        <v/>
      </c>
      <c r="Q1774">
        <f>HYPERLINK("https://raw.githubusercontent.com/marcosmapl/dataset_imigrantes/main/materias_filtered/g1/venezuelanos/2019/00_jan/html/g1_c02ccc3c-2316-11ed-b24f-6dbe51e79fca_3167.html", "HTML")</f>
        <v/>
      </c>
      <c r="R1774">
        <f>HYPERLINK("https://raw.githubusercontent.com/marcosmapl/dataset_imigrantes/main/materias_filtered/g1/venezuelanos/2019/00_jan/txt/g1_c02ccc3c-2316-11ed-b24f-6dbe51e79fca_3167.txt", "TXT")</f>
        <v/>
      </c>
    </row>
    <row r="1775">
      <c r="A1775" s="1" t="n">
        <v>1773</v>
      </c>
      <c r="B1775" t="n">
        <v>2019</v>
      </c>
      <c r="C1775" s="2" t="n">
        <v>43482.53498842593</v>
      </c>
      <c r="D1775" t="inlineStr">
        <is>
          <t>A CRITICA</t>
        </is>
      </c>
      <c r="E1775" t="inlineStr">
        <is>
          <t>VENEZUELANOS</t>
        </is>
      </c>
      <c r="F1775" t="inlineStr"/>
      <c r="G1775" t="inlineStr">
        <is>
          <t>CAMILA MACIEL (AGÊNCIA BRASIL)</t>
        </is>
      </c>
      <c r="H1775" t="inlineStr">
        <is>
          <t>BRASIL BATE RECORDE DE MORTES VIOLENTAS EM 2017, COM 63.880 ASSASSINATOS</t>
        </is>
      </c>
      <c r="I1775" t="inlineStr">
        <is>
          <t>NO MESMO ANO, AS MORTES COMETIDAS POR POLICIAIS EM SERVIÇO E DE FOLGA CRESCERAM 20% NA COMPARAÇÃO COM 2016. DADOS INTEGRAM RELATÓRIO DA HUMAN RIGHTS WATCH</t>
        </is>
      </c>
      <c r="J1775" t="inlineStr"/>
      <c r="K1775" t="n">
        <v>0</v>
      </c>
      <c r="L1775" t="n">
        <v>1</v>
      </c>
      <c r="M1775" t="n">
        <v>0</v>
      </c>
      <c r="N1775" t="n">
        <v>0</v>
      </c>
      <c r="O1775" t="n">
        <v>0</v>
      </c>
      <c r="P1775">
        <f>HYPERLINK("https://www.acritica.com/brasil-bate-recorde-de-mortes-violentas-em-2017-com-63-880-assassinatos-1.77391", "URL")</f>
        <v/>
      </c>
      <c r="Q1775">
        <f>HYPERLINK("https://raw.githubusercontent.com/marcosmapl/dataset_imigrantes/main/materias_filtered/a_critica/venezuelanos/2019/00_jan/html/1.77391_1030.html", "HTML")</f>
        <v/>
      </c>
      <c r="R1775">
        <f>HYPERLINK("https://raw.githubusercontent.com/marcosmapl/dataset_imigrantes/main/materias_filtered/a_critica/venezuelanos/2019/00_jan/txt/1.77391_1030.txt", "TXT")</f>
        <v/>
      </c>
    </row>
    <row r="1776">
      <c r="A1776" s="1" t="n">
        <v>1774</v>
      </c>
      <c r="B1776" t="n">
        <v>2019</v>
      </c>
      <c r="C1776" s="2" t="n">
        <v>43481.88478009259</v>
      </c>
      <c r="D1776" t="inlineStr">
        <is>
          <t>A CRITICA</t>
        </is>
      </c>
      <c r="E1776" t="inlineStr">
        <is>
          <t>VENEZUELANOS</t>
        </is>
      </c>
      <c r="F1776" t="inlineStr"/>
      <c r="G1776" t="inlineStr">
        <is>
          <t>REUTERS</t>
        </is>
      </c>
      <c r="H1776" t="inlineStr">
        <is>
          <t>JAIR BOLSONARO E MAURICIO MACRI AUMENTAM PRESSÃO SOBRE MADURO</t>
        </is>
      </c>
      <c r="I1776" t="inlineStr">
        <is>
          <t>BOLSONARO, EM PRONUNCIAMENTO FEITO AO LADO DO LÍDER ARGENTINO, DESTACOU A COOPERAÇÃO ENTRE BRASIL E ARGENTINA SOBRE A VENEZUELA</t>
        </is>
      </c>
      <c r="J1776" t="inlineStr"/>
      <c r="K1776" t="n">
        <v>0</v>
      </c>
      <c r="L1776" t="n">
        <v>1</v>
      </c>
      <c r="M1776" t="n">
        <v>0</v>
      </c>
      <c r="N1776" t="n">
        <v>0</v>
      </c>
      <c r="O1776" t="n">
        <v>0</v>
      </c>
      <c r="P1776">
        <f>HYPERLINK("https://www.acritica.com/jair-bolsonaro-e-mauricio-macri-aumentam-press-o-sobre-maduro-1.77399", "URL")</f>
        <v/>
      </c>
      <c r="Q1776">
        <f>HYPERLINK("https://raw.githubusercontent.com/marcosmapl/dataset_imigrantes/main/materias_filtered/a_critica/venezuelanos/2019/00_jan/html/1.77399_258.html", "HTML")</f>
        <v/>
      </c>
      <c r="R1776">
        <f>HYPERLINK("https://raw.githubusercontent.com/marcosmapl/dataset_imigrantes/main/materias_filtered/a_critica/venezuelanos/2019/00_jan/txt/1.77399_258.txt", "TXT")</f>
        <v/>
      </c>
    </row>
    <row r="1777">
      <c r="A1777" s="1" t="n">
        <v>1775</v>
      </c>
      <c r="B1777" t="n">
        <v>2019</v>
      </c>
      <c r="C1777" s="2" t="n">
        <v>43481.67295138889</v>
      </c>
      <c r="D1777" t="inlineStr">
        <is>
          <t>A CRITICA</t>
        </is>
      </c>
      <c r="E1777" t="inlineStr">
        <is>
          <t>VENEZUELANOS</t>
        </is>
      </c>
      <c r="F1777" t="inlineStr"/>
      <c r="G1777" t="inlineStr">
        <is>
          <t>AGÊNCIA BRASIL*</t>
        </is>
      </c>
      <c r="H1777" t="inlineStr">
        <is>
          <t>EM VISITA AO BRASIL, MACRI DIZ QUE MADURO É DITADOR E QUE ELEIÇÃO NA VENEZUELA FOI FICTÍCIA</t>
        </is>
      </c>
      <c r="I1777" t="inlineStr">
        <is>
          <t>ELE DISSE QUE OS GOVERNOS BRASILEIRO E ARGENTINO COMPARTILHAM PREOCUPAÇÃO COM A SITUAÇÃO DOS VENEZUELANOS</t>
        </is>
      </c>
      <c r="J1777" t="inlineStr"/>
      <c r="K1777" t="n">
        <v>0</v>
      </c>
      <c r="L1777" t="n">
        <v>1</v>
      </c>
      <c r="M1777" t="n">
        <v>0</v>
      </c>
      <c r="N1777" t="n">
        <v>0</v>
      </c>
      <c r="O1777" t="n">
        <v>0</v>
      </c>
      <c r="P1777">
        <f>HYPERLINK("https://www.acritica.com/em-visita-ao-brasil-macri-diz-que-maduro-e-ditador-e-que-eleic-o-na-venezuela-foi-ficticia-1.77378", "URL")</f>
        <v/>
      </c>
      <c r="Q1777">
        <f>HYPERLINK("https://raw.githubusercontent.com/marcosmapl/dataset_imigrantes/main/materias_filtered/a_critica/venezuelanos/2019/00_jan/html/1.77378_1127.html", "HTML")</f>
        <v/>
      </c>
      <c r="R1777">
        <f>HYPERLINK("https://raw.githubusercontent.com/marcosmapl/dataset_imigrantes/main/materias_filtered/a_critica/venezuelanos/2019/00_jan/txt/1.77378_1127.txt", "TXT")</f>
        <v/>
      </c>
    </row>
    <row r="1778">
      <c r="A1778" s="1" t="n">
        <v>1776</v>
      </c>
      <c r="B1778" t="n">
        <v>2019</v>
      </c>
      <c r="C1778" s="2" t="n">
        <v>43480.93614586806</v>
      </c>
      <c r="D1778" t="inlineStr">
        <is>
          <t>G1</t>
        </is>
      </c>
      <c r="E1778" t="inlineStr">
        <is>
          <t>VENEZUELANOS</t>
        </is>
      </c>
      <c r="F1778" t="inlineStr">
        <is>
          <t>MUNDO</t>
        </is>
      </c>
      <c r="G1778" t="inlineStr">
        <is>
          <t>G1</t>
        </is>
      </c>
      <c r="H1778" t="inlineStr">
        <is>
          <t>VICE DOS EUA TELEFONA PARA LÍDER DA OPOSIÇÃO VENEZUELANA JUAN GUAIDÓ</t>
        </is>
      </c>
      <c r="I1778" t="inlineStr">
        <is>
          <t>OBJETIVO DE MIKE PENCE FOI EXPRESSAR APOIO AO 'ÚNICO ÓRGÃO DEMOCRÁTICO LEGÍTIMO' NA VENEZUELA, SEGUNDO FUNCIONÁRIO DA CASA BRANCA. GUAIDÓ É PRESIDENTE DA ASSEMBLEIA NACIONAL, QUE DECLAROU MADURO 'USURPADOR' DO CARGO DE PRESIDENTE.</t>
        </is>
      </c>
      <c r="J1778" t="inlineStr"/>
      <c r="K1778" t="n">
        <v>0</v>
      </c>
      <c r="L1778" t="n">
        <v>2</v>
      </c>
      <c r="M1778" t="n">
        <v>0</v>
      </c>
      <c r="N1778" t="n">
        <v>0</v>
      </c>
      <c r="O1778" t="n">
        <v>7</v>
      </c>
      <c r="P1778">
        <f>HYPERLINK("https://g1.globo.com/mundo/noticia/2019/01/15/vice-dos-eua-telefona-para-lider-da-oposicao-venezuelana-juan-guaido.ghtml", "URL")</f>
        <v/>
      </c>
      <c r="Q1778">
        <f>HYPERLINK("https://raw.githubusercontent.com/marcosmapl/dataset_imigrantes/main/materias_filtered/g1/venezuelanos/2019/00_jan/html/g1_67e85b84-230e-11ed-b24f-6dbe51e79fca_2736.html", "HTML")</f>
        <v/>
      </c>
      <c r="R1778">
        <f>HYPERLINK("https://raw.githubusercontent.com/marcosmapl/dataset_imigrantes/main/materias_filtered/g1/venezuelanos/2019/00_jan/txt/g1_67e85b84-230e-11ed-b24f-6dbe51e79fca_2736.txt", "TXT")</f>
        <v/>
      </c>
    </row>
    <row r="1779">
      <c r="A1779" s="1" t="n">
        <v>1777</v>
      </c>
      <c r="B1779" t="n">
        <v>2019</v>
      </c>
      <c r="C1779" s="2" t="n">
        <v>43480.74502314815</v>
      </c>
      <c r="D1779" t="inlineStr">
        <is>
          <t>A CRITICA</t>
        </is>
      </c>
      <c r="E1779" t="inlineStr">
        <is>
          <t>VENEZUELANOS</t>
        </is>
      </c>
      <c r="F1779" t="inlineStr">
        <is>
          <t>MANAUS</t>
        </is>
      </c>
      <c r="G1779" t="inlineStr">
        <is>
          <t>ACRÍTICA.COM</t>
        </is>
      </c>
      <c r="H1779" t="inlineStr">
        <is>
          <t>VENEZUELANOS TERÃO NOVO ABRIGO NA ZONA LESTE E SERÃO CADASTRADOS NO SINE MANAUS</t>
        </is>
      </c>
      <c r="I1779" t="inlineStr">
        <is>
          <t>O LOCAL, ANEXO DA ESCOLA ESTADUAL PADRE LUIZ RUAS, NO BAIRRO ZUMBI DOS PALMARES, SERÁ REFORMADO E ENTREGUE EM 30 DIAS. CERCA DE 230 VENEZUELANOS VIVEM PRÓXIMO À RODOVIÁRIA</t>
        </is>
      </c>
      <c r="J1779" t="inlineStr"/>
      <c r="K1779" t="n">
        <v>0</v>
      </c>
      <c r="L1779" t="n">
        <v>1</v>
      </c>
      <c r="M1779" t="n">
        <v>0</v>
      </c>
      <c r="N1779" t="n">
        <v>0</v>
      </c>
      <c r="O1779" t="n">
        <v>0</v>
      </c>
      <c r="P1779">
        <f>HYPERLINK("https://www.acritica.com/manaus/venezuelanos-ter-o-novo-abrigo-na-zona-leste-e-ser-o-cadastrados-no-sine-manaus-1.77547", "URL")</f>
        <v/>
      </c>
      <c r="Q1779">
        <f>HYPERLINK("https://raw.githubusercontent.com/marcosmapl/dataset_imigrantes/main/materias_filtered/a_critica/venezuelanos/2019/00_jan/html/1.77547_627.html", "HTML")</f>
        <v/>
      </c>
      <c r="R1779">
        <f>HYPERLINK("https://raw.githubusercontent.com/marcosmapl/dataset_imigrantes/main/materias_filtered/a_critica/venezuelanos/2019/00_jan/txt/1.77547_627.txt", "TXT")</f>
        <v/>
      </c>
    </row>
    <row r="1780">
      <c r="A1780" s="1" t="n">
        <v>1778</v>
      </c>
      <c r="B1780" t="n">
        <v>2019</v>
      </c>
      <c r="C1780" s="2" t="n">
        <v>43479.44068287037</v>
      </c>
      <c r="D1780" t="inlineStr">
        <is>
          <t>A CRITICA</t>
        </is>
      </c>
      <c r="E1780" t="inlineStr">
        <is>
          <t>VENEZUELANOS</t>
        </is>
      </c>
      <c r="F1780" t="inlineStr"/>
      <c r="G1780" t="inlineStr"/>
      <c r="H1780" t="inlineStr">
        <is>
          <t>VICE APOSTA EM ‘FATOR SURPRESA’</t>
        </is>
      </c>
      <c r="I1780" t="inlineStr"/>
      <c r="J1780" t="inlineStr"/>
      <c r="K1780" t="n">
        <v>0</v>
      </c>
      <c r="L1780" t="n">
        <v>1</v>
      </c>
      <c r="M1780" t="n">
        <v>0</v>
      </c>
      <c r="N1780" t="n">
        <v>0</v>
      </c>
      <c r="O1780" t="n">
        <v>0</v>
      </c>
      <c r="P1780">
        <f>HYPERLINK("https://www.acritica.com/vice-aposta-em-fator-surpresa-1.224046", "URL")</f>
        <v/>
      </c>
      <c r="Q1780">
        <f>HYPERLINK("https://raw.githubusercontent.com/marcosmapl/dataset_imigrantes/main/materias_filtered/a_critica/venezuelanos/2019/00_jan/html/1.224046_184.html", "HTML")</f>
        <v/>
      </c>
      <c r="R1780">
        <f>HYPERLINK("https://raw.githubusercontent.com/marcosmapl/dataset_imigrantes/main/materias_filtered/a_critica/venezuelanos/2019/00_jan/txt/1.224046_184.txt", "TXT")</f>
        <v/>
      </c>
    </row>
    <row r="1781">
      <c r="A1781" s="1" t="n">
        <v>1779</v>
      </c>
      <c r="B1781" t="n">
        <v>2019</v>
      </c>
      <c r="C1781" s="2" t="n">
        <v>43478.73373842592</v>
      </c>
      <c r="D1781" t="inlineStr">
        <is>
          <t>A CRITICA</t>
        </is>
      </c>
      <c r="E1781" t="inlineStr">
        <is>
          <t>VENEZUELANOS</t>
        </is>
      </c>
      <c r="F1781" t="inlineStr">
        <is>
          <t>MANAUS</t>
        </is>
      </c>
      <c r="G1781" t="inlineStr">
        <is>
          <t>LUIZ G. MELO</t>
        </is>
      </c>
      <c r="H1781" t="inlineStr">
        <is>
          <t>PRESTES A COMPLETAR UM MÊS, PARADEIRO DE ADOLESCENTE É UM MISTÉRIO</t>
        </is>
      </c>
      <c r="I1781" t="inlineStr">
        <is>
          <t>DEPCA LOCALIZOU A VENEZUELANA QUE ATENDEU O TELEFONE DE RAYNER VINICIUS DA SILVA GONÇALVES, DE 15 ANOS, MAS ELE AINDA NÃO FOI ACHADO</t>
        </is>
      </c>
      <c r="J1781" t="inlineStr"/>
      <c r="K1781" t="n">
        <v>0</v>
      </c>
      <c r="L1781" t="n">
        <v>1</v>
      </c>
      <c r="M1781" t="n">
        <v>0</v>
      </c>
      <c r="N1781" t="n">
        <v>0</v>
      </c>
      <c r="O1781" t="n">
        <v>0</v>
      </c>
      <c r="P1781">
        <f>HYPERLINK("https://www.acritica.com/manaus/prestes-a-completar-um-mes-paradeiro-de-adolescente-e-um-misterio-1.77636", "URL")</f>
        <v/>
      </c>
      <c r="Q1781">
        <f>HYPERLINK("https://raw.githubusercontent.com/marcosmapl/dataset_imigrantes/main/materias_filtered/a_critica/venezuelanos/2019/00_jan/html/1.77636_362.html", "HTML")</f>
        <v/>
      </c>
      <c r="R1781">
        <f>HYPERLINK("https://raw.githubusercontent.com/marcosmapl/dataset_imigrantes/main/materias_filtered/a_critica/venezuelanos/2019/00_jan/txt/1.77636_362.txt", "TXT")</f>
        <v/>
      </c>
    </row>
    <row r="1782">
      <c r="A1782" s="1" t="n">
        <v>1780</v>
      </c>
      <c r="B1782" t="n">
        <v>2019</v>
      </c>
      <c r="C1782" s="2" t="n">
        <v>43476.76928596065</v>
      </c>
      <c r="D1782" t="inlineStr">
        <is>
          <t>G1</t>
        </is>
      </c>
      <c r="E1782" t="inlineStr">
        <is>
          <t>VENEZUELANOS</t>
        </is>
      </c>
      <c r="F1782" t="inlineStr">
        <is>
          <t>MUNDO</t>
        </is>
      </c>
      <c r="G1782" t="inlineStr">
        <is>
          <t>G1</t>
        </is>
      </c>
      <c r="H1782" t="inlineStr">
        <is>
          <t>PRESIDENTE DO CONGRESSO VENEZUELANO PEDE APOIO PARA ASSUMIR EXECUTIVO E CONVOCAR ELEIÇÃO PARA SUBSTITUIR MADURO</t>
        </is>
      </c>
      <c r="I1782" t="inlineStr">
        <is>
          <t>LÍDER OPOSICIONISTA CONVOCOU MOBILIZAÇÃO PARA 23 DE JANEIRO. SECRETÁRIO-GERAL DA OEA PRONTAMENTE O CHAMOU DE 'PRESIDENTE INTERINO' NO TWITTER. 'BRINCADEIRA E ESCÁRNIO', MINIMIZOU MADURO.</t>
        </is>
      </c>
      <c r="J1782" t="inlineStr"/>
      <c r="K1782" t="n">
        <v>0</v>
      </c>
      <c r="L1782" t="n">
        <v>3</v>
      </c>
      <c r="M1782" t="n">
        <v>2</v>
      </c>
      <c r="N1782" t="n">
        <v>0</v>
      </c>
      <c r="O1782" t="n">
        <v>3</v>
      </c>
      <c r="P1782">
        <f>HYPERLINK("https://g1.globo.com/mundo/noticia/2019/01/11/presidente-do-congresso-venezuelano-pede-apoio-para-assumir-executivo-e-convocar-eleicoes.ghtml", "URL")</f>
        <v/>
      </c>
      <c r="Q1782">
        <f>HYPERLINK("https://raw.githubusercontent.com/marcosmapl/dataset_imigrantes/main/materias_filtered/g1/venezuelanos/2019/00_jan/html/g1_d92a886e-2325-11ed-b24f-6dbe51e79fca_3937.html", "HTML")</f>
        <v/>
      </c>
      <c r="R1782">
        <f>HYPERLINK("https://raw.githubusercontent.com/marcosmapl/dataset_imigrantes/main/materias_filtered/g1/venezuelanos/2019/00_jan/txt/g1_d92a886e-2325-11ed-b24f-6dbe51e79fca_3937.txt", "TXT")</f>
        <v/>
      </c>
    </row>
    <row r="1783">
      <c r="A1783" s="1" t="n">
        <v>1781</v>
      </c>
      <c r="B1783" t="n">
        <v>2019</v>
      </c>
      <c r="C1783" s="2" t="n">
        <v>43475.73028935185</v>
      </c>
      <c r="D1783" t="inlineStr">
        <is>
          <t>A CRITICA</t>
        </is>
      </c>
      <c r="E1783" t="inlineStr">
        <is>
          <t>VENEZUELANOS</t>
        </is>
      </c>
      <c r="F1783" t="inlineStr"/>
      <c r="G1783" t="inlineStr">
        <is>
          <t>AGÊNCIA BRASIL*</t>
        </is>
      </c>
      <c r="H1783" t="inlineStr">
        <is>
          <t>MADURO ASSUME NOVO MANDATO NA VENEZUELA PROMETENDO COMBATER A CORRUPÇÃO</t>
        </is>
      </c>
      <c r="I1783" t="inlineStr">
        <is>
          <t>O MANDATO SE ESTENDERÁ ATÉ 2025. O JURAMENTO À CONSTITUIÇÃO FOI FEITO NA SUPREMA CORTE PORQUE NICOLÁS MADURO NÃO RECONHECE A ASSEMBLEIA NACIONAL, DOMINADA PELA OPOSIÇÃO</t>
        </is>
      </c>
      <c r="J1783" t="inlineStr"/>
      <c r="K1783" t="n">
        <v>0</v>
      </c>
      <c r="L1783" t="n">
        <v>1</v>
      </c>
      <c r="M1783" t="n">
        <v>0</v>
      </c>
      <c r="N1783" t="n">
        <v>0</v>
      </c>
      <c r="O1783" t="n">
        <v>0</v>
      </c>
      <c r="P1783">
        <f>HYPERLINK("https://www.acritica.com/maduro-assume-novo-mandato-na-venezuela-prometendo-combater-a-corrupc-o-1.77982", "URL")</f>
        <v/>
      </c>
      <c r="Q1783">
        <f>HYPERLINK("https://raw.githubusercontent.com/marcosmapl/dataset_imigrantes/main/materias_filtered/a_critica/venezuelanos/2019/00_jan/html/1.77982_829.html", "HTML")</f>
        <v/>
      </c>
      <c r="R1783">
        <f>HYPERLINK("https://raw.githubusercontent.com/marcosmapl/dataset_imigrantes/main/materias_filtered/a_critica/venezuelanos/2019/00_jan/txt/1.77982_829.txt", "TXT")</f>
        <v/>
      </c>
    </row>
    <row r="1784">
      <c r="A1784" s="1" t="n">
        <v>1782</v>
      </c>
      <c r="B1784" t="n">
        <v>2019</v>
      </c>
      <c r="C1784" s="2" t="n">
        <v>43475.45777393519</v>
      </c>
      <c r="D1784" t="inlineStr">
        <is>
          <t>G1</t>
        </is>
      </c>
      <c r="E1784" t="inlineStr">
        <is>
          <t>HAITIANOS</t>
        </is>
      </c>
      <c r="F1784" t="inlineStr">
        <is>
          <t>RIO GRANDE DO SUL</t>
        </is>
      </c>
      <c r="G1784" t="inlineStr">
        <is>
          <t>GREICI MATTOS, RBS TV DE CAXIAS DO SUL</t>
        </is>
      </c>
      <c r="H1784" t="inlineStr">
        <is>
          <t>HAITIANA QUE FEZ VAQUINHA PARA TRAZER FILHOS PARA O BRASIL REÚNE FAMÍLIA NO RS DEPOIS DE 5 ANOS</t>
        </is>
      </c>
      <c r="I1784" t="inlineStr">
        <is>
          <t>MONETTE ESPERANCE MORA EM CAXIAS DO SUL, NA SERRA, DESDE 2013. CRIANÇAS FICARAM COM A AVÓ NO HAITI. PARA QUE A FAMÍLIA FICASSE JUNTA NOVAMENTE, HAITIANA PRECISOU FAZER UMA VAQUINHA NA INTERNET PARA ARRECADAR DINHEIRO PARA A VIAGEM.</t>
        </is>
      </c>
      <c r="J1784" t="inlineStr"/>
      <c r="K1784" t="n">
        <v>0</v>
      </c>
      <c r="L1784" t="n">
        <v>2</v>
      </c>
      <c r="M1784" t="n">
        <v>1</v>
      </c>
      <c r="N1784" t="n">
        <v>0</v>
      </c>
      <c r="O1784" t="n">
        <v>2</v>
      </c>
      <c r="P1784">
        <f>HYPERLINK("https://g1.globo.com/rs/rio-grande-do-sul/noticia/2019/01/10/haitiana-que-fez-vaquinha-para-trazer-filhos-para-o-brasil-reune-familia-no-rs-depois-de-5-anos.ghtml", "URL")</f>
        <v/>
      </c>
      <c r="Q1784">
        <f>HYPERLINK("https://raw.githubusercontent.com/marcosmapl/dataset_imigrantes/main/materias_filtered/g1/haitianos/2019/00_jan/html/g1_1c1c9f70-230a-11ed-b24f-6dbe51e79fca_2485.html", "HTML")</f>
        <v/>
      </c>
      <c r="R1784">
        <f>HYPERLINK("https://raw.githubusercontent.com/marcosmapl/dataset_imigrantes/main/materias_filtered/g1/haitianos/2019/00_jan/txt/g1_1c1c9f70-230a-11ed-b24f-6dbe51e79fca_2485.txt", "TXT")</f>
        <v/>
      </c>
    </row>
    <row r="1785">
      <c r="A1785" s="1" t="n">
        <v>1783</v>
      </c>
      <c r="B1785" t="n">
        <v>2019</v>
      </c>
      <c r="C1785" s="2" t="n">
        <v>43475.33398087963</v>
      </c>
      <c r="D1785" t="inlineStr">
        <is>
          <t>G1</t>
        </is>
      </c>
      <c r="E1785" t="inlineStr">
        <is>
          <t>HAITIANOS</t>
        </is>
      </c>
      <c r="F1785" t="inlineStr">
        <is>
          <t>RIO GRANDE DO SUL</t>
        </is>
      </c>
      <c r="G1785" t="inlineStr">
        <is>
          <t>JOYCE HEURICH, G1 RS</t>
        </is>
      </c>
      <c r="H1785" t="inlineStr">
        <is>
          <t>BEBÊ DE CASAL HAITIANO QUE NASCEU EM CALÇADA DE PORTO ALEGRE É PRESENTEADO COM ENSAIO DE FOTOS</t>
        </is>
      </c>
      <c r="I1785" t="inlineStr">
        <is>
          <t>FOTÓGRAFA QUE COSTUMA CLICAR RECÉM-NASCIDOS OFERECEU FOTOLIVRO APÓS FICAR SABENDO DA HISTÓRIA. IMIGRANTE CHEGOU A CAMINHAR POR 40 MINUTOS EM DIREÇÃO A UM HOSPITAL, MAS NÃO CHEGOU A TEMPO E DEU À LUZ EM VIA PÚBLICA.</t>
        </is>
      </c>
      <c r="J1785" t="inlineStr"/>
      <c r="K1785" t="n">
        <v>0</v>
      </c>
      <c r="L1785" t="n">
        <v>3</v>
      </c>
      <c r="M1785" t="n">
        <v>0</v>
      </c>
      <c r="N1785" t="n">
        <v>0</v>
      </c>
      <c r="O1785" t="n">
        <v>1</v>
      </c>
      <c r="P1785">
        <f>HYPERLINK("https://g1.globo.com/rs/rio-grande-do-sul/noticia/2019/01/10/bebe-de-casal-haitiano-que-nasceu-em-calcada-de-porto-alegre-e-presenteado-com-ensaio-de-fotos.ghtml", "URL")</f>
        <v/>
      </c>
      <c r="Q1785">
        <f>HYPERLINK("https://raw.githubusercontent.com/marcosmapl/dataset_imigrantes/main/materias_filtered/g1/haitianos/2019/00_jan/html/g1_c1473394-22fa-11ed-b24f-6dbe51e79fca_2238.html", "HTML")</f>
        <v/>
      </c>
      <c r="R1785">
        <f>HYPERLINK("https://raw.githubusercontent.com/marcosmapl/dataset_imigrantes/main/materias_filtered/g1/haitianos/2019/00_jan/txt/g1_c1473394-22fa-11ed-b24f-6dbe51e79fca_2238.txt", "TXT")</f>
        <v/>
      </c>
    </row>
    <row r="1786">
      <c r="A1786" s="1" t="n">
        <v>1784</v>
      </c>
      <c r="B1786" t="n">
        <v>2019</v>
      </c>
      <c r="C1786" s="2" t="n">
        <v>43475.12708333333</v>
      </c>
      <c r="D1786" t="inlineStr">
        <is>
          <t>A CRITICA</t>
        </is>
      </c>
      <c r="E1786" t="inlineStr">
        <is>
          <t>VENEZUELANOS</t>
        </is>
      </c>
      <c r="F1786" t="inlineStr">
        <is>
          <t>MANAUS</t>
        </is>
      </c>
      <c r="G1786" t="inlineStr">
        <is>
          <t>LUIZ G. MELO</t>
        </is>
      </c>
      <c r="H1786" t="inlineStr">
        <is>
          <t>USUÁRIOS DO PORTO DE MANAUS SOFREM COM ESTRUTURA PRECÁRIA DE ESCADARIA</t>
        </is>
      </c>
      <c r="I1786" t="inlineStr">
        <is>
          <t>DAS DUAS ESCADAS QUE DÃO ACESSO À BALSA AMARELA, APENAS UMA É UTILIZADA, MESMO COM A ESTRUTURA PRECÁRIA. A OUTRA, COM UMA PARTE SEM DEGRAUS, E COMPLETAMENTE DETERIORADA, ESTÁ INUTILIZADA</t>
        </is>
      </c>
      <c r="J1786" t="inlineStr"/>
      <c r="K1786" t="n">
        <v>0</v>
      </c>
      <c r="L1786" t="n">
        <v>1</v>
      </c>
      <c r="M1786" t="n">
        <v>0</v>
      </c>
      <c r="N1786" t="n">
        <v>0</v>
      </c>
      <c r="O1786" t="n">
        <v>0</v>
      </c>
      <c r="P1786">
        <f>HYPERLINK("https://www.acritica.com/manaus/usuarios-do-porto-de-manaus-sofrem-com-estrutura-precaria-de-escadaria-1.78005", "URL")</f>
        <v/>
      </c>
      <c r="Q1786">
        <f>HYPERLINK("https://raw.githubusercontent.com/marcosmapl/dataset_imigrantes/main/materias_filtered/a_critica/venezuelanos/2019/00_jan/html/1.78005_714.html", "HTML")</f>
        <v/>
      </c>
      <c r="R1786">
        <f>HYPERLINK("https://raw.githubusercontent.com/marcosmapl/dataset_imigrantes/main/materias_filtered/a_critica/venezuelanos/2019/00_jan/txt/1.78005_714.txt", "TXT")</f>
        <v/>
      </c>
    </row>
    <row r="1787">
      <c r="A1787" s="1" t="n">
        <v>1785</v>
      </c>
      <c r="B1787" t="n">
        <v>2019</v>
      </c>
      <c r="C1787" s="2" t="n">
        <v>43474.9136249537</v>
      </c>
      <c r="D1787" t="inlineStr">
        <is>
          <t>G1</t>
        </is>
      </c>
      <c r="E1787" t="inlineStr">
        <is>
          <t>VENEZUELANOS</t>
        </is>
      </c>
      <c r="F1787" t="inlineStr">
        <is>
          <t>SERGIPE</t>
        </is>
      </c>
      <c r="G1787" t="inlineStr">
        <is>
          <t>G1 SE</t>
        </is>
      </c>
      <c r="H1787" t="inlineStr">
        <is>
          <t>GRUPO DE VENEZUELANOS RECEBE ACOLHIMENTO EM SERGIPE</t>
        </is>
      </c>
      <c r="I1787" t="inlineStr">
        <is>
          <t>FAMÍLIAS CHEGARAM AO ESTADO NESTA QUARTA-FEIRA (9).</t>
        </is>
      </c>
      <c r="J1787" t="inlineStr"/>
      <c r="K1787" t="n">
        <v>0</v>
      </c>
      <c r="L1787" t="n">
        <v>1</v>
      </c>
      <c r="M1787" t="n">
        <v>0</v>
      </c>
      <c r="N1787" t="n">
        <v>0</v>
      </c>
      <c r="O1787" t="n">
        <v>0</v>
      </c>
      <c r="P1787">
        <f>HYPERLINK("https://g1.globo.com/se/sergipe/noticia/2019/01/09/grupo-de-venezuelanos-recebe-acolhimento-em-sergipe.ghtml", "URL")</f>
        <v/>
      </c>
      <c r="Q1787">
        <f>HYPERLINK("https://raw.githubusercontent.com/marcosmapl/dataset_imigrantes/main/materias_filtered/g1/venezuelanos/2019/00_jan/html/g1_3ec20ada-2308-11ed-b24f-6dbe51e79fca_2375.html", "HTML")</f>
        <v/>
      </c>
      <c r="R1787">
        <f>HYPERLINK("https://raw.githubusercontent.com/marcosmapl/dataset_imigrantes/main/materias_filtered/g1/venezuelanos/2019/00_jan/txt/g1_3ec20ada-2308-11ed-b24f-6dbe51e79fca_2375.txt", "TXT")</f>
        <v/>
      </c>
    </row>
    <row r="1788">
      <c r="A1788" s="1" t="n">
        <v>1786</v>
      </c>
      <c r="B1788" t="n">
        <v>2019</v>
      </c>
      <c r="C1788" s="2" t="n">
        <v>43473.84097222222</v>
      </c>
      <c r="D1788" t="inlineStr">
        <is>
          <t>A CRITICA</t>
        </is>
      </c>
      <c r="E1788" t="inlineStr">
        <is>
          <t>AMBOS</t>
        </is>
      </c>
      <c r="F1788" t="inlineStr">
        <is>
          <t>MANAUS</t>
        </is>
      </c>
      <c r="G1788" t="inlineStr">
        <is>
          <t>KARLA MENDES E VITOR GAVIRATI</t>
        </is>
      </c>
      <c r="H1788" t="inlineStr">
        <is>
          <t>ÁREA OCUPADA POR INDÍGENAS NO NOVA CIDADE É SÍTIO ARQUEOLÓGICO, AFIRMA MPF</t>
        </is>
      </c>
      <c r="I1788" t="inlineStr">
        <is>
          <t>GRUPO PROTESTOU EM FRENTE À SEDE DO GOVERNO DO ESTADO CONTRA REINTEGRAÇÃO DE POSSE NESTA TERÇA-FEIRA (8). MINISTÉRIO PÚBLICO DIZ QUE OCUPAÇÃO CAUSA DANOS AO ESPAÇO</t>
        </is>
      </c>
      <c r="J1788" t="inlineStr"/>
      <c r="K1788" t="n">
        <v>0</v>
      </c>
      <c r="L1788" t="n">
        <v>1</v>
      </c>
      <c r="M1788" t="n">
        <v>0</v>
      </c>
      <c r="N1788" t="n">
        <v>0</v>
      </c>
      <c r="O1788" t="n">
        <v>1</v>
      </c>
      <c r="P1788">
        <f>HYPERLINK("https://www.acritica.com/manaus/area-ocupada-por-indigenas-no-nova-cidade-e-sitio-arqueologico-afirma-mpf-1.78123", "URL")</f>
        <v/>
      </c>
      <c r="Q1788">
        <f>HYPERLINK("https://raw.githubusercontent.com/marcosmapl/dataset_imigrantes/main/materias_filtered/a_critica/ambos/2019/00_jan/html/1.78123_580.html", "HTML")</f>
        <v/>
      </c>
      <c r="R1788">
        <f>HYPERLINK("https://raw.githubusercontent.com/marcosmapl/dataset_imigrantes/main/materias_filtered/a_critica/ambos/2019/00_jan/txt/1.78123_580.txt", "TXT")</f>
        <v/>
      </c>
    </row>
    <row r="1789">
      <c r="A1789" s="1" t="n">
        <v>1787</v>
      </c>
      <c r="B1789" t="n">
        <v>2019</v>
      </c>
      <c r="C1789" s="2" t="n">
        <v>43473.62948519676</v>
      </c>
      <c r="D1789" t="inlineStr">
        <is>
          <t>G1</t>
        </is>
      </c>
      <c r="E1789" t="inlineStr">
        <is>
          <t>VENEZUELANOS</t>
        </is>
      </c>
      <c r="F1789" t="inlineStr">
        <is>
          <t>MUNDO</t>
        </is>
      </c>
      <c r="G1789" t="inlineStr">
        <is>
          <t>G1</t>
        </is>
      </c>
      <c r="H1789" t="inlineStr">
        <is>
          <t>EUA ANUNCIAM NOVAS SANÇÕES CONTRA VENEZUELANOS</t>
        </is>
      </c>
      <c r="I1789" t="inlineStr">
        <is>
          <t>REDE DE TV GLOBOVISIÓN ESTÁ ENTRE AS 23 ORGANIZAÇÕES SANCIONADAS. SETE INDIVÍDUOS TAMBÉM FORAM ALVO.</t>
        </is>
      </c>
      <c r="J1789" t="inlineStr"/>
      <c r="K1789" t="n">
        <v>0</v>
      </c>
      <c r="L1789" t="n">
        <v>0</v>
      </c>
      <c r="M1789" t="n">
        <v>0</v>
      </c>
      <c r="N1789" t="n">
        <v>0</v>
      </c>
      <c r="O1789" t="n">
        <v>4</v>
      </c>
      <c r="P1789">
        <f>HYPERLINK("https://g1.globo.com/mundo/noticia/2019/01/08/eua-anunciam-novas-sancoes-contra-venezuelanos.ghtml", "URL")</f>
        <v/>
      </c>
      <c r="Q1789">
        <f>HYPERLINK("https://raw.githubusercontent.com/marcosmapl/dataset_imigrantes/main/materias_filtered/g1/venezuelanos/2019/00_jan/html/g1_3c84f7a8-2319-11ed-b24f-6dbe51e79fca_3304.html", "HTML")</f>
        <v/>
      </c>
      <c r="R1789">
        <f>HYPERLINK("https://raw.githubusercontent.com/marcosmapl/dataset_imigrantes/main/materias_filtered/g1/venezuelanos/2019/00_jan/txt/g1_3c84f7a8-2319-11ed-b24f-6dbe51e79fca_3304.txt", "TXT")</f>
        <v/>
      </c>
    </row>
    <row r="1790">
      <c r="A1790" s="1" t="n">
        <v>1788</v>
      </c>
      <c r="B1790" t="n">
        <v>2019</v>
      </c>
      <c r="C1790" s="2" t="n">
        <v>43473.59236111111</v>
      </c>
      <c r="D1790" t="inlineStr">
        <is>
          <t>A CRITICA</t>
        </is>
      </c>
      <c r="E1790" t="inlineStr">
        <is>
          <t>AMBOS</t>
        </is>
      </c>
      <c r="F1790" t="inlineStr">
        <is>
          <t>MANAUS</t>
        </is>
      </c>
      <c r="G1790" t="inlineStr">
        <is>
          <t>KARLA MENDES</t>
        </is>
      </c>
      <c r="H1790" t="inlineStr">
        <is>
          <t>INDÍGENAS FAZEM PROTESTO CONTRA REINTEGRAÇÃO DE POSSE EM SÍTIO ARQUEOLÓGICO</t>
        </is>
      </c>
      <c r="I1790" t="inlineStr">
        <is>
          <t>ELES PROTESTARAM EM FRENTE À SEDE DO GOVERNO CONTRA UMA NOTIFICAÇÃO DO MINISTÉRIO PÚBLICO FEDERAL QUE, SEGUNDO ELES, DETERMINA A REINTEGRAÇÃO DE POSSE DE UM TERRENO CHAMADO DE “CEMITÉRIO INDÍGENA”</t>
        </is>
      </c>
      <c r="J1790" t="inlineStr"/>
      <c r="K1790" t="n">
        <v>0</v>
      </c>
      <c r="L1790" t="n">
        <v>1</v>
      </c>
      <c r="M1790" t="n">
        <v>0</v>
      </c>
      <c r="N1790" t="n">
        <v>0</v>
      </c>
      <c r="O1790" t="n">
        <v>1</v>
      </c>
      <c r="P1790">
        <f>HYPERLINK("https://www.acritica.com/manaus/indigenas-fazem-protesto-contra-reintegrac-o-de-posse-em-sitio-arqueologico-1.79094", "URL")</f>
        <v/>
      </c>
      <c r="Q1790">
        <f>HYPERLINK("https://raw.githubusercontent.com/marcosmapl/dataset_imigrantes/main/materias_filtered/a_critica/ambos/2019/00_jan/html/1.79094_124.html", "HTML")</f>
        <v/>
      </c>
      <c r="R1790">
        <f>HYPERLINK("https://raw.githubusercontent.com/marcosmapl/dataset_imigrantes/main/materias_filtered/a_critica/ambos/2019/00_jan/txt/1.79094_124.txt", "TXT")</f>
        <v/>
      </c>
    </row>
    <row r="1791">
      <c r="A1791" s="1" t="n">
        <v>1789</v>
      </c>
      <c r="B1791" t="n">
        <v>2019</v>
      </c>
      <c r="C1791" s="2" t="n">
        <v>43472.77143422454</v>
      </c>
      <c r="D1791" t="inlineStr">
        <is>
          <t>G1</t>
        </is>
      </c>
      <c r="E1791" t="inlineStr">
        <is>
          <t>HAITIANOS</t>
        </is>
      </c>
      <c r="F1791" t="inlineStr">
        <is>
          <t>MATO GROSSO</t>
        </is>
      </c>
      <c r="G1791" t="inlineStr">
        <is>
          <t>BRUNO BORTOLOZO, TV CENTRO AMÉRICA</t>
        </is>
      </c>
      <c r="H1791" t="inlineStr">
        <is>
          <t>CAMINHONEIRO É DETIDO EM MT POR XINGAR HAITIANOS DE 'VAGABUNDOS' E 'VIADOS' E DIZER QUE SERÃO EXPULSOS DO PAÍS, DIZ POLÍCIA</t>
        </is>
      </c>
      <c r="I1791" t="inlineStr">
        <is>
          <t>TESTEMUNHAS DISSERAM À POLÍCIA QUE OS ESTRANGEIROS ESTAVAM PASSANDO PELA RUA QUANDO O HOMEM COMEÇOU A XINGÁ-LOS E DIZER QUE NÃO DEVERIAM ESTAR NO BRASIL.</t>
        </is>
      </c>
      <c r="J1791" t="inlineStr"/>
      <c r="K1791" t="n">
        <v>0</v>
      </c>
      <c r="L1791" t="n">
        <v>1</v>
      </c>
      <c r="M1791" t="n">
        <v>0</v>
      </c>
      <c r="N1791" t="n">
        <v>0</v>
      </c>
      <c r="O1791" t="n">
        <v>0</v>
      </c>
      <c r="P1791">
        <f>HYPERLINK("https://g1.globo.com/mt/mato-grosso/noticia/2019/01/07/caminhoneiro-e-detido-em-mt-por-xingar-haitianos-de-vagabundos-e-viados-e-dizer-que-serao-expulsos-do-pais-diz-policia.ghtml", "URL")</f>
        <v/>
      </c>
      <c r="Q1791">
        <f>HYPERLINK("https://raw.githubusercontent.com/marcosmapl/dataset_imigrantes/main/materias_filtered/g1/haitianos/2019/00_jan/html/g1_455cc3cc-22f3-11ed-b24f-6dbe51e79fca_1833.html", "HTML")</f>
        <v/>
      </c>
      <c r="R1791">
        <f>HYPERLINK("https://raw.githubusercontent.com/marcosmapl/dataset_imigrantes/main/materias_filtered/g1/haitianos/2019/00_jan/txt/g1_455cc3cc-22f3-11ed-b24f-6dbe51e79fca_1833.txt", "TXT")</f>
        <v/>
      </c>
    </row>
    <row r="1792">
      <c r="A1792" s="1" t="n">
        <v>1790</v>
      </c>
      <c r="B1792" t="n">
        <v>2019</v>
      </c>
      <c r="C1792" s="2" t="n">
        <v>43471.54210648148</v>
      </c>
      <c r="D1792" t="inlineStr">
        <is>
          <t>A CRITICA</t>
        </is>
      </c>
      <c r="E1792" t="inlineStr">
        <is>
          <t>VENEZUELANOS</t>
        </is>
      </c>
      <c r="F1792" t="inlineStr"/>
      <c r="G1792" t="inlineStr">
        <is>
          <t>AGÊNCIA BRASIL</t>
        </is>
      </c>
      <c r="H1792" t="inlineStr">
        <is>
          <t>ASSEMBLEIA NACIONAL QUER EVITAR MAIS UM MANDATO DE MADURO NA VENEZUELA</t>
        </is>
      </c>
      <c r="I1792" t="inlineStr">
        <is>
          <t>A POSSE DE NICOLÁS MADURO ESTÁ MARCADA PARA A PRÓXIMA QUINTA-FEIRA (10). O NOVO PRESIDENTE DA ASSEMBLEIA NACIONAL VAI ATUAR PARA IMPEDIR</t>
        </is>
      </c>
      <c r="J1792" t="inlineStr"/>
      <c r="K1792" t="n">
        <v>0</v>
      </c>
      <c r="L1792" t="n">
        <v>1</v>
      </c>
      <c r="M1792" t="n">
        <v>0</v>
      </c>
      <c r="N1792" t="n">
        <v>0</v>
      </c>
      <c r="O1792" t="n">
        <v>0</v>
      </c>
      <c r="P1792">
        <f>HYPERLINK("https://www.acritica.com/assembleia-nacional-quer-evitar-mais-um-mandato-de-maduro-na-venezuela-1.79351", "URL")</f>
        <v/>
      </c>
      <c r="Q1792">
        <f>HYPERLINK("https://raw.githubusercontent.com/marcosmapl/dataset_imigrantes/main/materias_filtered/a_critica/venezuelanos/2019/00_jan/html/1.79351_202.html", "HTML")</f>
        <v/>
      </c>
      <c r="R1792">
        <f>HYPERLINK("https://raw.githubusercontent.com/marcosmapl/dataset_imigrantes/main/materias_filtered/a_critica/venezuelanos/2019/00_jan/txt/1.79351_202.txt", "TXT")</f>
        <v/>
      </c>
    </row>
    <row r="1793">
      <c r="A1793" s="1" t="n">
        <v>1791</v>
      </c>
      <c r="B1793" t="n">
        <v>2019</v>
      </c>
      <c r="C1793" s="2" t="n">
        <v>43470.73350450231</v>
      </c>
      <c r="D1793" t="inlineStr">
        <is>
          <t>G1</t>
        </is>
      </c>
      <c r="E1793" t="inlineStr">
        <is>
          <t>VENEZUELANOS</t>
        </is>
      </c>
      <c r="F1793" t="inlineStr">
        <is>
          <t>MUNDO</t>
        </is>
      </c>
      <c r="G1793" t="inlineStr">
        <is>
          <t>FRANCE PRESSE</t>
        </is>
      </c>
      <c r="H1793" t="inlineStr">
        <is>
          <t>PARLAMENTO VENEZUELANO REJEITA LEGITIMIDADE DE 2º MANDATO DE MADURO</t>
        </is>
      </c>
      <c r="I1793" t="inlineStr">
        <is>
          <t>NOVO CHEFE DO PARLAMENTO TOMOU POSSE NESTE SÁBADO (5) E DISCURSOU CONTRA O PRESIDENTE REELEITO. NOVO MANDATO COMEÇA NA QUINTA-FEIRA (10).</t>
        </is>
      </c>
      <c r="J1793" t="inlineStr"/>
      <c r="K1793" t="n">
        <v>0</v>
      </c>
      <c r="L1793" t="n">
        <v>1</v>
      </c>
      <c r="M1793" t="n">
        <v>0</v>
      </c>
      <c r="N1793" t="n">
        <v>0</v>
      </c>
      <c r="O1793" t="n">
        <v>3</v>
      </c>
      <c r="P1793">
        <f>HYPERLINK("https://g1.globo.com/mundo/noticia/2019/01/05/parlamento-venezuelano-rejeita-legitimidade-de-2o-mandato-de-maduro.ghtml", "URL")</f>
        <v/>
      </c>
      <c r="Q1793">
        <f>HYPERLINK("https://raw.githubusercontent.com/marcosmapl/dataset_imigrantes/main/materias_filtered/g1/venezuelanos/2019/00_jan/html/g1_364abdba-231d-11ed-b24f-6dbe51e79fca_3489.html", "HTML")</f>
        <v/>
      </c>
      <c r="R1793">
        <f>HYPERLINK("https://raw.githubusercontent.com/marcosmapl/dataset_imigrantes/main/materias_filtered/g1/venezuelanos/2019/00_jan/txt/g1_364abdba-231d-11ed-b24f-6dbe51e79fca_3489.txt", "TXT")</f>
        <v/>
      </c>
    </row>
    <row r="1794">
      <c r="A1794" s="1" t="n">
        <v>1792</v>
      </c>
      <c r="B1794" t="n">
        <v>2019</v>
      </c>
      <c r="C1794" s="2" t="n">
        <v>43470.70069444444</v>
      </c>
      <c r="D1794" t="inlineStr">
        <is>
          <t>A CRITICA</t>
        </is>
      </c>
      <c r="E1794" t="inlineStr">
        <is>
          <t>VENEZUELANOS</t>
        </is>
      </c>
      <c r="F1794" t="inlineStr">
        <is>
          <t>MANAUS</t>
        </is>
      </c>
      <c r="G1794" t="inlineStr">
        <is>
          <t>ACRÍTICA.COM</t>
        </is>
      </c>
      <c r="H1794" t="inlineStr">
        <is>
          <t>POLÍCIA DIVULGA RETRATO FALADO DE VENEZUELANA PARA ESCLARECER DESAPARECIMENTO DE JOVEM</t>
        </is>
      </c>
      <c r="I1794" t="inlineStr">
        <is>
          <t>O ADOLESCENTE RAYNER VINICIUS, DE 15 ANOS, SUMIU NO DIA 16 DE DEZEMBRO DE 2018 APÓS DIZER PARA A MÃE QUE IRIA FAZER CAMINHADA NA PONTA NEGRA</t>
        </is>
      </c>
      <c r="J1794" t="inlineStr"/>
      <c r="K1794" t="n">
        <v>0</v>
      </c>
      <c r="L1794" t="n">
        <v>1</v>
      </c>
      <c r="M1794" t="n">
        <v>0</v>
      </c>
      <c r="N1794" t="n">
        <v>0</v>
      </c>
      <c r="O1794" t="n">
        <v>0</v>
      </c>
      <c r="P1794">
        <f>HYPERLINK("https://www.acritica.com/manaus/policia-divulga-retrato-falado-de-venezuelana-para-esclarecer-desaparecimento-de-jovem-1.79412", "URL")</f>
        <v/>
      </c>
      <c r="Q1794">
        <f>HYPERLINK("https://raw.githubusercontent.com/marcosmapl/dataset_imigrantes/main/materias_filtered/a_critica/venezuelanos/2019/00_jan/html/1.79412_16.html", "HTML")</f>
        <v/>
      </c>
      <c r="R1794">
        <f>HYPERLINK("https://raw.githubusercontent.com/marcosmapl/dataset_imigrantes/main/materias_filtered/a_critica/venezuelanos/2019/00_jan/txt/1.79412_16.txt", "TXT")</f>
        <v/>
      </c>
    </row>
    <row r="1795">
      <c r="A1795" s="1" t="n">
        <v>1793</v>
      </c>
      <c r="B1795" t="n">
        <v>2019</v>
      </c>
      <c r="C1795" s="2" t="n">
        <v>43470.52745092593</v>
      </c>
      <c r="D1795" t="inlineStr">
        <is>
          <t>G1</t>
        </is>
      </c>
      <c r="E1795" t="inlineStr">
        <is>
          <t>VENEZUELANOS</t>
        </is>
      </c>
      <c r="F1795" t="inlineStr">
        <is>
          <t>MUNDO</t>
        </is>
      </c>
      <c r="G1795" t="inlineStr">
        <is>
          <t>FRANCE PRESSE</t>
        </is>
      </c>
      <c r="H1795" t="inlineStr">
        <is>
          <t>PARLAMENTO VENEZUELANO VAI DECLARAR ILEGÍTIMO NOVO MANDATO DE MADURO</t>
        </is>
      </c>
      <c r="I1795" t="inlineStr">
        <is>
          <t>ASSEMBLEIA NACIONAL DEVE ROTULAR MADURO DE "USURPADOR". NA SEXTA-FEIRA, GRUPO DE LIMA DISSE QUE NÃO VAI RECONHECER GOVERNO VENEZUELANO.</t>
        </is>
      </c>
      <c r="J1795" t="inlineStr"/>
      <c r="K1795" t="n">
        <v>0</v>
      </c>
      <c r="L1795" t="n">
        <v>1</v>
      </c>
      <c r="M1795" t="n">
        <v>0</v>
      </c>
      <c r="N1795" t="n">
        <v>0</v>
      </c>
      <c r="O1795" t="n">
        <v>1</v>
      </c>
      <c r="P1795">
        <f>HYPERLINK("https://g1.globo.com/mundo/noticia/2019/01/05/parlamento-venezuelano-declarara-novo-mandato-de-maduro-ilegitimo.ghtml", "URL")</f>
        <v/>
      </c>
      <c r="Q1795">
        <f>HYPERLINK("https://raw.githubusercontent.com/marcosmapl/dataset_imigrantes/main/materias_filtered/g1/venezuelanos/2019/00_jan/html/g1_d0cfabb8-2307-11ed-b24f-6dbe51e79fca_2344.html", "HTML")</f>
        <v/>
      </c>
      <c r="R1795">
        <f>HYPERLINK("https://raw.githubusercontent.com/marcosmapl/dataset_imigrantes/main/materias_filtered/g1/venezuelanos/2019/00_jan/txt/g1_d0cfabb8-2307-11ed-b24f-6dbe51e79fca_2344.txt", "TXT")</f>
        <v/>
      </c>
    </row>
    <row r="1796">
      <c r="A1796" s="1" t="n">
        <v>1794</v>
      </c>
      <c r="B1796" t="n">
        <v>2019</v>
      </c>
      <c r="C1796" s="2" t="n">
        <v>43469.85</v>
      </c>
      <c r="D1796" t="inlineStr">
        <is>
          <t>A CRITICA</t>
        </is>
      </c>
      <c r="E1796" t="inlineStr">
        <is>
          <t>VENEZUELANOS</t>
        </is>
      </c>
      <c r="F1796" t="inlineStr">
        <is>
          <t>MANAUS</t>
        </is>
      </c>
      <c r="G1796" t="inlineStr">
        <is>
          <t>KARLA MENDES</t>
        </is>
      </c>
      <c r="H1796" t="inlineStr">
        <is>
          <t>AMBIENTALISTA VENEZUELANO BUSCA REFÚGIO E TRATAMENTO CONTRA LEUCEMIA EM MANAUS</t>
        </is>
      </c>
      <c r="I1796" t="inlineStr">
        <is>
          <t>JOAN GUTIERREZ CONTA QUE CHEGOU A CAMINHAR CERCA DE 107 QUILÔMETROS DE PRESIDENTE FIGUEIREDO À CIDADE MANAUS EM BUSCA DE AUXÍLIO</t>
        </is>
      </c>
      <c r="J1796" t="inlineStr"/>
      <c r="K1796" t="n">
        <v>0</v>
      </c>
      <c r="L1796" t="n">
        <v>1</v>
      </c>
      <c r="M1796" t="n">
        <v>0</v>
      </c>
      <c r="N1796" t="n">
        <v>0</v>
      </c>
      <c r="O1796" t="n">
        <v>0</v>
      </c>
      <c r="P1796">
        <f>HYPERLINK("https://www.acritica.com/manaus/ambientalista-venezuelano-busca-refugio-e-tratamento-contra-leucemia-em-manaus-1.79487", "URL")</f>
        <v/>
      </c>
      <c r="Q1796">
        <f>HYPERLINK("https://raw.githubusercontent.com/marcosmapl/dataset_imigrantes/main/materias_filtered/a_critica/venezuelanos/2019/00_jan/html/1.79487_115.html", "HTML")</f>
        <v/>
      </c>
      <c r="R1796">
        <f>HYPERLINK("https://raw.githubusercontent.com/marcosmapl/dataset_imigrantes/main/materias_filtered/a_critica/venezuelanos/2019/00_jan/txt/1.79487_115.txt", "TXT")</f>
        <v/>
      </c>
    </row>
    <row r="1797">
      <c r="A1797" s="1" t="n">
        <v>1795</v>
      </c>
      <c r="B1797" t="n">
        <v>2019</v>
      </c>
      <c r="C1797" s="2" t="n">
        <v>43468.64097222222</v>
      </c>
      <c r="D1797" t="inlineStr">
        <is>
          <t>A CRITICA</t>
        </is>
      </c>
      <c r="E1797" t="inlineStr">
        <is>
          <t>VENEZUELANOS</t>
        </is>
      </c>
      <c r="F1797" t="inlineStr">
        <is>
          <t>POLICIA</t>
        </is>
      </c>
      <c r="G1797" t="inlineStr">
        <is>
          <t>FÁBIO OLIVEIRA</t>
        </is>
      </c>
      <c r="H1797" t="inlineStr">
        <is>
          <t>MENINA VENEZUELANA DE 10 ANOS É ESTUPRADA EM MANAUS; SUSPEITO É O PADRASTO DELA</t>
        </is>
      </c>
      <c r="I1797" t="inlineStr">
        <is>
          <t>SEGUNDO A POLÍCIA, A MÃE DA MENINA PRESENCIOU O CRIME E ACIONOU A PM. O SUSPEITO FUGIU E ESTÁ SENDO PROCURADO</t>
        </is>
      </c>
      <c r="J1797" t="inlineStr"/>
      <c r="K1797" t="n">
        <v>0</v>
      </c>
      <c r="L1797" t="n">
        <v>1</v>
      </c>
      <c r="M1797" t="n">
        <v>0</v>
      </c>
      <c r="N1797" t="n">
        <v>0</v>
      </c>
      <c r="O1797" t="n">
        <v>0</v>
      </c>
      <c r="P1797">
        <f>HYPERLINK("https://www.acritica.com/policia/menina-venezuelana-de-10-anos-e-estuprada-em-manaus-suspeito-e-o-padrasto-dela-1.78191", "URL")</f>
        <v/>
      </c>
      <c r="Q1797">
        <f>HYPERLINK("https://raw.githubusercontent.com/marcosmapl/dataset_imigrantes/main/materias_filtered/a_critica/venezuelanos/2019/00_jan/html/1.78191_265.html", "HTML")</f>
        <v/>
      </c>
      <c r="R1797">
        <f>HYPERLINK("https://raw.githubusercontent.com/marcosmapl/dataset_imigrantes/main/materias_filtered/a_critica/venezuelanos/2019/00_jan/txt/1.78191_265.txt", "TXT")</f>
        <v/>
      </c>
    </row>
    <row r="1798">
      <c r="A1798" s="1" t="n">
        <v>1796</v>
      </c>
      <c r="B1798" t="n">
        <v>2019</v>
      </c>
      <c r="C1798" s="2" t="n">
        <v>43468.61135145833</v>
      </c>
      <c r="D1798" t="inlineStr">
        <is>
          <t>G1</t>
        </is>
      </c>
      <c r="E1798" t="inlineStr">
        <is>
          <t>VENEZUELANOS</t>
        </is>
      </c>
      <c r="F1798" t="inlineStr">
        <is>
          <t>AMAZONAS</t>
        </is>
      </c>
      <c r="G1798" t="inlineStr">
        <is>
          <t>PATRICK MARQUES, G1 AM</t>
        </is>
      </c>
      <c r="H1798" t="inlineStr">
        <is>
          <t>MÃE DENUNCIA EX-COMPANHEIRO POR ESTUPRAR FILHA VENEZUELANA DE 10 ANOS, EM MANAUS</t>
        </is>
      </c>
      <c r="I1798" t="inlineStr">
        <is>
          <t>DELEGACIA DE PROTEÇAO À CRIANÇA INVESTIGA BRASILEIRO QUE ESTÁ FORAGIDO. CASO OCORREU NO DIA 1º DESTE ANO.</t>
        </is>
      </c>
      <c r="J1798" t="inlineStr"/>
      <c r="K1798" t="n">
        <v>0</v>
      </c>
      <c r="L1798" t="n">
        <v>1</v>
      </c>
      <c r="M1798" t="n">
        <v>0</v>
      </c>
      <c r="N1798" t="n">
        <v>0</v>
      </c>
      <c r="O1798" t="n">
        <v>0</v>
      </c>
      <c r="P1798">
        <f>HYPERLINK("https://g1.globo.com/am/amazonas/noticia/2019/01/03/mae-denuncia-ex-companheiro-por-estuprar-filha-venezuelana-de-10-anos-em-manaus.ghtml", "URL")</f>
        <v/>
      </c>
      <c r="Q1798">
        <f>HYPERLINK("https://raw.githubusercontent.com/marcosmapl/dataset_imigrantes/main/materias_filtered/g1/venezuelanos/2019/00_jan/html/g1_61dba0ec-231e-11ed-b24f-6dbe51e79fca_3558.html", "HTML")</f>
        <v/>
      </c>
      <c r="R1798">
        <f>HYPERLINK("https://raw.githubusercontent.com/marcosmapl/dataset_imigrantes/main/materias_filtered/g1/venezuelanos/2019/00_jan/txt/g1_61dba0ec-231e-11ed-b24f-6dbe51e79fca_3558.txt", "TXT")</f>
        <v/>
      </c>
    </row>
    <row r="1799">
      <c r="A1799" s="1" t="n">
        <v>1797</v>
      </c>
      <c r="B1799" t="n">
        <v>2019</v>
      </c>
      <c r="C1799" s="2" t="n">
        <v>43468.60069444445</v>
      </c>
      <c r="D1799" t="inlineStr">
        <is>
          <t>PORTAL AMAZONIA</t>
        </is>
      </c>
      <c r="E1799" t="inlineStr">
        <is>
          <t>VENEZUELANOS</t>
        </is>
      </c>
      <c r="F1799" t="inlineStr">
        <is>
          <t>CIDADES</t>
        </is>
      </c>
      <c r="G1799" t="inlineStr">
        <is>
          <t>REDAÇÃO</t>
        </is>
      </c>
      <c r="H1799" t="inlineStr">
        <is>
          <t>CRISE ECONÔMICA: RORAIMA DECRETA ESTADO DE CALAMIDADE FINANCEIRA</t>
        </is>
      </c>
      <c r="I1799" t="inlineStr">
        <is>
          <t>O GOVERNADOR ANTONIO DENARIUM (PSL) DECRETOU ESTADO DE CALAMIDADE FINANCEIRA EM RORAIMA, POR CONTA DA CRISE ECONÔMICA QUE O ESTADO ENFRENTA. O DECRETO DE CALAMIDADE FOI DISPONIBILIZADO NESSA QUARTA (2), NO DIÁRIO OFICIAL, MAS DATA DE SEXTA-FEIRA (28)</t>
        </is>
      </c>
      <c r="J1799" t="inlineStr">
        <is>
          <t>CALAMIDADE FINANCEIRA, CRISE ECONÔMICA, RORAIMA</t>
        </is>
      </c>
      <c r="K1799" t="n">
        <v>3</v>
      </c>
      <c r="L1799" t="n">
        <v>2</v>
      </c>
      <c r="M1799" t="n">
        <v>0</v>
      </c>
      <c r="N1799" t="n">
        <v>0</v>
      </c>
      <c r="O1799" t="n">
        <v>8</v>
      </c>
      <c r="P1799">
        <f>HYPERLINK("https://portalamazonia.com/noticias/cidades/crise-economica-roraima-decreta-estado-de-calamidade-financeira", "URL")</f>
        <v/>
      </c>
      <c r="Q1799">
        <f>HYPERLINK("https://raw.githubusercontent.com/marcosmapl/dataset_imigrantes/main/materias_filtered/portal_amazonia/venezuelanos/2019/00_jan/html/16667.16667_1494.html", "HTML")</f>
        <v/>
      </c>
      <c r="R1799">
        <f>HYPERLINK("https://raw.githubusercontent.com/marcosmapl/dataset_imigrantes/main/materias_filtered/portal_amazonia/venezuelanos/2019/00_jan/txt/16667.16667_1494.txt", "TXT")</f>
        <v/>
      </c>
    </row>
    <row r="1800">
      <c r="A1800" s="1" t="n">
        <v>1798</v>
      </c>
      <c r="B1800" t="n">
        <v>2019</v>
      </c>
      <c r="C1800" s="2" t="n">
        <v>43466.92361111111</v>
      </c>
      <c r="D1800" t="inlineStr">
        <is>
          <t>A CRITICA</t>
        </is>
      </c>
      <c r="E1800" t="inlineStr">
        <is>
          <t>VENEZUELANOS</t>
        </is>
      </c>
      <c r="F1800" t="inlineStr">
        <is>
          <t>ESPORTES</t>
        </is>
      </c>
      <c r="G1800" t="inlineStr">
        <is>
          <t>VALTER CARDOSO</t>
        </is>
      </c>
      <c r="H1800" t="inlineStr">
        <is>
          <t>IRANDUBA DEVE INICIAR 2019 COM MAIS DOIS REFORÇOS INTERNACIONAIS</t>
        </is>
      </c>
      <c r="I1800" t="inlineStr">
        <is>
          <t>IRANDUBA ANUNCIOU A CONTRATAÇÃO DA MEIA COLOMBIANA YORELI RINCÓN NO ÚLTIMO DIA DE 2018 E DEVE APRESENTAR NOVOS REFORÇOS INTERNACIONAIS NOS PRÓXIMOS DIAS DE 2019.</t>
        </is>
      </c>
      <c r="J1800" t="inlineStr"/>
      <c r="K1800" t="n">
        <v>0</v>
      </c>
      <c r="L1800" t="n">
        <v>1</v>
      </c>
      <c r="M1800" t="n">
        <v>0</v>
      </c>
      <c r="N1800" t="n">
        <v>0</v>
      </c>
      <c r="O1800" t="n">
        <v>0</v>
      </c>
      <c r="P1800">
        <f>HYPERLINK("https://www.acritica.com/esportes/iranduba-deve-iniciar-2019-com-mais-dois-reforcos-internacionais-1.79821", "URL")</f>
        <v/>
      </c>
      <c r="Q1800">
        <f>HYPERLINK("https://raw.githubusercontent.com/marcosmapl/dataset_imigrantes/main/materias_filtered/a_critica/venezuelanos/2019/00_jan/html/1.79821_1034.html", "HTML")</f>
        <v/>
      </c>
      <c r="R1800">
        <f>HYPERLINK("https://raw.githubusercontent.com/marcosmapl/dataset_imigrantes/main/materias_filtered/a_critica/venezuelanos/2019/00_jan/txt/1.79821_1034.txt", "TXT")</f>
        <v/>
      </c>
    </row>
    <row r="1801">
      <c r="A1801" s="1" t="n">
        <v>1799</v>
      </c>
      <c r="B1801" t="n">
        <v>2018</v>
      </c>
      <c r="C1801" s="2" t="n">
        <v>43465.77013888889</v>
      </c>
      <c r="D1801" t="inlineStr">
        <is>
          <t>A CRITICA</t>
        </is>
      </c>
      <c r="E1801" t="inlineStr">
        <is>
          <t>VENEZUELANOS</t>
        </is>
      </c>
      <c r="F1801" t="inlineStr">
        <is>
          <t>MANAUS</t>
        </is>
      </c>
      <c r="G1801" t="inlineStr">
        <is>
          <t>LÍVIA ANSELMO</t>
        </is>
      </c>
      <c r="H1801" t="inlineStr">
        <is>
          <t>VENEZUELANOS: SEMÁFOROS E PEDIDOS DE EMPREGO SÃO ESTRATÉGIAS DE SOBREVIVÊNCIA</t>
        </is>
      </c>
      <c r="I1801" t="inlineStr">
        <is>
          <t>PEGANDO CHUVA E SOL, REFUGIADOS DO PAÍS VIZINHO APELAM PARA A COMPAIXÃO EM BUSCA DE NOVAS OPORTUNIDADES E DE UMA ESPERANÇA DE VIDA DIFERENTE PARA 2019</t>
        </is>
      </c>
      <c r="J1801" t="inlineStr"/>
      <c r="K1801" t="n">
        <v>0</v>
      </c>
      <c r="L1801" t="n">
        <v>1</v>
      </c>
      <c r="M1801" t="n">
        <v>0</v>
      </c>
      <c r="N1801" t="n">
        <v>0</v>
      </c>
      <c r="O1801" t="n">
        <v>0</v>
      </c>
      <c r="P1801">
        <f>HYPERLINK("https://www.acritica.com/manaus/venezuelanos-semaforos-e-pedidos-de-emprego-s-o-estrategias-de-sobrevivencia-1.78274", "URL")</f>
        <v/>
      </c>
      <c r="Q1801">
        <f>HYPERLINK("https://raw.githubusercontent.com/marcosmapl/dataset_imigrantes/main/materias_filtered/a_critica/venezuelanos/2018/11_dez/html/1.78274_1384.html", "HTML")</f>
        <v/>
      </c>
      <c r="R1801">
        <f>HYPERLINK("https://raw.githubusercontent.com/marcosmapl/dataset_imigrantes/main/materias_filtered/a_critica/venezuelanos/2018/11_dez/txt/1.78274_1384.txt", "TXT")</f>
        <v/>
      </c>
    </row>
    <row r="1802">
      <c r="A1802" s="1" t="n">
        <v>1800</v>
      </c>
      <c r="B1802" t="n">
        <v>2018</v>
      </c>
      <c r="C1802" s="2" t="n">
        <v>43462.67422453704</v>
      </c>
      <c r="D1802" t="inlineStr">
        <is>
          <t>A CRITICA</t>
        </is>
      </c>
      <c r="E1802" t="inlineStr">
        <is>
          <t>VENEZUELANOS</t>
        </is>
      </c>
      <c r="F1802" t="inlineStr"/>
      <c r="G1802" t="inlineStr">
        <is>
          <t>LETYCIA BOND (AGÊNCIA BRASIL)</t>
        </is>
      </c>
      <c r="H1802" t="inlineStr">
        <is>
          <t>BRASIL E ACNUR RENOVAM POR MAIS UM ANO ACORDO QUE GARANTE DIREITOS A VENEZUELANOS</t>
        </is>
      </c>
      <c r="I1802" t="inlineStr">
        <is>
          <t>DURANTE O PRÓXIMO SEMESTRE, PREFEITURAS DE CIDADES QUE ACOLHEM REFUGIADOS E IMIGRANTES VENEZUELANOS RECEBERÃO R$ 400 MENSAIS POR CADA PESSOA ASSISTIDA</t>
        </is>
      </c>
      <c r="J1802" t="inlineStr"/>
      <c r="K1802" t="n">
        <v>0</v>
      </c>
      <c r="L1802" t="n">
        <v>1</v>
      </c>
      <c r="M1802" t="n">
        <v>0</v>
      </c>
      <c r="N1802" t="n">
        <v>0</v>
      </c>
      <c r="O1802" t="n">
        <v>0</v>
      </c>
      <c r="P1802">
        <f>HYPERLINK("https://www.acritica.com/brasil-e-acnur-renovam-por-mais-um-ano-acordo-que-garante-direitos-a-venezuelanos-1.80185", "URL")</f>
        <v/>
      </c>
      <c r="Q1802">
        <f>HYPERLINK("https://raw.githubusercontent.com/marcosmapl/dataset_imigrantes/main/materias_filtered/a_critica/venezuelanos/2018/11_dez/html/1.80185_23.html", "HTML")</f>
        <v/>
      </c>
      <c r="R1802">
        <f>HYPERLINK("https://raw.githubusercontent.com/marcosmapl/dataset_imigrantes/main/materias_filtered/a_critica/venezuelanos/2018/11_dez/txt/1.80185_23.txt", "TXT")</f>
        <v/>
      </c>
    </row>
    <row r="1803">
      <c r="A1803" s="1" t="n">
        <v>1801</v>
      </c>
      <c r="B1803" t="n">
        <v>2018</v>
      </c>
      <c r="C1803" s="2" t="n">
        <v>43461.4875</v>
      </c>
      <c r="D1803" t="inlineStr">
        <is>
          <t>A CRITICA</t>
        </is>
      </c>
      <c r="E1803" t="inlineStr">
        <is>
          <t>VENEZUELANOS</t>
        </is>
      </c>
      <c r="F1803" t="inlineStr"/>
      <c r="G1803" t="inlineStr">
        <is>
          <t>AGÊNCIA BRASIL</t>
        </is>
      </c>
      <c r="H1803" t="inlineStr">
        <is>
          <t>TERREMOTO DE MAGNITUDE 4,9 E PROFUNDIDADE DE 9,4 QUILÔMETROS ATINGE A VENEZUELA</t>
        </is>
      </c>
      <c r="I1803" t="inlineStr">
        <is>
          <t>NAS REDES SOCIAIS, HÁ VÁRIOS RELATOS SOBRE OS TREMORES EM TORNO DE CARACAS, A CAPITAL, E TAMBÉM NAS REGIÕES DE ARAGUA, CARABOBO, MIRANDA E VARGAS</t>
        </is>
      </c>
      <c r="J1803" t="inlineStr"/>
      <c r="K1803" t="n">
        <v>0</v>
      </c>
      <c r="L1803" t="n">
        <v>1</v>
      </c>
      <c r="M1803" t="n">
        <v>0</v>
      </c>
      <c r="N1803" t="n">
        <v>0</v>
      </c>
      <c r="O1803" t="n">
        <v>0</v>
      </c>
      <c r="P1803">
        <f>HYPERLINK("https://www.acritica.com/terremoto-de-magnitude-4-9-e-profundidade-de-9-4-quilometros-atinge-a-venezuela-1.80387", "URL")</f>
        <v/>
      </c>
      <c r="Q1803">
        <f>HYPERLINK("https://raw.githubusercontent.com/marcosmapl/dataset_imigrantes/main/materias_filtered/a_critica/venezuelanos/2018/11_dez/html/1.80387_381.html", "HTML")</f>
        <v/>
      </c>
      <c r="R1803">
        <f>HYPERLINK("https://raw.githubusercontent.com/marcosmapl/dataset_imigrantes/main/materias_filtered/a_critica/venezuelanos/2018/11_dez/txt/1.80387_381.txt", "TXT")</f>
        <v/>
      </c>
    </row>
    <row r="1804">
      <c r="A1804" s="1" t="n">
        <v>1802</v>
      </c>
      <c r="B1804" t="n">
        <v>2018</v>
      </c>
      <c r="C1804" s="2" t="n">
        <v>43461.16875</v>
      </c>
      <c r="D1804" t="inlineStr">
        <is>
          <t>A CRITICA</t>
        </is>
      </c>
      <c r="E1804" t="inlineStr">
        <is>
          <t>VENEZUELANOS</t>
        </is>
      </c>
      <c r="F1804" t="inlineStr"/>
      <c r="G1804" t="inlineStr">
        <is>
          <t>CECÍLIA SIQUEIRA</t>
        </is>
      </c>
      <c r="H1804" t="inlineStr">
        <is>
          <t>MESMO COM SURTO CONTROLADO, VACINAÇÃO AINDA É SOLUÇÃO CONTRA SARAMPO NO AM</t>
        </is>
      </c>
      <c r="I1804" t="inlineStr">
        <is>
          <t>O BOLETIM EPIDEMIOLÓGICO DA FVS/AM INFORMA QUE, DE JANEIRO A DEZEMBRO DESTE ANO, DOS 10.262 CASOS CONFIRMADOS DA DOENÇA NO BRASIL, O ESTADO REGISTROU 9.779 MIL CASOS (95%)</t>
        </is>
      </c>
      <c r="J1804" t="inlineStr"/>
      <c r="K1804" t="n">
        <v>0</v>
      </c>
      <c r="L1804" t="n">
        <v>1</v>
      </c>
      <c r="M1804" t="n">
        <v>0</v>
      </c>
      <c r="N1804" t="n">
        <v>0</v>
      </c>
      <c r="O1804" t="n">
        <v>0</v>
      </c>
      <c r="P1804">
        <f>HYPERLINK("https://www.acritica.com/mesmo-com-surto-controlado-vacinac-o-ainda-e-soluc-o-contra-sarampo-no-am-1.80357", "URL")</f>
        <v/>
      </c>
      <c r="Q1804">
        <f>HYPERLINK("https://raw.githubusercontent.com/marcosmapl/dataset_imigrantes/main/materias_filtered/a_critica/venezuelanos/2018/11_dez/html/1.80357_158.html", "HTML")</f>
        <v/>
      </c>
      <c r="R1804">
        <f>HYPERLINK("https://raw.githubusercontent.com/marcosmapl/dataset_imigrantes/main/materias_filtered/a_critica/venezuelanos/2018/11_dez/txt/1.80357_158.txt", "TXT")</f>
        <v/>
      </c>
    </row>
    <row r="1805">
      <c r="A1805" s="1" t="n">
        <v>1803</v>
      </c>
      <c r="B1805" t="n">
        <v>2018</v>
      </c>
      <c r="C1805" s="2" t="n">
        <v>43460.94192209491</v>
      </c>
      <c r="D1805" t="inlineStr">
        <is>
          <t>G1</t>
        </is>
      </c>
      <c r="E1805" t="inlineStr">
        <is>
          <t>HAITIANOS</t>
        </is>
      </c>
      <c r="F1805" t="inlineStr">
        <is>
          <t>SANTA CATARINA</t>
        </is>
      </c>
      <c r="G1805" t="inlineStr">
        <is>
          <t>NSC TV</t>
        </is>
      </c>
      <c r="H1805" t="inlineStr">
        <is>
          <t>CAMPANHA EM JOINVILLE ARRECADA DINHEIRO E AJUDA HAITIANO A TRAZER FAMÍLIA PARA O BRASIL</t>
        </is>
      </c>
      <c r="I1805" t="inlineStr">
        <is>
          <t>SOLIDARIEDADE AUXILIA DAVID CÉSAR A TER A FAMÍLIA POR PERTO DEPOIS DE OITO ANOS DE AFASTAMENTO POR CONTA DO TERREMOTO QUE DEVASTOU O HAITI</t>
        </is>
      </c>
      <c r="J1805" t="inlineStr"/>
      <c r="K1805" t="n">
        <v>0</v>
      </c>
      <c r="L1805" t="n">
        <v>1</v>
      </c>
      <c r="M1805" t="n">
        <v>1</v>
      </c>
      <c r="N1805" t="n">
        <v>0</v>
      </c>
      <c r="O1805" t="n">
        <v>2</v>
      </c>
      <c r="P1805">
        <f>HYPERLINK("https://g1.globo.com/sc/santa-catarina/noticia/2018/12/26/campanha-em-joinville-arrecada-dinheiro-e-ajuda-haitiano-a-trazer-familia-para-o-brasil.ghtml", "URL")</f>
        <v/>
      </c>
      <c r="Q1805">
        <f>HYPERLINK("https://raw.githubusercontent.com/marcosmapl/dataset_imigrantes/main/materias_filtered/g1/haitianos/2018/11_dez/html/g1_9f6f1b96-22f1-11ed-b24f-6dbe51e79fca_1758.html", "HTML")</f>
        <v/>
      </c>
      <c r="R1805">
        <f>HYPERLINK("https://raw.githubusercontent.com/marcosmapl/dataset_imigrantes/main/materias_filtered/g1/haitianos/2018/11_dez/txt/g1_9f6f1b96-22f1-11ed-b24f-6dbe51e79fca_1758.txt", "TXT")</f>
        <v/>
      </c>
    </row>
    <row r="1806">
      <c r="A1806" s="1" t="n">
        <v>1804</v>
      </c>
      <c r="B1806" t="n">
        <v>2018</v>
      </c>
      <c r="C1806" s="2" t="n">
        <v>43460.68938755787</v>
      </c>
      <c r="D1806" t="inlineStr">
        <is>
          <t>G1</t>
        </is>
      </c>
      <c r="E1806" t="inlineStr">
        <is>
          <t>HAITIANOS</t>
        </is>
      </c>
      <c r="F1806" t="inlineStr">
        <is>
          <t>MATO GROSSO DO SUL</t>
        </is>
      </c>
      <c r="G1806" t="inlineStr">
        <is>
          <t>GABRIELA PRADO, TV MORENA</t>
        </is>
      </c>
      <c r="H1806" t="inlineStr">
        <is>
          <t>POR NOVA VIDA, HAITIANOS PASSAM NATAL ENTRE FILA DA IMIGRAÇÃO E RODOVIÁRIA DE MS: 'VOU TRABALHAR POR UM BOM FUTURO'</t>
        </is>
      </c>
      <c r="I1806" t="inlineStr">
        <is>
          <t>DEPOIS DE 6 DIAS DE VIAGEM ATÉ O BRASIL, GRUPO PASSOU O 25 DE DEZEMBRO EM CORUMBÁ PARA SEGUIR PARA OUTRAS CIDADES DO PAÍS.</t>
        </is>
      </c>
      <c r="J1806" t="inlineStr"/>
      <c r="K1806" t="n">
        <v>0</v>
      </c>
      <c r="L1806" t="n">
        <v>3</v>
      </c>
      <c r="M1806" t="n">
        <v>1</v>
      </c>
      <c r="N1806" t="n">
        <v>0</v>
      </c>
      <c r="O1806" t="n">
        <v>0</v>
      </c>
      <c r="P1806">
        <f>HYPERLINK("https://g1.globo.com/ms/mato-grosso-do-sul/noticia/2018/12/26/por-nova-vida-haitianos-passam-natal-entre-fila-da-imigracao-e-rodoviaria-de-ms-vou-trabalhar-por-um-bom-futuro.ghtml", "URL")</f>
        <v/>
      </c>
      <c r="Q1806">
        <f>HYPERLINK("https://raw.githubusercontent.com/marcosmapl/dataset_imigrantes/main/materias_filtered/g1/haitianos/2018/11_dez/html/g1_bca91dd0-22f4-11ed-b24f-6dbe51e79fca_1907.html", "HTML")</f>
        <v/>
      </c>
      <c r="R1806">
        <f>HYPERLINK("https://raw.githubusercontent.com/marcosmapl/dataset_imigrantes/main/materias_filtered/g1/haitianos/2018/11_dez/txt/g1_bca91dd0-22f4-11ed-b24f-6dbe51e79fca_1907.txt", "TXT")</f>
        <v/>
      </c>
    </row>
    <row r="1807">
      <c r="A1807" s="1" t="n">
        <v>1805</v>
      </c>
      <c r="B1807" t="n">
        <v>2018</v>
      </c>
      <c r="C1807" s="2" t="n">
        <v>43459.99086675926</v>
      </c>
      <c r="D1807" t="inlineStr">
        <is>
          <t>G1</t>
        </is>
      </c>
      <c r="E1807" t="inlineStr">
        <is>
          <t>VENEZUELANOS</t>
        </is>
      </c>
      <c r="F1807" t="inlineStr">
        <is>
          <t>JORNAL NACIONAL</t>
        </is>
      </c>
      <c r="G1807" t="inlineStr"/>
      <c r="H1807" t="inlineStr">
        <is>
          <t>BRASILEIROS AJUDAM FAMÍLIA VENEZUELANA A SUPERAR OBSTÁCULOS DESDE QUE CHEGOU AO PAÍS</t>
        </is>
      </c>
      <c r="I1807" t="inlineStr">
        <is>
          <t>JUAN VEIO COM A FAMÍLIA DA VENEZUELA, PERDEU O EMPREGO E TEVE QUE MORAR NA RUA COM OS FILHOS E A MULHER. COMERCIANTE E PROFESSORA AJUDARAM O VENEZUELANO A RECONSTRUIR A VIDA.</t>
        </is>
      </c>
      <c r="J1807" t="inlineStr"/>
      <c r="K1807" t="n">
        <v>0</v>
      </c>
      <c r="L1807" t="n">
        <v>1</v>
      </c>
      <c r="M1807" t="n">
        <v>1</v>
      </c>
      <c r="N1807" t="n">
        <v>0</v>
      </c>
      <c r="O1807" t="n">
        <v>0</v>
      </c>
      <c r="P1807">
        <f>HYPERLINK("https://g1.globo.com/jornal-nacional/noticia/2018/12/25/brasileiros-ajudam-venezuelano-que-enfrentou-momentos-angustiantes-desde-que-chegou-ao-pais.ghtml", "URL")</f>
        <v/>
      </c>
      <c r="Q1807">
        <f>HYPERLINK("https://raw.githubusercontent.com/marcosmapl/dataset_imigrantes/main/materias_filtered/g1/venezuelanos/2018/11_dez/html/g1_608e9390-230d-11ed-b24f-6dbe51e79fca_2684.html", "HTML")</f>
        <v/>
      </c>
      <c r="R1807">
        <f>HYPERLINK("https://raw.githubusercontent.com/marcosmapl/dataset_imigrantes/main/materias_filtered/g1/venezuelanos/2018/11_dez/txt/g1_608e9390-230d-11ed-b24f-6dbe51e79fca_2684.txt", "TXT")</f>
        <v/>
      </c>
    </row>
    <row r="1808">
      <c r="A1808" s="1" t="n">
        <v>1806</v>
      </c>
      <c r="B1808" t="n">
        <v>2018</v>
      </c>
      <c r="C1808" s="2" t="n">
        <v>43459.34027777778</v>
      </c>
      <c r="D1808" t="inlineStr">
        <is>
          <t>A CRITICA</t>
        </is>
      </c>
      <c r="E1808" t="inlineStr">
        <is>
          <t>VENEZUELANOS</t>
        </is>
      </c>
      <c r="F1808" t="inlineStr">
        <is>
          <t>MANAUS</t>
        </is>
      </c>
      <c r="G1808" t="inlineStr">
        <is>
          <t>ACRÍTICA.COM</t>
        </is>
      </c>
      <c r="H1808" t="inlineStr">
        <is>
          <t>ESPÍRITAS CELEBRAM NATAL COM MORADORES DE RUAS E PACIENTES DE HOSPITAIS EM MANAUS</t>
        </is>
      </c>
      <c r="I1808" t="inlineStr">
        <is>
          <t>VOLUNTÁRIOS SE REÚNEM TODOS OS ANOS PARA PASSAR A DATA COM PESSOAS QUE ESTEJAM EM PERÍODOS DE DIFICULDADE. PROGRAMAÇÃO CONTA COM CEIA NO CENTRO DA CAPITAL</t>
        </is>
      </c>
      <c r="J1808" t="inlineStr"/>
      <c r="K1808" t="n">
        <v>0</v>
      </c>
      <c r="L1808" t="n">
        <v>1</v>
      </c>
      <c r="M1808" t="n">
        <v>0</v>
      </c>
      <c r="N1808" t="n">
        <v>0</v>
      </c>
      <c r="O1808" t="n">
        <v>0</v>
      </c>
      <c r="P1808">
        <f>HYPERLINK("https://www.acritica.com/manaus/espiritas-celebram-natal-com-moradores-de-ruas-e-pacientes-de-hospitais-em-manaus-1.78442", "URL")</f>
        <v/>
      </c>
      <c r="Q1808">
        <f>HYPERLINK("https://raw.githubusercontent.com/marcosmapl/dataset_imigrantes/main/materias_filtered/a_critica/venezuelanos/2018/11_dez/html/1.78442_1323.html", "HTML")</f>
        <v/>
      </c>
      <c r="R1808">
        <f>HYPERLINK("https://raw.githubusercontent.com/marcosmapl/dataset_imigrantes/main/materias_filtered/a_critica/venezuelanos/2018/11_dez/txt/1.78442_1323.txt", "TXT")</f>
        <v/>
      </c>
    </row>
    <row r="1809">
      <c r="A1809" s="1" t="n">
        <v>1807</v>
      </c>
      <c r="B1809" t="n">
        <v>2018</v>
      </c>
      <c r="C1809" s="2" t="n">
        <v>43458.81072201389</v>
      </c>
      <c r="D1809" t="inlineStr">
        <is>
          <t>G1</t>
        </is>
      </c>
      <c r="E1809" t="inlineStr">
        <is>
          <t>VENEZUELANOS</t>
        </is>
      </c>
      <c r="F1809" t="inlineStr">
        <is>
          <t>RONDÔNIA</t>
        </is>
      </c>
      <c r="G1809" t="inlineStr">
        <is>
          <t>PEDRO BENTES, G1 RO</t>
        </is>
      </c>
      <c r="H1809" t="inlineStr">
        <is>
          <t>"ME PERGUNTAVA SE ESTAVA VIVENDO NO IRAQUE", DIZ VENEZUELANA QUE PASSA SEGUNDO NATAL NO BRASIL</t>
        </is>
      </c>
      <c r="I1809" t="inlineStr">
        <is>
          <t>DOIS PACOTES DE FRALDAS DESCARTÁVEIS AJUDARAM A TIRAR FAMÍLIA DE KAREN DA VENEZUELA. IMIGRANTE TINHA PLANOS DE IR PARA MARINGÁ (PR) MAS PRECISOU FICAR EM PORTO VELHO POR FALTA DE DINHEIRO.</t>
        </is>
      </c>
      <c r="J1809" t="inlineStr"/>
      <c r="K1809" t="n">
        <v>0</v>
      </c>
      <c r="L1809" t="n">
        <v>2</v>
      </c>
      <c r="M1809" t="n">
        <v>0</v>
      </c>
      <c r="N1809" t="n">
        <v>0</v>
      </c>
      <c r="O1809" t="n">
        <v>1</v>
      </c>
      <c r="P1809">
        <f>HYPERLINK("https://g1.globo.com/ro/rondonia/noticia/2018/12/24/me-perguntava-se-estava-vivendo-no-iraque-diz-venezuelana-que-passa-segundo-natal-no-brasil.ghtml", "URL")</f>
        <v/>
      </c>
      <c r="Q1809">
        <f>HYPERLINK("https://raw.githubusercontent.com/marcosmapl/dataset_imigrantes/main/materias_filtered/g1/venezuelanos/2018/11_dez/html/g1_95e7481c-2325-11ed-b24f-6dbe51e79fca_3922.html", "HTML")</f>
        <v/>
      </c>
      <c r="R1809">
        <f>HYPERLINK("https://raw.githubusercontent.com/marcosmapl/dataset_imigrantes/main/materias_filtered/g1/venezuelanos/2018/11_dez/txt/g1_95e7481c-2325-11ed-b24f-6dbe51e79fca_3922.txt", "TXT")</f>
        <v/>
      </c>
    </row>
    <row r="1810">
      <c r="A1810" s="1" t="n">
        <v>1808</v>
      </c>
      <c r="B1810" t="n">
        <v>2018</v>
      </c>
      <c r="C1810" s="2" t="n">
        <v>43458.70842237269</v>
      </c>
      <c r="D1810" t="inlineStr">
        <is>
          <t>G1</t>
        </is>
      </c>
      <c r="E1810" t="inlineStr">
        <is>
          <t>HAITIANOS</t>
        </is>
      </c>
      <c r="F1810" t="inlineStr">
        <is>
          <t>RIO GRANDE DO SUL</t>
        </is>
      </c>
      <c r="G1810" t="inlineStr">
        <is>
          <t>G1 RS</t>
        </is>
      </c>
      <c r="H1810" t="inlineStr">
        <is>
          <t>PM QUE AJUDOU HAITIANA A DAR À LUZ EM CALÇADA DE PORTO ALEGRE CRIA CAMPANHA PARA AJUDAR BEBÊ</t>
        </is>
      </c>
      <c r="I1810" t="inlineStr">
        <is>
          <t>LUAN RIBAS BAZZAN DIZ TER RECEBIDO CONTATOS DE PESSOAS QUERENDO FAZER DOAÇÕES À FAMÍLIA DE IMIGRANTES. ELE REALIZOU O PARTO NA SEXTA-FEIRA (21), EM UMA AVENIDA DA ZONA NORTE DA CAPITAL GAÚCHA.</t>
        </is>
      </c>
      <c r="J1810" t="inlineStr"/>
      <c r="K1810" t="n">
        <v>0</v>
      </c>
      <c r="L1810" t="n">
        <v>1</v>
      </c>
      <c r="M1810" t="n">
        <v>0</v>
      </c>
      <c r="N1810" t="n">
        <v>0</v>
      </c>
      <c r="O1810" t="n">
        <v>1</v>
      </c>
      <c r="P1810">
        <f>HYPERLINK("https://g1.globo.com/rs/rio-grande-do-sul/noticia/2018/12/24/pm-que-ajudou-haitiana-a-dar-a-luz-em-calcada-de-porto-alegre-cria-campanha-para-ajudar-bebe.ghtml", "URL")</f>
        <v/>
      </c>
      <c r="Q1810">
        <f>HYPERLINK("https://raw.githubusercontent.com/marcosmapl/dataset_imigrantes/main/materias_filtered/g1/haitianos/2018/11_dez/html/g1_d16bf600-230f-11ed-b24f-6dbe51e79fca_2821.html", "HTML")</f>
        <v/>
      </c>
      <c r="R1810">
        <f>HYPERLINK("https://raw.githubusercontent.com/marcosmapl/dataset_imigrantes/main/materias_filtered/g1/haitianos/2018/11_dez/txt/g1_d16bf600-230f-11ed-b24f-6dbe51e79fca_2821.txt", "TXT")</f>
        <v/>
      </c>
    </row>
    <row r="1811">
      <c r="A1811" s="1" t="n">
        <v>1809</v>
      </c>
      <c r="B1811" t="n">
        <v>2018</v>
      </c>
      <c r="C1811" s="2" t="n">
        <v>43458.60215259259</v>
      </c>
      <c r="D1811" t="inlineStr">
        <is>
          <t>G1</t>
        </is>
      </c>
      <c r="E1811" t="inlineStr">
        <is>
          <t>VENEZUELANOS</t>
        </is>
      </c>
      <c r="F1811" t="inlineStr">
        <is>
          <t>RORAIMA</t>
        </is>
      </c>
      <c r="G1811" t="inlineStr">
        <is>
          <t>G1 RR — BOA VISTA</t>
        </is>
      </c>
      <c r="H1811" t="inlineStr">
        <is>
          <t>VENEZUELANO É ASSASSINADO POR PM REFORMADO AO COBRAR DÍVIDA DE R$ 50 EM BOA VISTA</t>
        </is>
      </c>
      <c r="I1811" t="inlineStr">
        <is>
          <t>CORPO DA VÍTIMA FOI ABANDONADO NO MEIO DA RUA. CRIME FOI NA NOITE DESTE DOMINGO (23).</t>
        </is>
      </c>
      <c r="J1811" t="inlineStr"/>
      <c r="K1811" t="n">
        <v>0</v>
      </c>
      <c r="L1811" t="n">
        <v>1</v>
      </c>
      <c r="M1811" t="n">
        <v>0</v>
      </c>
      <c r="N1811" t="n">
        <v>0</v>
      </c>
      <c r="O1811" t="n">
        <v>1</v>
      </c>
      <c r="P1811">
        <f>HYPERLINK("https://g1.globo.com/rr/roraima/noticia/2018/12/24/venezuelano-e-assassinado-por-pm-reformado-ao-cobrar-divida-de-r-50-em-boa-vista.ghtml", "URL")</f>
        <v/>
      </c>
      <c r="Q1811">
        <f>HYPERLINK("https://raw.githubusercontent.com/marcosmapl/dataset_imigrantes/main/materias_filtered/g1/venezuelanos/2018/11_dez/html/g1_0e1e0ecc-2328-11ed-b24f-6dbe51e79fca_4062.html", "HTML")</f>
        <v/>
      </c>
      <c r="R1811">
        <f>HYPERLINK("https://raw.githubusercontent.com/marcosmapl/dataset_imigrantes/main/materias_filtered/g1/venezuelanos/2018/11_dez/txt/g1_0e1e0ecc-2328-11ed-b24f-6dbe51e79fca_4062.txt", "TXT")</f>
        <v/>
      </c>
    </row>
    <row r="1812">
      <c r="A1812" s="1" t="n">
        <v>1810</v>
      </c>
      <c r="B1812" t="n">
        <v>2018</v>
      </c>
      <c r="C1812" s="2" t="n">
        <v>43458.53685660879</v>
      </c>
      <c r="D1812" t="inlineStr">
        <is>
          <t>G1</t>
        </is>
      </c>
      <c r="E1812" t="inlineStr">
        <is>
          <t>VENEZUELANOS</t>
        </is>
      </c>
      <c r="F1812" t="inlineStr">
        <is>
          <t>AMAZONAS</t>
        </is>
      </c>
      <c r="G1812" t="inlineStr">
        <is>
          <t>RICKARDO MARQUES, G1 AM</t>
        </is>
      </c>
      <c r="H1812" t="inlineStr">
        <is>
          <t>ARTISTA PLÁSTICO VENEZUELANO BUSCA OPORTUNIDADES DE TRABALHO EM MANAUS: 'A IDEIA É SEGUIR ADIANTE'</t>
        </is>
      </c>
      <c r="I1812" t="inlineStr">
        <is>
          <t>HERMINIO MAIO, DE 54 ANOS, CHEGOU AO BRASIL POR MEIO DO PROCESSO DE INTERIORIZAÇÃO DO GOVERNO FEDERAL. MANAUS FOI DESTINO DE CERCA DE 500 IMIGRANTES DESTA AÇÃO.</t>
        </is>
      </c>
      <c r="J1812" t="inlineStr"/>
      <c r="K1812" t="n">
        <v>0</v>
      </c>
      <c r="L1812" t="n">
        <v>2</v>
      </c>
      <c r="M1812" t="n">
        <v>0</v>
      </c>
      <c r="N1812" t="n">
        <v>0</v>
      </c>
      <c r="O1812" t="n">
        <v>1</v>
      </c>
      <c r="P1812">
        <f>HYPERLINK("https://g1.globo.com/am/amazonas/noticia/2018/12/24/artista-plastico-venezuelano-busca-oportunidades-de-trabalho-em-manaus-a-ideia-e-seguir-adiante.ghtml", "URL")</f>
        <v/>
      </c>
      <c r="Q1812">
        <f>HYPERLINK("https://raw.githubusercontent.com/marcosmapl/dataset_imigrantes/main/materias_filtered/g1/venezuelanos/2018/11_dez/html/g1_b21ba284-230d-11ed-b24f-6dbe51e79fca_2702.html", "HTML")</f>
        <v/>
      </c>
      <c r="R1812">
        <f>HYPERLINK("https://raw.githubusercontent.com/marcosmapl/dataset_imigrantes/main/materias_filtered/g1/venezuelanos/2018/11_dez/txt/g1_b21ba284-230d-11ed-b24f-6dbe51e79fca_2702.txt", "TXT")</f>
        <v/>
      </c>
    </row>
    <row r="1813">
      <c r="A1813" s="1" t="n">
        <v>1811</v>
      </c>
      <c r="B1813" t="n">
        <v>2018</v>
      </c>
      <c r="C1813" s="2" t="n">
        <v>43458.53105274306</v>
      </c>
      <c r="D1813" t="inlineStr">
        <is>
          <t>G1</t>
        </is>
      </c>
      <c r="E1813" t="inlineStr">
        <is>
          <t>VENEZUELANOS</t>
        </is>
      </c>
      <c r="F1813" t="inlineStr">
        <is>
          <t>PERNAMBUCO</t>
        </is>
      </c>
      <c r="G1813" t="inlineStr">
        <is>
          <t>PEDRO ALVES, G1 PE</t>
        </is>
      </c>
      <c r="H1813" t="inlineStr">
        <is>
          <t>'ANDEI ATÉ OLINDA DISTRIBUINDO CURRÍCULOS', DIZ VENEZUELANO REFUGIADO EM IGARASSU</t>
        </is>
      </c>
      <c r="I1813" t="inlineStr">
        <is>
          <t>NO GRANDE RECIFE, 120 REFUGIADOS DA VENEZUELA TENTAM A VIDA, FUGINDO DA CRISE QUE ASSOLA O PAÍS.</t>
        </is>
      </c>
      <c r="J1813" t="inlineStr"/>
      <c r="K1813" t="n">
        <v>0</v>
      </c>
      <c r="L1813" t="n">
        <v>3</v>
      </c>
      <c r="M1813" t="n">
        <v>1</v>
      </c>
      <c r="N1813" t="n">
        <v>0</v>
      </c>
      <c r="O1813" t="n">
        <v>7</v>
      </c>
      <c r="P1813">
        <f>HYPERLINK("https://g1.globo.com/pe/pernambuco/noticia/2018/12/24/andei-ate-olinda-distribuindo-curriculos-diz-venezuelano-refugiado-em-igarassu.ghtml", "URL")</f>
        <v/>
      </c>
      <c r="Q1813">
        <f>HYPERLINK("https://raw.githubusercontent.com/marcosmapl/dataset_imigrantes/main/materias_filtered/g1/venezuelanos/2018/11_dez/html/g1_c54255da-230b-11ed-b24f-6dbe51e79fca_2585.html", "HTML")</f>
        <v/>
      </c>
      <c r="R1813">
        <f>HYPERLINK("https://raw.githubusercontent.com/marcosmapl/dataset_imigrantes/main/materias_filtered/g1/venezuelanos/2018/11_dez/txt/g1_c54255da-230b-11ed-b24f-6dbe51e79fca_2585.txt", "TXT")</f>
        <v/>
      </c>
    </row>
    <row r="1814">
      <c r="A1814" s="1" t="n">
        <v>1812</v>
      </c>
      <c r="B1814" t="n">
        <v>2018</v>
      </c>
      <c r="C1814" s="2" t="n">
        <v>43458.5260713426</v>
      </c>
      <c r="D1814" t="inlineStr">
        <is>
          <t>G1</t>
        </is>
      </c>
      <c r="E1814" t="inlineStr">
        <is>
          <t>VENEZUELANOS</t>
        </is>
      </c>
      <c r="F1814" t="inlineStr">
        <is>
          <t>RIO GRANDE DO NORTE</t>
        </is>
      </c>
      <c r="G1814" t="inlineStr">
        <is>
          <t>IGOR JÁCOME, G1 RN</t>
        </is>
      </c>
      <c r="H1814" t="inlineStr">
        <is>
          <t>HÁ DOIS MESES NO RN, FAMÍLIAS VENEZUELANAS CONSEGUEM EMPREGO E COMEÇAM NOVA VIDA NO INTERIOR</t>
        </is>
      </c>
      <c r="I1814" t="inlineStr">
        <is>
          <t>GRUPO DE 60 IMIGRANTES CHEGOU AO ESTADO EM OUTUBRO E COMEÇOU PROCESSO DE 'EMANCIPAÇÃO' DO PROGRAMA DE INTERIORIZAÇÃO EM CAICÓ.</t>
        </is>
      </c>
      <c r="J1814" t="inlineStr"/>
      <c r="K1814" t="n">
        <v>0</v>
      </c>
      <c r="L1814" t="n">
        <v>2</v>
      </c>
      <c r="M1814" t="n">
        <v>0</v>
      </c>
      <c r="N1814" t="n">
        <v>0</v>
      </c>
      <c r="O1814" t="n">
        <v>3</v>
      </c>
      <c r="P1814">
        <f>HYPERLINK("https://g1.globo.com/rn/rio-grande-do-norte/noticia/2018/12/24/ha-dois-meses-no-rn-familias-venezuelanas-conseguem-emprego-e-comecam-nova-vida-no-interior.ghtml", "URL")</f>
        <v/>
      </c>
      <c r="Q1814">
        <f>HYPERLINK("https://raw.githubusercontent.com/marcosmapl/dataset_imigrantes/main/materias_filtered/g1/venezuelanos/2018/11_dez/html/g1_91dffc86-2317-11ed-b24f-6dbe51e79fca_3217.html", "HTML")</f>
        <v/>
      </c>
      <c r="R1814">
        <f>HYPERLINK("https://raw.githubusercontent.com/marcosmapl/dataset_imigrantes/main/materias_filtered/g1/venezuelanos/2018/11_dez/txt/g1_91dffc86-2317-11ed-b24f-6dbe51e79fca_3217.txt", "TXT")</f>
        <v/>
      </c>
    </row>
    <row r="1815">
      <c r="A1815" s="1" t="n">
        <v>1813</v>
      </c>
      <c r="B1815" t="n">
        <v>2018</v>
      </c>
      <c r="C1815" s="2" t="n">
        <v>43458.52353362268</v>
      </c>
      <c r="D1815" t="inlineStr">
        <is>
          <t>G1</t>
        </is>
      </c>
      <c r="E1815" t="inlineStr">
        <is>
          <t>VENEZUELANOS</t>
        </is>
      </c>
      <c r="F1815" t="inlineStr">
        <is>
          <t>RIO GRANDE DO SUL</t>
        </is>
      </c>
      <c r="G1815" t="inlineStr">
        <is>
          <t>JOYCE HEURICH, G1 RS</t>
        </is>
      </c>
      <c r="H1815" t="inlineStr">
        <is>
          <t>'BRASIL ME ENSINOU A PARTILHAR', DIZ VENEZUELANA QUE TENTA RECONSTRUIR VIDA NO RS APÓS PROGRAMA DE INTERIORIZAÇÃO</t>
        </is>
      </c>
      <c r="I1815" t="inlineStr">
        <is>
          <t>KIMBERLY DOMÍNGUEZ  VIVE HÁ MAIS DE 2 MESES COM A FAMÍLIA EM FAZENDA NO INTERIOR DE GRAVATAÍ. DOS 837 ESTRANGEIROS TRANSFERIDOS DE RR PARA O RS, MAIS DE 300 JÁ CONSEGUIRAM UMA OCUPAÇÃO.</t>
        </is>
      </c>
      <c r="J1815" t="inlineStr"/>
      <c r="K1815" t="n">
        <v>0</v>
      </c>
      <c r="L1815" t="n">
        <v>2</v>
      </c>
      <c r="M1815" t="n">
        <v>1</v>
      </c>
      <c r="N1815" t="n">
        <v>0</v>
      </c>
      <c r="O1815" t="n">
        <v>10</v>
      </c>
      <c r="P1815">
        <f>HYPERLINK("https://g1.globo.com/rs/rio-grande-do-sul/noticia/2018/12/24/brasil-me-ensinou-a-partilhar-diz-venezuelana-que-tenta-reconstruir-vida-no-rs-apos-programa-de-interiorizacao.ghtml", "URL")</f>
        <v/>
      </c>
      <c r="Q1815">
        <f>HYPERLINK("https://raw.githubusercontent.com/marcosmapl/dataset_imigrantes/main/materias_filtered/g1/venezuelanos/2018/11_dez/html/g1_f2ded374-231a-11ed-b24f-6dbe51e79fca_3362.html", "HTML")</f>
        <v/>
      </c>
      <c r="R1815">
        <f>HYPERLINK("https://raw.githubusercontent.com/marcosmapl/dataset_imigrantes/main/materias_filtered/g1/venezuelanos/2018/11_dez/txt/g1_f2ded374-231a-11ed-b24f-6dbe51e79fca_3362.txt", "TXT")</f>
        <v/>
      </c>
    </row>
    <row r="1816">
      <c r="A1816" s="1" t="n">
        <v>1814</v>
      </c>
      <c r="B1816" t="n">
        <v>2018</v>
      </c>
      <c r="C1816" s="2" t="n">
        <v>43457.94305555556</v>
      </c>
      <c r="D1816" t="inlineStr">
        <is>
          <t>A CRITICA</t>
        </is>
      </c>
      <c r="E1816" t="inlineStr">
        <is>
          <t>VENEZUELANOS</t>
        </is>
      </c>
      <c r="F1816" t="inlineStr">
        <is>
          <t>MANAUS</t>
        </is>
      </c>
      <c r="G1816" t="inlineStr">
        <is>
          <t>PAULO ANDRÉ NUNES</t>
        </is>
      </c>
      <c r="H1816" t="inlineStr">
        <is>
          <t>NATAL SERÁ DE SAUDADES PARA VENEZUELANOS QUE ESTÃO MORANDO EM MANAUS</t>
        </is>
      </c>
      <c r="I1816" t="inlineStr">
        <is>
          <t>IMIGRANTES FALAM QUE O DIA NATALINO SERÁ UMA DATA PARA RELEMBRAR AINDA MAIS DA TERRA ONDE NASCERAM E DOS PARENTES</t>
        </is>
      </c>
      <c r="J1816" t="inlineStr"/>
      <c r="K1816" t="n">
        <v>0</v>
      </c>
      <c r="L1816" t="n">
        <v>1</v>
      </c>
      <c r="M1816" t="n">
        <v>0</v>
      </c>
      <c r="N1816" t="n">
        <v>0</v>
      </c>
      <c r="O1816" t="n">
        <v>0</v>
      </c>
      <c r="P1816">
        <f>HYPERLINK("https://www.acritica.com/manaus/natal-sera-de-saudades-para-venezuelanos-que-est-o-morando-em-manaus-1.80614", "URL")</f>
        <v/>
      </c>
      <c r="Q1816">
        <f>HYPERLINK("https://raw.githubusercontent.com/marcosmapl/dataset_imigrantes/main/materias_filtered/a_critica/venezuelanos/2018/11_dez/html/1.80614_1182.html", "HTML")</f>
        <v/>
      </c>
      <c r="R1816">
        <f>HYPERLINK("https://raw.githubusercontent.com/marcosmapl/dataset_imigrantes/main/materias_filtered/a_critica/venezuelanos/2018/11_dez/txt/1.80614_1182.txt", "TXT")</f>
        <v/>
      </c>
    </row>
    <row r="1817">
      <c r="A1817" s="1" t="n">
        <v>1815</v>
      </c>
      <c r="B1817" t="n">
        <v>2018</v>
      </c>
      <c r="C1817" s="2" t="n">
        <v>43456.73946759259</v>
      </c>
      <c r="D1817" t="inlineStr">
        <is>
          <t>A CRITICA</t>
        </is>
      </c>
      <c r="E1817" t="inlineStr">
        <is>
          <t>VENEZUELANOS</t>
        </is>
      </c>
      <c r="F1817" t="inlineStr">
        <is>
          <t>MANAUS</t>
        </is>
      </c>
      <c r="G1817" t="inlineStr">
        <is>
          <t>ACRÍTICA.COM</t>
        </is>
      </c>
      <c r="H1817" t="inlineStr">
        <is>
          <t>NATAL DE RUA LEVA ATOS SOLIDÁRIOS A MORADORES DE RUA E PACIENTES DE HOSPITAIS EM MANAUS</t>
        </is>
      </c>
      <c r="I1817" t="inlineStr">
        <is>
          <t>ATIVIDADE SOLIDÁRIA É REALIZADA HÁ MAIS DE 20 ANOS EM MANAUS E ENVOLVE CERCA DE 150 VOLUNTÁRIOS NO DIA 25 DE DEZEMBRO</t>
        </is>
      </c>
      <c r="J1817" t="inlineStr"/>
      <c r="K1817" t="n">
        <v>0</v>
      </c>
      <c r="L1817" t="n">
        <v>1</v>
      </c>
      <c r="M1817" t="n">
        <v>0</v>
      </c>
      <c r="N1817" t="n">
        <v>0</v>
      </c>
      <c r="O1817" t="n">
        <v>0</v>
      </c>
      <c r="P1817">
        <f>HYPERLINK("https://www.acritica.com/manaus/natal-de-rua-leva-atos-solidarios-a-moradores-de-rua-e-pacientes-de-hospitais-em-manaus-1.80683", "URL")</f>
        <v/>
      </c>
      <c r="Q1817">
        <f>HYPERLINK("https://raw.githubusercontent.com/marcosmapl/dataset_imigrantes/main/materias_filtered/a_critica/venezuelanos/2018/11_dez/html/1.80683_1049.html", "HTML")</f>
        <v/>
      </c>
      <c r="R1817">
        <f>HYPERLINK("https://raw.githubusercontent.com/marcosmapl/dataset_imigrantes/main/materias_filtered/a_critica/venezuelanos/2018/11_dez/txt/1.80683_1049.txt", "TXT")</f>
        <v/>
      </c>
    </row>
    <row r="1818">
      <c r="A1818" s="1" t="n">
        <v>1816</v>
      </c>
      <c r="B1818" t="n">
        <v>2018</v>
      </c>
      <c r="C1818" s="2" t="n">
        <v>43455.70374936343</v>
      </c>
      <c r="D1818" t="inlineStr">
        <is>
          <t>G1</t>
        </is>
      </c>
      <c r="E1818" t="inlineStr">
        <is>
          <t>HAITIANOS</t>
        </is>
      </c>
      <c r="F1818" t="inlineStr">
        <is>
          <t>RIO GRANDE DO SUL</t>
        </is>
      </c>
      <c r="G1818" t="inlineStr">
        <is>
          <t>G1 RS</t>
        </is>
      </c>
      <c r="H1818" t="inlineStr">
        <is>
          <t>HAITIANA GANHA BEBÊ EM VIA PÚBLICA COM AJUDA DE SOLDADO DA BM EM PORTO ALEGRE</t>
        </is>
      </c>
      <c r="I1818" t="inlineStr">
        <is>
          <t>PARTO ACONTECEU NA CALÇADA DA AVENIDA FRANCISCO TREIN, PERTO DO HOSPITAL CONCEIÇÃO. SOLDADO LUAN RIBAS BAZZAN, QUE AJUDOU NO NASCIMENTO DO BEBÊ, DISSE QUE A MULHER ESTAVA INDO À PÉ PARA O HOSPITAL.</t>
        </is>
      </c>
      <c r="J1818" t="inlineStr"/>
      <c r="K1818" t="n">
        <v>0</v>
      </c>
      <c r="L1818" t="n">
        <v>1</v>
      </c>
      <c r="M1818" t="n">
        <v>0</v>
      </c>
      <c r="N1818" t="n">
        <v>0</v>
      </c>
      <c r="O1818" t="n">
        <v>0</v>
      </c>
      <c r="P1818">
        <f>HYPERLINK("https://g1.globo.com/rs/rio-grande-do-sul/noticia/2018/12/21/haitiana-ganha-bebe-em-via-publica-com-ajuda-de-soldado-da-bm-em-porto-alegre.ghtml", "URL")</f>
        <v/>
      </c>
      <c r="Q1818">
        <f>HYPERLINK("https://raw.githubusercontent.com/marcosmapl/dataset_imigrantes/main/materias_filtered/g1/haitianos/2018/11_dez/html/g1_acde23d6-2322-11ed-b24f-6dbe51e79fca_3766.html", "HTML")</f>
        <v/>
      </c>
      <c r="R1818">
        <f>HYPERLINK("https://raw.githubusercontent.com/marcosmapl/dataset_imigrantes/main/materias_filtered/g1/haitianos/2018/11_dez/txt/g1_acde23d6-2322-11ed-b24f-6dbe51e79fca_3766.txt", "TXT")</f>
        <v/>
      </c>
    </row>
    <row r="1819">
      <c r="A1819" s="1" t="n">
        <v>1817</v>
      </c>
      <c r="B1819" t="n">
        <v>2018</v>
      </c>
      <c r="C1819" s="2" t="n">
        <v>43454.93745795139</v>
      </c>
      <c r="D1819" t="inlineStr">
        <is>
          <t>G1</t>
        </is>
      </c>
      <c r="E1819" t="inlineStr">
        <is>
          <t>HAITIANOS</t>
        </is>
      </c>
      <c r="F1819" t="inlineStr">
        <is>
          <t>SANTA CATARINA</t>
        </is>
      </c>
      <c r="G1819" t="inlineStr">
        <is>
          <t>NSC TV</t>
        </is>
      </c>
      <c r="H1819" t="inlineStr">
        <is>
          <t>POLÍCIA FECHA AGÊNCIA DE TURISMO SUSPEITA DE APLICAR GOLPES EM HAITIANOS EM SC</t>
        </is>
      </c>
      <c r="I1819" t="inlineStr">
        <is>
          <t>DEZ VÍTIMAS JÁ FORAM IDENTIFICADAS EM BLUMENAU, NO VALE DO ITAJAÍ.</t>
        </is>
      </c>
      <c r="J1819" t="inlineStr"/>
      <c r="K1819" t="n">
        <v>0</v>
      </c>
      <c r="L1819" t="n">
        <v>1</v>
      </c>
      <c r="M1819" t="n">
        <v>1</v>
      </c>
      <c r="N1819" t="n">
        <v>0</v>
      </c>
      <c r="O1819" t="n">
        <v>9</v>
      </c>
      <c r="P1819">
        <f>HYPERLINK("https://g1.globo.com/sc/santa-catarina/noticia/2018/12/20/policia-fecha-agencia-de-turismo-suspeita-de-aplicar-golpes-em-haitianos-em-sc.ghtml", "URL")</f>
        <v/>
      </c>
      <c r="Q1819">
        <f>HYPERLINK("https://raw.githubusercontent.com/marcosmapl/dataset_imigrantes/main/materias_filtered/g1/haitianos/2018/11_dez/html/g1_e7b3ad10-22b3-11ed-b24f-6dbe51e79fca_1645.html", "HTML")</f>
        <v/>
      </c>
      <c r="R1819">
        <f>HYPERLINK("https://raw.githubusercontent.com/marcosmapl/dataset_imigrantes/main/materias_filtered/g1/haitianos/2018/11_dez/txt/g1_e7b3ad10-22b3-11ed-b24f-6dbe51e79fca_1645.txt", "TXT")</f>
        <v/>
      </c>
    </row>
    <row r="1820">
      <c r="A1820" s="1" t="n">
        <v>1818</v>
      </c>
      <c r="B1820" t="n">
        <v>2018</v>
      </c>
      <c r="C1820" s="2" t="n">
        <v>43453.31298540509</v>
      </c>
      <c r="D1820" t="inlineStr">
        <is>
          <t>G1</t>
        </is>
      </c>
      <c r="E1820" t="inlineStr">
        <is>
          <t>HAITIANOS</t>
        </is>
      </c>
      <c r="F1820" t="inlineStr">
        <is>
          <t>GOIÁS</t>
        </is>
      </c>
      <c r="G1820" t="inlineStr">
        <is>
          <t>PAULA RESENDE, G1 GO</t>
        </is>
      </c>
      <c r="H1820" t="inlineStr">
        <is>
          <t>APÓS TER CÂNCER DE MAMA, IDOSA AJUDA HÁ QUASE 20 ANOS OUTRAS MULHERES A ENFRENTAREM A DOENÇA EM GOIÂNIA: 'LUTA PELA VIDA'</t>
        </is>
      </c>
      <c r="I1820" t="inlineStr">
        <is>
          <t>CORINA BISPO INTEGRA ASSOCIAÇÃO QUE JÁ AUXILIOU QUASE 2 MIL PESSOAS DE GOIÁS E ATÉ DO HAITI. ELA FABRICA TAPETES, ALMOFADAS E SABÃO PARA ANGARIAR FUNDOS PARA A PRODUÇÃO DE REFEIÇÕES PARA PACIENTES.</t>
        </is>
      </c>
      <c r="J1820" t="inlineStr"/>
      <c r="K1820" t="n">
        <v>0</v>
      </c>
      <c r="L1820" t="n">
        <v>2</v>
      </c>
      <c r="M1820" t="n">
        <v>1</v>
      </c>
      <c r="N1820" t="n">
        <v>0</v>
      </c>
      <c r="O1820" t="n">
        <v>2</v>
      </c>
      <c r="P1820">
        <f>HYPERLINK("https://g1.globo.com/go/goias/noticia/2018/12/19/apos-ter-cancer-de-mama-idosa-ajuda-ha-quase-20-anos-outras-mulheres-a-enfrentarem-a-doenca-em-goiania-luta-pela-vida.ghtml", "URL")</f>
        <v/>
      </c>
      <c r="Q1820">
        <f>HYPERLINK("https://raw.githubusercontent.com/marcosmapl/dataset_imigrantes/main/materias_filtered/g1/haitianos/2018/11_dez/html/g1_f34b57d0-230e-11ed-b24f-6dbe51e79fca_2768.html", "HTML")</f>
        <v/>
      </c>
      <c r="R1820">
        <f>HYPERLINK("https://raw.githubusercontent.com/marcosmapl/dataset_imigrantes/main/materias_filtered/g1/haitianos/2018/11_dez/txt/g1_f34b57d0-230e-11ed-b24f-6dbe51e79fca_2768.txt", "TXT")</f>
        <v/>
      </c>
    </row>
    <row r="1821">
      <c r="A1821" s="1" t="n">
        <v>1819</v>
      </c>
      <c r="B1821" t="n">
        <v>2018</v>
      </c>
      <c r="C1821" s="2" t="n">
        <v>43453.01049810185</v>
      </c>
      <c r="D1821" t="inlineStr">
        <is>
          <t>G1</t>
        </is>
      </c>
      <c r="E1821" t="inlineStr">
        <is>
          <t>VENEZUELANOS</t>
        </is>
      </c>
      <c r="F1821" t="inlineStr">
        <is>
          <t>JORNAL NACIONAL</t>
        </is>
      </c>
      <c r="G1821" t="inlineStr">
        <is>
          <t>JORNAL NACIONAL</t>
        </is>
      </c>
      <c r="H1821" t="inlineStr">
        <is>
          <t>ARGENTINO MACRI CRITICA VENEZUELA NA ABERTURA DO ENCONTRO DO MERCOSUL</t>
        </is>
      </c>
      <c r="I1821" t="inlineStr">
        <is>
          <t>EVO MORALES, DA BOLÍVIA, ALINHADO AO GOVERNO VENEZUELANO, PEDIU RESPEITO AOS PROBLEMAS E À SOBERANIA DE CADA PAÍS. TEMER PARTICIPOU DA ÚLTIMA REUNIÃO COMO PRESIDENTE.</t>
        </is>
      </c>
      <c r="J1821" t="inlineStr"/>
      <c r="K1821" t="n">
        <v>0</v>
      </c>
      <c r="L1821" t="n">
        <v>1</v>
      </c>
      <c r="M1821" t="n">
        <v>1</v>
      </c>
      <c r="N1821" t="n">
        <v>0</v>
      </c>
      <c r="O1821" t="n">
        <v>0</v>
      </c>
      <c r="P1821">
        <f>HYPERLINK("https://g1.globo.com/jornal-nacional/noticia/2018/12/18/argentino-macri-critica-venezuela-na-abertura-do-encontro-do-mercosul.ghtml", "URL")</f>
        <v/>
      </c>
      <c r="Q1821">
        <f>HYPERLINK("https://raw.githubusercontent.com/marcosmapl/dataset_imigrantes/main/materias_filtered/g1/venezuelanos/2018/11_dez/html/g1_a3eba70a-2311-11ed-b24f-6dbe51e79fca_2927.html", "HTML")</f>
        <v/>
      </c>
      <c r="R1821">
        <f>HYPERLINK("https://raw.githubusercontent.com/marcosmapl/dataset_imigrantes/main/materias_filtered/g1/venezuelanos/2018/11_dez/txt/g1_a3eba70a-2311-11ed-b24f-6dbe51e79fca_2927.txt", "TXT")</f>
        <v/>
      </c>
    </row>
    <row r="1822">
      <c r="A1822" s="1" t="n">
        <v>1820</v>
      </c>
      <c r="B1822" t="n">
        <v>2018</v>
      </c>
      <c r="C1822" s="2" t="n">
        <v>43451.87291666667</v>
      </c>
      <c r="D1822" t="inlineStr">
        <is>
          <t>A CRITICA</t>
        </is>
      </c>
      <c r="E1822" t="inlineStr">
        <is>
          <t>VENEZUELANOS</t>
        </is>
      </c>
      <c r="F1822" t="inlineStr">
        <is>
          <t>MANAUS</t>
        </is>
      </c>
      <c r="G1822" t="inlineStr">
        <is>
          <t>ACRÍTICA.COM</t>
        </is>
      </c>
      <c r="H1822" t="inlineStr">
        <is>
          <t>PREFEITURA E GOVERNO TÊM 10 DIAS PARA TIRAR VENEZUELANOS ACAMPADOS DA PRECARIEDADE</t>
        </is>
      </c>
      <c r="I1822" t="inlineStr">
        <is>
          <t>DPU E MPF FIZERAM A RECOMENDAÇÃO AOS PODERES MUNICIPAL E ESTADUAL NESTA SEGUNDA-FEIRA (17)</t>
        </is>
      </c>
      <c r="J1822" t="inlineStr"/>
      <c r="K1822" t="n">
        <v>0</v>
      </c>
      <c r="L1822" t="n">
        <v>1</v>
      </c>
      <c r="M1822" t="n">
        <v>0</v>
      </c>
      <c r="N1822" t="n">
        <v>0</v>
      </c>
      <c r="O1822" t="n">
        <v>0</v>
      </c>
      <c r="P1822">
        <f>HYPERLINK("https://www.acritica.com/manaus/prefeitura-e-governo-tem-10-dias-para-tirar-venezuelanos-acampados-da-precariedade-1.81391", "URL")</f>
        <v/>
      </c>
      <c r="Q1822">
        <f>HYPERLINK("https://raw.githubusercontent.com/marcosmapl/dataset_imigrantes/main/materias_filtered/a_critica/venezuelanos/2018/11_dez/html/1.81391_584.html", "HTML")</f>
        <v/>
      </c>
      <c r="R1822">
        <f>HYPERLINK("https://raw.githubusercontent.com/marcosmapl/dataset_imigrantes/main/materias_filtered/a_critica/venezuelanos/2018/11_dez/txt/1.81391_584.txt", "TXT")</f>
        <v/>
      </c>
    </row>
    <row r="1823">
      <c r="A1823" s="1" t="n">
        <v>1821</v>
      </c>
      <c r="B1823" t="n">
        <v>2018</v>
      </c>
      <c r="C1823" s="2" t="n">
        <v>43451.75274072916</v>
      </c>
      <c r="D1823" t="inlineStr">
        <is>
          <t>G1</t>
        </is>
      </c>
      <c r="E1823" t="inlineStr">
        <is>
          <t>VENEZUELANOS</t>
        </is>
      </c>
      <c r="F1823" t="inlineStr">
        <is>
          <t>PERNAMBUCO</t>
        </is>
      </c>
      <c r="G1823" t="inlineStr">
        <is>
          <t>G1 PE</t>
        </is>
      </c>
      <c r="H1823" t="inlineStr">
        <is>
          <t>MAIS 117 VENEZUELANOS REFUGIADOS CHEGAM A PERNAMBUCO</t>
        </is>
      </c>
      <c r="I1823" t="inlineStr">
        <is>
          <t>ESTE É O QUARTO DESEMBARQUE DE IMIGRANTES QUE ACONTECE NO ESTADO DESDE O INÍCIO DO ACORDO DE INTERIORIZAÇÃO DO FLUXO MIGRATÓRIO DE RORAIMA.</t>
        </is>
      </c>
      <c r="J1823" t="inlineStr"/>
      <c r="K1823" t="n">
        <v>0</v>
      </c>
      <c r="L1823" t="n">
        <v>3</v>
      </c>
      <c r="M1823" t="n">
        <v>0</v>
      </c>
      <c r="N1823" t="n">
        <v>0</v>
      </c>
      <c r="O1823" t="n">
        <v>10</v>
      </c>
      <c r="P1823">
        <f>HYPERLINK("https://g1.globo.com/pe/pernambuco/noticia/2018/12/17/mais-117-venezuelanos-refugiados-chegam-a-pernambuco.ghtml", "URL")</f>
        <v/>
      </c>
      <c r="Q1823">
        <f>HYPERLINK("https://raw.githubusercontent.com/marcosmapl/dataset_imigrantes/main/materias_filtered/g1/venezuelanos/2018/11_dez/html/g1_c785df40-231c-11ed-b24f-6dbe51e79fca_3464.html", "HTML")</f>
        <v/>
      </c>
      <c r="R1823">
        <f>HYPERLINK("https://raw.githubusercontent.com/marcosmapl/dataset_imigrantes/main/materias_filtered/g1/venezuelanos/2018/11_dez/txt/g1_c785df40-231c-11ed-b24f-6dbe51e79fca_3464.txt", "TXT")</f>
        <v/>
      </c>
    </row>
    <row r="1824">
      <c r="A1824" s="1" t="n">
        <v>1822</v>
      </c>
      <c r="B1824" t="n">
        <v>2018</v>
      </c>
      <c r="C1824" s="2" t="n">
        <v>43451.7294212963</v>
      </c>
      <c r="D1824" t="inlineStr">
        <is>
          <t>A CRITICA</t>
        </is>
      </c>
      <c r="E1824" t="inlineStr">
        <is>
          <t>VENEZUELANOS</t>
        </is>
      </c>
      <c r="F1824" t="inlineStr">
        <is>
          <t>ESPORTES</t>
        </is>
      </c>
      <c r="G1824" t="inlineStr">
        <is>
          <t>GABRIEL FERREIRA</t>
        </is>
      </c>
      <c r="H1824" t="inlineStr">
        <is>
          <t>ESCOLINHA DO SANTOS LANÇA EM MANAUS TURMA ESPECÍFICA PARA TREINAMENTO DE GOLEIROS</t>
        </is>
      </c>
      <c r="I1824" t="inlineStr">
        <is>
          <t>INDO NA CONTRAMÃO DO SONHO DA MOLECADA EM SER ARTILHEIRO, ESSAS "FERINHAS" SONHAM MESMO É EM FECHAR O GOL</t>
        </is>
      </c>
      <c r="J1824" t="inlineStr"/>
      <c r="K1824" t="n">
        <v>0</v>
      </c>
      <c r="L1824" t="n">
        <v>1</v>
      </c>
      <c r="M1824" t="n">
        <v>0</v>
      </c>
      <c r="N1824" t="n">
        <v>0</v>
      </c>
      <c r="O1824" t="n">
        <v>0</v>
      </c>
      <c r="P1824">
        <f>HYPERLINK("https://www.acritica.com/esportes/escolinha-do-santos-lanca-em-manaus-turma-especifica-para-treinamento-de-goleiros-1.81310", "URL")</f>
        <v/>
      </c>
      <c r="Q1824">
        <f>HYPERLINK("https://raw.githubusercontent.com/marcosmapl/dataset_imigrantes/main/materias_filtered/a_critica/venezuelanos/2018/11_dez/html/1.81310_726.html", "HTML")</f>
        <v/>
      </c>
      <c r="R1824">
        <f>HYPERLINK("https://raw.githubusercontent.com/marcosmapl/dataset_imigrantes/main/materias_filtered/a_critica/venezuelanos/2018/11_dez/txt/1.81310_726.txt", "TXT")</f>
        <v/>
      </c>
    </row>
    <row r="1825">
      <c r="A1825" s="1" t="n">
        <v>1823</v>
      </c>
      <c r="B1825" t="n">
        <v>2018</v>
      </c>
      <c r="C1825" s="2" t="n">
        <v>43450.69847222222</v>
      </c>
      <c r="D1825" t="inlineStr">
        <is>
          <t>A CRITICA</t>
        </is>
      </c>
      <c r="E1825" t="inlineStr">
        <is>
          <t>VENEZUELANOS</t>
        </is>
      </c>
      <c r="F1825" t="inlineStr"/>
      <c r="G1825" t="inlineStr">
        <is>
          <t>AGÊNCIA BRASIL</t>
        </is>
      </c>
      <c r="H1825" t="inlineStr">
        <is>
          <t>NICOLÁS MADURO NÃO É CONVIDADO PARA POSSE DE JAIR BOLSONARO, DIZ FUTURO CHANCELER</t>
        </is>
      </c>
      <c r="I1825" t="inlineStr">
        <is>
          <t>SÃO ESPERADOS CHEFES DE ESTADO E DE GOVERNO PARA A POSSE DO PRESIDENTE ELEITO DO BRASIL, EM 1º DE JANEIRO. BOLSONARO JÁ CRITICOU O REGIME DE MADURO NA VENEZUELA</t>
        </is>
      </c>
      <c r="J1825" t="inlineStr"/>
      <c r="K1825" t="n">
        <v>0</v>
      </c>
      <c r="L1825" t="n">
        <v>1</v>
      </c>
      <c r="M1825" t="n">
        <v>0</v>
      </c>
      <c r="N1825" t="n">
        <v>0</v>
      </c>
      <c r="O1825" t="n">
        <v>0</v>
      </c>
      <c r="P1825">
        <f>HYPERLINK("https://www.acritica.com/nicolas-maduro-n-o-e-convidado-para-posse-de-jair-bolsonaro-diz-futuro-chanceler-1.81537", "URL")</f>
        <v/>
      </c>
      <c r="Q1825">
        <f>HYPERLINK("https://raw.githubusercontent.com/marcosmapl/dataset_imigrantes/main/materias_filtered/a_critica/venezuelanos/2018/11_dez/html/1.81537_1321.html", "HTML")</f>
        <v/>
      </c>
      <c r="R1825">
        <f>HYPERLINK("https://raw.githubusercontent.com/marcosmapl/dataset_imigrantes/main/materias_filtered/a_critica/venezuelanos/2018/11_dez/txt/1.81537_1321.txt", "TXT")</f>
        <v/>
      </c>
    </row>
    <row r="1826">
      <c r="A1826" s="1" t="n">
        <v>1824</v>
      </c>
      <c r="B1826" t="n">
        <v>2018</v>
      </c>
      <c r="C1826" s="2" t="n">
        <v>43450.68174768519</v>
      </c>
      <c r="D1826" t="inlineStr">
        <is>
          <t>A CRITICA</t>
        </is>
      </c>
      <c r="E1826" t="inlineStr">
        <is>
          <t>VENEZUELANOS</t>
        </is>
      </c>
      <c r="F1826" t="inlineStr"/>
      <c r="G1826" t="inlineStr">
        <is>
          <t>AGÊNCIA BRASIL</t>
        </is>
      </c>
      <c r="H1826" t="inlineStr">
        <is>
          <t>BOLSONARO DIZ QUE PENA DE MORTE NÃO SERÁ DEBATIDA DURANTE SEU GOVERNO</t>
        </is>
      </c>
      <c r="I1826" t="inlineStr">
        <is>
          <t>A AFIRMAÇÃO FOI FEITA APÓS O FILHO DELE, DEPUTADO FEDERAL REELEITO EDUARDO BOLSONARO, DEFENDER EM REPORTAGEM DO JORNAL O GLOBO “A POSSIBILIDADE DE PENA DE MORTE PARA TRAFICANTES”</t>
        </is>
      </c>
      <c r="J1826" t="inlineStr"/>
      <c r="K1826" t="n">
        <v>0</v>
      </c>
      <c r="L1826" t="n">
        <v>1</v>
      </c>
      <c r="M1826" t="n">
        <v>0</v>
      </c>
      <c r="N1826" t="n">
        <v>0</v>
      </c>
      <c r="O1826" t="n">
        <v>0</v>
      </c>
      <c r="P1826">
        <f>HYPERLINK("https://www.acritica.com/bolsonaro-diz-que-pena-de-morte-n-o-sera-debatida-durante-seu-governo-1.81546", "URL")</f>
        <v/>
      </c>
      <c r="Q1826">
        <f>HYPERLINK("https://raw.githubusercontent.com/marcosmapl/dataset_imigrantes/main/materias_filtered/a_critica/venezuelanos/2018/11_dez/html/1.81546_409.html", "HTML")</f>
        <v/>
      </c>
      <c r="R1826">
        <f>HYPERLINK("https://raw.githubusercontent.com/marcosmapl/dataset_imigrantes/main/materias_filtered/a_critica/venezuelanos/2018/11_dez/txt/1.81546_409.txt", "TXT")</f>
        <v/>
      </c>
    </row>
    <row r="1827">
      <c r="A1827" s="1" t="n">
        <v>1825</v>
      </c>
      <c r="B1827" t="n">
        <v>2018</v>
      </c>
      <c r="C1827" s="2" t="n">
        <v>43449.44034895833</v>
      </c>
      <c r="D1827" t="inlineStr">
        <is>
          <t>G1</t>
        </is>
      </c>
      <c r="E1827" t="inlineStr">
        <is>
          <t>VENEZUELANOS</t>
        </is>
      </c>
      <c r="F1827" t="inlineStr">
        <is>
          <t>COMO SERÁ?</t>
        </is>
      </c>
      <c r="G1827" t="inlineStr">
        <is>
          <t>COMO SERÁ</t>
        </is>
      </c>
      <c r="H1827" t="inlineStr">
        <is>
          <t>VENEZUELANOS RECEBEM AULAS GRATUITAS DE PORTUGUÊS</t>
        </is>
      </c>
      <c r="I1827" t="inlineStr">
        <is>
          <t>ONG MINEIRA PREPARA NOSSOS VIZINHOS SUL-AMERICANOS PARA O MERCADO DE TRABALHO.</t>
        </is>
      </c>
      <c r="J1827" t="inlineStr"/>
      <c r="K1827" t="n">
        <v>0</v>
      </c>
      <c r="L1827" t="n">
        <v>1</v>
      </c>
      <c r="M1827" t="n">
        <v>1</v>
      </c>
      <c r="N1827" t="n">
        <v>0</v>
      </c>
      <c r="O1827" t="n">
        <v>0</v>
      </c>
      <c r="P1827">
        <f>HYPERLINK("https://g1.globo.com/como-sera/noticia/2018/12/15/venezuelanos-recebem-aulas-gratuitas-de-portugues.ghtml", "URL")</f>
        <v/>
      </c>
      <c r="Q1827">
        <f>HYPERLINK("https://raw.githubusercontent.com/marcosmapl/dataset_imigrantes/main/materias_filtered/g1/venezuelanos/2018/11_dez/html/g1_14b093c2-230a-11ed-b24f-6dbe51e79fca_2484.html", "HTML")</f>
        <v/>
      </c>
      <c r="R1827">
        <f>HYPERLINK("https://raw.githubusercontent.com/marcosmapl/dataset_imigrantes/main/materias_filtered/g1/venezuelanos/2018/11_dez/txt/g1_14b093c2-230a-11ed-b24f-6dbe51e79fca_2484.txt", "TXT")</f>
        <v/>
      </c>
    </row>
    <row r="1828">
      <c r="A1828" s="1" t="n">
        <v>1826</v>
      </c>
      <c r="B1828" t="n">
        <v>2018</v>
      </c>
      <c r="C1828" s="2" t="n">
        <v>43446.96132795139</v>
      </c>
      <c r="D1828" t="inlineStr">
        <is>
          <t>G1</t>
        </is>
      </c>
      <c r="E1828" t="inlineStr">
        <is>
          <t>VENEZUELANOS</t>
        </is>
      </c>
      <c r="F1828" t="inlineStr">
        <is>
          <t>MUNDO</t>
        </is>
      </c>
      <c r="G1828" t="inlineStr">
        <is>
          <t>AGÊNCIA EFE</t>
        </is>
      </c>
      <c r="H1828" t="inlineStr">
        <is>
          <t>EUA DIZEM QUE RÚSSIA RETIRARÁ BOMBARDEIROS DA VENEZUELA NA SEXTA-FEIRA</t>
        </is>
      </c>
      <c r="I1828" t="inlineStr">
        <is>
          <t>PORTA-VOZ DA CASA BRANCA DIZ QUE RECEBEU INFORMAÇÃO DE REPRESENTANTES RUSSOS. AVIÕES CHEGARAM A CARACAS NA SEGUNDA-FEIRA PARA PARTICIPAR DE EXERCÍCIOS MILITARES QUE VISAM PREPARAR VENEZUELA PARA 'EVENTUAIS ATAQUES'.</t>
        </is>
      </c>
      <c r="J1828" t="inlineStr"/>
      <c r="K1828" t="n">
        <v>0</v>
      </c>
      <c r="L1828" t="n">
        <v>1</v>
      </c>
      <c r="M1828" t="n">
        <v>0</v>
      </c>
      <c r="N1828" t="n">
        <v>0</v>
      </c>
      <c r="O1828" t="n">
        <v>3</v>
      </c>
      <c r="P1828">
        <f>HYPERLINK("https://g1.globo.com/mundo/noticia/2018/12/12/eua-dizem-que-russia-retirara-bombardeiros-da-venezuela-na-sexta-feira.ghtml", "URL")</f>
        <v/>
      </c>
      <c r="Q1828">
        <f>HYPERLINK("https://raw.githubusercontent.com/marcosmapl/dataset_imigrantes/main/materias_filtered/g1/venezuelanos/2018/11_dez/html/g1_bcff1282-2329-11ed-b24f-6dbe51e79fca_4136.html", "HTML")</f>
        <v/>
      </c>
      <c r="R1828">
        <f>HYPERLINK("https://raw.githubusercontent.com/marcosmapl/dataset_imigrantes/main/materias_filtered/g1/venezuelanos/2018/11_dez/txt/g1_bcff1282-2329-11ed-b24f-6dbe51e79fca_4136.txt", "TXT")</f>
        <v/>
      </c>
    </row>
    <row r="1829">
      <c r="A1829" s="1" t="n">
        <v>1827</v>
      </c>
      <c r="B1829" t="n">
        <v>2018</v>
      </c>
      <c r="C1829" s="2" t="n">
        <v>43446.49583333333</v>
      </c>
      <c r="D1829" t="inlineStr">
        <is>
          <t>A CRITICA</t>
        </is>
      </c>
      <c r="E1829" t="inlineStr">
        <is>
          <t>VENEZUELANOS</t>
        </is>
      </c>
      <c r="F1829" t="inlineStr">
        <is>
          <t>MANAUS</t>
        </is>
      </c>
      <c r="G1829" t="inlineStr">
        <is>
          <t>VINICIUS LEAL E AMANDA GUIMARÃES</t>
        </is>
      </c>
      <c r="H1829" t="inlineStr">
        <is>
          <t>GRUPO DE VENEZUELANOS SE RECUSA A SAIR DE ACAMPAMENTO NA RODOVIÁRIA DE MANAUS</t>
        </is>
      </c>
      <c r="I1829" t="inlineStr">
        <is>
          <t>SEGUNDO A SEJUSC, OS REFUGIADOS NÃO INDÍGENAS PEDIRAM RECEBIMENTO DE ALUGUEL SOCIAL E ACOLHIMENTO EM ABRIGOS COM QUARTOS INDIVIDUAIS</t>
        </is>
      </c>
      <c r="J1829" t="inlineStr"/>
      <c r="K1829" t="n">
        <v>0</v>
      </c>
      <c r="L1829" t="n">
        <v>1</v>
      </c>
      <c r="M1829" t="n">
        <v>0</v>
      </c>
      <c r="N1829" t="n">
        <v>0</v>
      </c>
      <c r="O1829" t="n">
        <v>1</v>
      </c>
      <c r="P1829">
        <f>HYPERLINK("https://www.acritica.com/manaus/grupo-de-venezuelanos-se-recusa-a-sair-de-acampamento-na-rodoviaria-de-manaus-1.78784", "URL")</f>
        <v/>
      </c>
      <c r="Q1829">
        <f>HYPERLINK("https://raw.githubusercontent.com/marcosmapl/dataset_imigrantes/main/materias_filtered/a_critica/venezuelanos/2018/11_dez/html/1.78784_1300.html", "HTML")</f>
        <v/>
      </c>
      <c r="R1829">
        <f>HYPERLINK("https://raw.githubusercontent.com/marcosmapl/dataset_imigrantes/main/materias_filtered/a_critica/venezuelanos/2018/11_dez/txt/1.78784_1300.txt", "TXT")</f>
        <v/>
      </c>
    </row>
    <row r="1830">
      <c r="A1830" s="1" t="n">
        <v>1828</v>
      </c>
      <c r="B1830" t="n">
        <v>2018</v>
      </c>
      <c r="C1830" s="2" t="n">
        <v>43445.47083333333</v>
      </c>
      <c r="D1830" t="inlineStr">
        <is>
          <t>PORTAL AMAZONIA</t>
        </is>
      </c>
      <c r="E1830" t="inlineStr">
        <is>
          <t>VENEZUELANOS</t>
        </is>
      </c>
      <c r="F1830" t="inlineStr">
        <is>
          <t>CIDADES</t>
        </is>
      </c>
      <c r="G1830" t="inlineStr">
        <is>
          <t>REDAÇÃO</t>
        </is>
      </c>
      <c r="H1830" t="inlineStr">
        <is>
          <t>TEMER DISCUTE PLANO DE RECUPERAÇÃO FISCAL DE RORAIMA</t>
        </is>
      </c>
      <c r="I1830" t="inlineStr">
        <is>
          <t>O PRESIDENTE MICHEL TEMER RECEBERÁ, AO MEIO-DIA DESTA TERÇA-FEIRA (11), O GOVERNADOR ELEITO DE RORAIMA, ANTONIO DENARIUM, NOMEADO INTERVENTOR NO ESTADO. DENARIUM VAI APRESENTAR AO PRESIDENTE O PLANO DE RECUPERAÇÃO FISCAL DO ESTADO E INFORMAÇÕES PARA</t>
        </is>
      </c>
      <c r="J1830" t="inlineStr">
        <is>
          <t>INTERVENCAO FEDERAL, MICHEL TEMER, RECUPERACAO FISCAL, RORAIMA</t>
        </is>
      </c>
      <c r="K1830" t="n">
        <v>4</v>
      </c>
      <c r="L1830" t="n">
        <v>2</v>
      </c>
      <c r="M1830" t="n">
        <v>0</v>
      </c>
      <c r="N1830" t="n">
        <v>0</v>
      </c>
      <c r="O1830" t="n">
        <v>9</v>
      </c>
      <c r="P1830">
        <f>HYPERLINK("https://portalamazonia.com/noticias/cidades/temer-discute-plano-de-recuperacao-fiscal-de-roraima", "URL")</f>
        <v/>
      </c>
      <c r="Q1830">
        <f>HYPERLINK("https://raw.githubusercontent.com/marcosmapl/dataset_imigrantes/main/materias_filtered/portal_amazonia/venezuelanos/2018/11_dez/html/16481.16481_1409.html", "HTML")</f>
        <v/>
      </c>
      <c r="R1830">
        <f>HYPERLINK("https://raw.githubusercontent.com/marcosmapl/dataset_imigrantes/main/materias_filtered/portal_amazonia/venezuelanos/2018/11_dez/txt/16481.16481_1409.txt", "TXT")</f>
        <v/>
      </c>
    </row>
    <row r="1831">
      <c r="A1831" s="1" t="n">
        <v>1829</v>
      </c>
      <c r="B1831" t="n">
        <v>2018</v>
      </c>
      <c r="C1831" s="2" t="n">
        <v>43444.94305555556</v>
      </c>
      <c r="D1831" t="inlineStr">
        <is>
          <t>A CRITICA</t>
        </is>
      </c>
      <c r="E1831" t="inlineStr">
        <is>
          <t>VENEZUELANOS</t>
        </is>
      </c>
      <c r="F1831" t="inlineStr">
        <is>
          <t>MANAUS</t>
        </is>
      </c>
      <c r="G1831" t="inlineStr">
        <is>
          <t>ACRÍTICA.COM</t>
        </is>
      </c>
      <c r="H1831" t="inlineStr">
        <is>
          <t>TREZE VENEZUELANOS ACAMPADOS NA RODOVIÁRIA SERÃO LEVADOS PARA ABRIGO NESTA TERÇA (11)</t>
        </is>
      </c>
      <c r="I1831" t="inlineStr">
        <is>
          <t>ENTRE AS 13 PESSOAS QUE VÃO PARA O ABRIGO OASIS, LOCALIZADO NO BAIRRO ADRIANÓPOLIS, ZONA CENTRO-SUL, ESTÃO INCLUÍDAS CRIANÇAS MENORES DE CINCO ANOS, JUNTAMENTE COM SUAS MÃES</t>
        </is>
      </c>
      <c r="J1831" t="inlineStr"/>
      <c r="K1831" t="n">
        <v>0</v>
      </c>
      <c r="L1831" t="n">
        <v>1</v>
      </c>
      <c r="M1831" t="n">
        <v>0</v>
      </c>
      <c r="N1831" t="n">
        <v>0</v>
      </c>
      <c r="O1831" t="n">
        <v>0</v>
      </c>
      <c r="P1831">
        <f>HYPERLINK("https://www.acritica.com/manaus/treze-venezuelanos-acampados-na-rodoviaria-ser-o-levados-para-abrigo-nesta-terca-11-1.81785", "URL")</f>
        <v/>
      </c>
      <c r="Q1831">
        <f>HYPERLINK("https://raw.githubusercontent.com/marcosmapl/dataset_imigrantes/main/materias_filtered/a_critica/venezuelanos/2018/11_dez/html/1.81785_869.html", "HTML")</f>
        <v/>
      </c>
      <c r="R1831">
        <f>HYPERLINK("https://raw.githubusercontent.com/marcosmapl/dataset_imigrantes/main/materias_filtered/a_critica/venezuelanos/2018/11_dez/txt/1.81785_869.txt", "TXT")</f>
        <v/>
      </c>
    </row>
    <row r="1832">
      <c r="A1832" s="1" t="n">
        <v>1830</v>
      </c>
      <c r="B1832" t="n">
        <v>2018</v>
      </c>
      <c r="C1832" s="2" t="n">
        <v>43444.38125</v>
      </c>
      <c r="D1832" t="inlineStr">
        <is>
          <t>A CRITICA</t>
        </is>
      </c>
      <c r="E1832" t="inlineStr">
        <is>
          <t>VENEZUELANOS</t>
        </is>
      </c>
      <c r="F1832" t="inlineStr"/>
      <c r="G1832" t="inlineStr">
        <is>
          <t>PAULO ANDRÉ NUNES</t>
        </is>
      </c>
      <c r="H1832" t="inlineStr">
        <is>
          <t>DECLARAÇÃO UNIVERSAL DOS DIREITOS HUMANOS COMPLETA 70 ANOS DE EXISTÊNCIA</t>
        </is>
      </c>
      <c r="I1832" t="inlineStr">
        <is>
          <t>ESPECIALISTAS FALAM SOBRE AVANÇOS E DESAFIOS DA DECLARAÇÃO, QUE GARANTE DIREITOS TANTO PARA BRASILEIROS QUANTO AOS REFUGIADOS</t>
        </is>
      </c>
      <c r="J1832" t="inlineStr"/>
      <c r="K1832" t="n">
        <v>0</v>
      </c>
      <c r="L1832" t="n">
        <v>1</v>
      </c>
      <c r="M1832" t="n">
        <v>0</v>
      </c>
      <c r="N1832" t="n">
        <v>0</v>
      </c>
      <c r="O1832" t="n">
        <v>0</v>
      </c>
      <c r="P1832">
        <f>HYPERLINK("https://www.acritica.com/declarac-o-universal-dos-direitos-humanos-completa-70-anos-de-existencia-1.81961", "URL")</f>
        <v/>
      </c>
      <c r="Q1832">
        <f>HYPERLINK("https://raw.githubusercontent.com/marcosmapl/dataset_imigrantes/main/materias_filtered/a_critica/venezuelanos/2018/11_dez/html/1.81961_873.html", "HTML")</f>
        <v/>
      </c>
      <c r="R1832">
        <f>HYPERLINK("https://raw.githubusercontent.com/marcosmapl/dataset_imigrantes/main/materias_filtered/a_critica/venezuelanos/2018/11_dez/txt/1.81961_873.txt", "TXT")</f>
        <v/>
      </c>
    </row>
    <row r="1833">
      <c r="A1833" s="1" t="n">
        <v>1831</v>
      </c>
      <c r="B1833" t="n">
        <v>2018</v>
      </c>
      <c r="C1833" s="2" t="n">
        <v>43443.8630324074</v>
      </c>
      <c r="D1833" t="inlineStr">
        <is>
          <t>A CRITICA</t>
        </is>
      </c>
      <c r="E1833" t="inlineStr">
        <is>
          <t>VENEZUELANOS</t>
        </is>
      </c>
      <c r="F1833" t="inlineStr">
        <is>
          <t>ESPORTES</t>
        </is>
      </c>
      <c r="G1833" t="inlineStr">
        <is>
          <t>ACRÍTICA.COM</t>
        </is>
      </c>
      <c r="H1833" t="inlineStr">
        <is>
          <t>CORRIDA E CAMINHADA PARA REFUGIADOS REÚNE 2 MIL PARTICIPANTES NA PONTA NEGRA</t>
        </is>
      </c>
      <c r="I1833" t="inlineStr">
        <is>
          <t>NO TOTAL, FORAM ARRECADADOS MAIS DE 5 MIL ITENS ALIMENTÍCIOS QUE SERÃO REPASSADOS AOS ABRIGOS MANTIDOS PELA PREFEITURA DE MANAUS E A CÁRITAS ARQUIDIOCESANA</t>
        </is>
      </c>
      <c r="J1833" t="inlineStr"/>
      <c r="K1833" t="n">
        <v>0</v>
      </c>
      <c r="L1833" t="n">
        <v>1</v>
      </c>
      <c r="M1833" t="n">
        <v>0</v>
      </c>
      <c r="N1833" t="n">
        <v>0</v>
      </c>
      <c r="O1833" t="n">
        <v>0</v>
      </c>
      <c r="P1833">
        <f>HYPERLINK("https://www.acritica.com/esportes/corrida-e-caminhada-para-refugiados-reune-2-mil-participantes-na-ponta-negra-1.81892", "URL")</f>
        <v/>
      </c>
      <c r="Q1833">
        <f>HYPERLINK("https://raw.githubusercontent.com/marcosmapl/dataset_imigrantes/main/materias_filtered/a_critica/venezuelanos/2018/11_dez/html/1.81892_523.html", "HTML")</f>
        <v/>
      </c>
      <c r="R1833">
        <f>HYPERLINK("https://raw.githubusercontent.com/marcosmapl/dataset_imigrantes/main/materias_filtered/a_critica/venezuelanos/2018/11_dez/txt/1.81892_523.txt", "TXT")</f>
        <v/>
      </c>
    </row>
    <row r="1834">
      <c r="A1834" s="1" t="n">
        <v>1832</v>
      </c>
      <c r="B1834" t="n">
        <v>2018</v>
      </c>
      <c r="C1834" s="2" t="n">
        <v>43442.81026620371</v>
      </c>
      <c r="D1834" t="inlineStr">
        <is>
          <t>A CRITICA</t>
        </is>
      </c>
      <c r="E1834" t="inlineStr">
        <is>
          <t>VENEZUELANOS</t>
        </is>
      </c>
      <c r="F1834" t="inlineStr"/>
      <c r="G1834" t="inlineStr">
        <is>
          <t>AGÊNCIA BRASIL</t>
        </is>
      </c>
      <c r="H1834" t="inlineStr">
        <is>
          <t>CONSELHOS APROVAM INTERVENÇÃO EM RORAIMA E DECRETO SAI NA SEGUNDA</t>
        </is>
      </c>
      <c r="I1834" t="inlineStr">
        <is>
          <t>COM O TEXTO EM FASE DE FINALIZAÇÃO, O DECRETO DEVE SER PUBLICADO NA SEGUNDA-FEIRA (10) NO DIÁRIO OFICIAL DA UNIÃO</t>
        </is>
      </c>
      <c r="J1834" t="inlineStr"/>
      <c r="K1834" t="n">
        <v>0</v>
      </c>
      <c r="L1834" t="n">
        <v>1</v>
      </c>
      <c r="M1834" t="n">
        <v>0</v>
      </c>
      <c r="N1834" t="n">
        <v>0</v>
      </c>
      <c r="O1834" t="n">
        <v>0</v>
      </c>
      <c r="P1834">
        <f>HYPERLINK("https://www.acritica.com/conselhos-aprovam-intervenc-o-em-roraima-e-decreto-sai-na-segunda-1.81978", "URL")</f>
        <v/>
      </c>
      <c r="Q1834">
        <f>HYPERLINK("https://raw.githubusercontent.com/marcosmapl/dataset_imigrantes/main/materias_filtered/a_critica/venezuelanos/2018/11_dez/html/1.81978_1265.html", "HTML")</f>
        <v/>
      </c>
      <c r="R1834">
        <f>HYPERLINK("https://raw.githubusercontent.com/marcosmapl/dataset_imigrantes/main/materias_filtered/a_critica/venezuelanos/2018/11_dez/txt/1.81978_1265.txt", "TXT")</f>
        <v/>
      </c>
    </row>
    <row r="1835">
      <c r="A1835" s="1" t="n">
        <v>1833</v>
      </c>
      <c r="B1835" t="n">
        <v>2018</v>
      </c>
      <c r="C1835" s="2" t="n">
        <v>43441.7284409375</v>
      </c>
      <c r="D1835" t="inlineStr">
        <is>
          <t>G1</t>
        </is>
      </c>
      <c r="E1835" t="inlineStr">
        <is>
          <t>VENEZUELANOS</t>
        </is>
      </c>
      <c r="F1835" t="inlineStr">
        <is>
          <t>SÃO PAULO</t>
        </is>
      </c>
      <c r="G1835" t="inlineStr">
        <is>
          <t>VERUSKA DONATO , JORNAL HOJE — SÃO PAULO</t>
        </is>
      </c>
      <c r="H1835" t="inlineStr">
        <is>
          <t>ESPANHOL AUTOR DE MASSACRE EM 1977 USAVA IDENTIDADE VENEZUELANA E VIVIA COM BRASILEIRA EM SP</t>
        </is>
      </c>
      <c r="I1835" t="inlineStr">
        <is>
          <t>CARLOS JULIÁ FOI PRESO NA QUARTA-FEIRA (5) EM SÃO PAULO. ELE FOI CONDENADO A 193 ANOS DE PRISÃO POR SER UM DOS AUTORES DE ATENTADO A UM ESCRITÓRIO DE ADVOCACIA EM MADRI.</t>
        </is>
      </c>
      <c r="J1835" t="inlineStr"/>
      <c r="K1835" t="n">
        <v>0</v>
      </c>
      <c r="L1835" t="n">
        <v>1</v>
      </c>
      <c r="M1835" t="n">
        <v>1</v>
      </c>
      <c r="N1835" t="n">
        <v>0</v>
      </c>
      <c r="O1835" t="n">
        <v>1</v>
      </c>
      <c r="P1835">
        <f>HYPERLINK("https://g1.globo.com/sp/sao-paulo/noticia/2018/12/07/espanhol-autor-de-massacre-em-1977-usava-identidade-venezuelana-e-vivia-com-brasileira-em-sp.ghtml", "URL")</f>
        <v/>
      </c>
      <c r="Q1835">
        <f>HYPERLINK("https://raw.githubusercontent.com/marcosmapl/dataset_imigrantes/main/materias_filtered/g1/venezuelanos/2018/11_dez/html/g1_e638329e-2317-11ed-b24f-6dbe51e79fca_3233.html", "HTML")</f>
        <v/>
      </c>
      <c r="R1835">
        <f>HYPERLINK("https://raw.githubusercontent.com/marcosmapl/dataset_imigrantes/main/materias_filtered/g1/venezuelanos/2018/11_dez/txt/g1_e638329e-2317-11ed-b24f-6dbe51e79fca_3233.txt", "TXT")</f>
        <v/>
      </c>
    </row>
    <row r="1836">
      <c r="A1836" s="1" t="n">
        <v>1834</v>
      </c>
      <c r="B1836" t="n">
        <v>2018</v>
      </c>
      <c r="C1836" s="2" t="n">
        <v>43441.72166135417</v>
      </c>
      <c r="D1836" t="inlineStr">
        <is>
          <t>G1</t>
        </is>
      </c>
      <c r="E1836" t="inlineStr">
        <is>
          <t>HAITIANOS</t>
        </is>
      </c>
      <c r="F1836" t="inlineStr">
        <is>
          <t>DISTRITO FEDERAL</t>
        </is>
      </c>
      <c r="G1836" t="inlineStr">
        <is>
          <t>MARÍLIA MARQUES E BIANCA MARINHO, G1 DF E TV GLOBO</t>
        </is>
      </c>
      <c r="H1836" t="inlineStr">
        <is>
          <t>IMIGRANTE CEGA QUE SOBREVIVEU A  TERREMOTO NO HAITI RECEBE CARTEIRA DA OAB NO DF</t>
        </is>
      </c>
      <c r="I1836" t="inlineStr">
        <is>
          <t>'VOU CHEGAR AINDA MAIS LONGE', DISSE NADINE, QUE CHEGOU AO BRASIL EM 2013. CERIMÔNIA DE REGISTRO DA ADVOGADA FOI NESTA SEXTA-FEIRA.</t>
        </is>
      </c>
      <c r="J1836" t="inlineStr"/>
      <c r="K1836" t="n">
        <v>0</v>
      </c>
      <c r="L1836" t="n">
        <v>2</v>
      </c>
      <c r="M1836" t="n">
        <v>0</v>
      </c>
      <c r="N1836" t="n">
        <v>0</v>
      </c>
      <c r="O1836" t="n">
        <v>4</v>
      </c>
      <c r="P1836">
        <f>HYPERLINK("https://g1.globo.com/df/distrito-federal/noticia/2018/12/07/imigrante-cega-que-sobreviveu-a-terremoto-no-haiti-recebe-carteira-da-oab-no-df.ghtml", "URL")</f>
        <v/>
      </c>
      <c r="Q1836">
        <f>HYPERLINK("https://raw.githubusercontent.com/marcosmapl/dataset_imigrantes/main/materias_filtered/g1/haitianos/2018/11_dez/html/g1_e3723806-2309-11ed-b24f-6dbe51e79fca_2471.html", "HTML")</f>
        <v/>
      </c>
      <c r="R1836">
        <f>HYPERLINK("https://raw.githubusercontent.com/marcosmapl/dataset_imigrantes/main/materias_filtered/g1/haitianos/2018/11_dez/txt/g1_e3723806-2309-11ed-b24f-6dbe51e79fca_2471.txt", "TXT")</f>
        <v/>
      </c>
    </row>
    <row r="1837">
      <c r="A1837" s="1" t="n">
        <v>1835</v>
      </c>
      <c r="B1837" t="n">
        <v>2018</v>
      </c>
      <c r="C1837" s="2" t="n">
        <v>43440.82391974537</v>
      </c>
      <c r="D1837" t="inlineStr">
        <is>
          <t>G1</t>
        </is>
      </c>
      <c r="E1837" t="inlineStr">
        <is>
          <t>VENEZUELANOS</t>
        </is>
      </c>
      <c r="F1837" t="inlineStr">
        <is>
          <t>MUNDO</t>
        </is>
      </c>
      <c r="G1837" t="inlineStr">
        <is>
          <t>FRANCE PRESSE</t>
        </is>
      </c>
      <c r="H1837" t="inlineStr">
        <is>
          <t>DESACREDITADOS, VENEZUELANOS ELEGEM VEREADORES NO DOMINGO</t>
        </is>
      </c>
      <c r="I1837" t="inlineStr">
        <is>
          <t>CHAVISMO SE PREPARA PARA AMPLIAR SEU CONTROLE NAS REGIÕES COM A ELEIÇÃO DE 335 CONSELHOS;  OPOSIÇÃO CONTROLA ATUALMENTE 80 ASSEMBLEIAS MUNICIPAIS. EXPECTATIVA É DE ÍNDICE HISTÓRICO DE ABSTENÇÃO.</t>
        </is>
      </c>
      <c r="J1837" t="inlineStr"/>
      <c r="K1837" t="n">
        <v>0</v>
      </c>
      <c r="L1837" t="n">
        <v>1</v>
      </c>
      <c r="M1837" t="n">
        <v>0</v>
      </c>
      <c r="N1837" t="n">
        <v>0</v>
      </c>
      <c r="O1837" t="n">
        <v>1</v>
      </c>
      <c r="P1837">
        <f>HYPERLINK("https://g1.globo.com/mundo/noticia/2018/12/06/desacreditados-venezuelanos-elegem-vereadores-no-domingo.ghtml", "URL")</f>
        <v/>
      </c>
      <c r="Q1837">
        <f>HYPERLINK("https://raw.githubusercontent.com/marcosmapl/dataset_imigrantes/main/materias_filtered/g1/venezuelanos/2018/11_dez/html/g1_871c8fb2-2326-11ed-b24f-6dbe51e79fca_3982.html", "HTML")</f>
        <v/>
      </c>
      <c r="R1837">
        <f>HYPERLINK("https://raw.githubusercontent.com/marcosmapl/dataset_imigrantes/main/materias_filtered/g1/venezuelanos/2018/11_dez/txt/g1_871c8fb2-2326-11ed-b24f-6dbe51e79fca_3982.txt", "TXT")</f>
        <v/>
      </c>
    </row>
    <row r="1838">
      <c r="A1838" s="1" t="n">
        <v>1836</v>
      </c>
      <c r="B1838" t="n">
        <v>2018</v>
      </c>
      <c r="C1838" s="2" t="n">
        <v>43440.50144675926</v>
      </c>
      <c r="D1838" t="inlineStr">
        <is>
          <t>A CRITICA</t>
        </is>
      </c>
      <c r="E1838" t="inlineStr">
        <is>
          <t>VENEZUELANOS</t>
        </is>
      </c>
      <c r="F1838" t="inlineStr"/>
      <c r="G1838" t="inlineStr">
        <is>
          <t>MAIANA DINIZ (AGÊNCIA BRASIL)</t>
        </is>
      </c>
      <c r="H1838" t="inlineStr">
        <is>
          <t>METADE DOS VENEZUELANOS QUE ENTRAM NO BRASIL ACABA VOLTANDO AO PAÍS DE ORIGEM</t>
        </is>
      </c>
      <c r="I1838" t="inlineStr">
        <is>
          <t>SEGUNDO A CASA CIVIL, ATUALMENTE HÁ 5.723 VENEZUELANOS ACOLHIDOS NOS 13 ABRIGOS CONSTRUÍDOS PELO GOVERNO FEDERAL EM RORAIMA E GERIDOS PELA ONU</t>
        </is>
      </c>
      <c r="J1838" t="inlineStr"/>
      <c r="K1838" t="n">
        <v>0</v>
      </c>
      <c r="L1838" t="n">
        <v>1</v>
      </c>
      <c r="M1838" t="n">
        <v>0</v>
      </c>
      <c r="N1838" t="n">
        <v>0</v>
      </c>
      <c r="O1838" t="n">
        <v>0</v>
      </c>
      <c r="P1838">
        <f>HYPERLINK("https://www.acritica.com/metade-dos-venezuelanos-que-entram-no-brasil-acaba-voltando-ao-pais-de-origem-1.82489", "URL")</f>
        <v/>
      </c>
      <c r="Q1838">
        <f>HYPERLINK("https://raw.githubusercontent.com/marcosmapl/dataset_imigrantes/main/materias_filtered/a_critica/venezuelanos/2018/11_dez/html/1.82489_572.html", "HTML")</f>
        <v/>
      </c>
      <c r="R1838">
        <f>HYPERLINK("https://raw.githubusercontent.com/marcosmapl/dataset_imigrantes/main/materias_filtered/a_critica/venezuelanos/2018/11_dez/txt/1.82489_572.txt", "TXT")</f>
        <v/>
      </c>
    </row>
    <row r="1839">
      <c r="A1839" s="1" t="n">
        <v>1837</v>
      </c>
      <c r="B1839" t="n">
        <v>2018</v>
      </c>
      <c r="C1839" s="2" t="n">
        <v>43439.9396305787</v>
      </c>
      <c r="D1839" t="inlineStr">
        <is>
          <t>G1</t>
        </is>
      </c>
      <c r="E1839" t="inlineStr">
        <is>
          <t>VENEZUELANOS</t>
        </is>
      </c>
      <c r="F1839" t="inlineStr">
        <is>
          <t>REGIÃO DOS LAGOS</t>
        </is>
      </c>
      <c r="G1839" t="inlineStr">
        <is>
          <t>G1 — REGIÃO DOS LAGOS</t>
        </is>
      </c>
      <c r="H1839" t="inlineStr">
        <is>
          <t>POLÍCIA FEDERAL PRENDE EM CABO FRIO, RJ, VENEZUELANO QUE FALSIFICAVA DOCUMENTOS DE IMIGRAÇÃO</t>
        </is>
      </c>
      <c r="I1839" t="inlineStr">
        <is>
          <t>COM O PRESO FORAM ENCONTRADOS VÁRIOS PROTOCOLOS EM BRANCO E AINDA CERTIDÕES DE ANTECEDENTES DA VENEZUELA JÁ CARIMBADAS, DE ACORDO COM OS AGENTES.</t>
        </is>
      </c>
      <c r="J1839" t="inlineStr"/>
      <c r="K1839" t="n">
        <v>0</v>
      </c>
      <c r="L1839" t="n">
        <v>1</v>
      </c>
      <c r="M1839" t="n">
        <v>0</v>
      </c>
      <c r="N1839" t="n">
        <v>0</v>
      </c>
      <c r="O1839" t="n">
        <v>0</v>
      </c>
      <c r="P1839">
        <f>HYPERLINK("https://g1.globo.com/rj/regiao-dos-lagos/noticia/2018/12/05/policia-federal-prende-em-cabo-frio-rj-venezuelano-que-falsificava-documentos-de-imigracao.ghtml", "URL")</f>
        <v/>
      </c>
      <c r="Q1839">
        <f>HYPERLINK("https://raw.githubusercontent.com/marcosmapl/dataset_imigrantes/main/materias_filtered/g1/venezuelanos/2018/11_dez/html/g1_8f563df6-2310-11ed-b24f-6dbe51e79fca_2863.html", "HTML")</f>
        <v/>
      </c>
      <c r="R1839">
        <f>HYPERLINK("https://raw.githubusercontent.com/marcosmapl/dataset_imigrantes/main/materias_filtered/g1/venezuelanos/2018/11_dez/txt/g1_8f563df6-2310-11ed-b24f-6dbe51e79fca_2863.txt", "TXT")</f>
        <v/>
      </c>
    </row>
    <row r="1840">
      <c r="A1840" s="1" t="n">
        <v>1838</v>
      </c>
      <c r="B1840" t="n">
        <v>2018</v>
      </c>
      <c r="C1840" s="2" t="n">
        <v>43439.58146975694</v>
      </c>
      <c r="D1840" t="inlineStr">
        <is>
          <t>G1</t>
        </is>
      </c>
      <c r="E1840" t="inlineStr">
        <is>
          <t>VENEZUELANOS</t>
        </is>
      </c>
      <c r="F1840" t="inlineStr">
        <is>
          <t>PARÁ</t>
        </is>
      </c>
      <c r="G1840" t="inlineStr">
        <is>
          <t>G1 PA — BELÉM</t>
        </is>
      </c>
      <c r="H1840" t="inlineStr">
        <is>
          <t>SITUAÇÃO DE CRIANÇAS VENEZUELANAS NAS RUAS PREOCUPA AUTORIDADES EM CASTANHAL</t>
        </is>
      </c>
      <c r="I1840" t="inlineStr">
        <is>
          <t>HÁ 20 DIAS, UM GRUPO DE 40 REFUGIADOS CHEGOU AO MUNICÍPIO. ELES FICAM NAS CALÇADAS DO CENTRO COMERCIAL VIVENDO COMO MENDIGOS.</t>
        </is>
      </c>
      <c r="J1840" t="inlineStr"/>
      <c r="K1840" t="n">
        <v>0</v>
      </c>
      <c r="L1840" t="n">
        <v>2</v>
      </c>
      <c r="M1840" t="n">
        <v>1</v>
      </c>
      <c r="N1840" t="n">
        <v>0</v>
      </c>
      <c r="O1840" t="n">
        <v>0</v>
      </c>
      <c r="P1840">
        <f>HYPERLINK("https://g1.globo.com/pa/para/noticia/2018/12/05/situacao-de-criancas-venezuelanas-nas-ruas-preocupa-autoridades-em-castanhal.ghtml", "URL")</f>
        <v/>
      </c>
      <c r="Q1840">
        <f>HYPERLINK("https://raw.githubusercontent.com/marcosmapl/dataset_imigrantes/main/materias_filtered/g1/venezuelanos/2018/11_dez/html/g1_204fbebc-2308-11ed-b24f-6dbe51e79fca_2366.html", "HTML")</f>
        <v/>
      </c>
      <c r="R1840">
        <f>HYPERLINK("https://raw.githubusercontent.com/marcosmapl/dataset_imigrantes/main/materias_filtered/g1/venezuelanos/2018/11_dez/txt/g1_204fbebc-2308-11ed-b24f-6dbe51e79fca_2366.txt", "TXT")</f>
        <v/>
      </c>
    </row>
    <row r="1841">
      <c r="A1841" s="1" t="n">
        <v>1839</v>
      </c>
      <c r="B1841" t="n">
        <v>2018</v>
      </c>
      <c r="C1841" s="2" t="n">
        <v>43438.61616475695</v>
      </c>
      <c r="D1841" t="inlineStr">
        <is>
          <t>G1</t>
        </is>
      </c>
      <c r="E1841" t="inlineStr">
        <is>
          <t>HAITIANOS</t>
        </is>
      </c>
      <c r="F1841" t="inlineStr">
        <is>
          <t>ACRE</t>
        </is>
      </c>
      <c r="G1841" t="inlineStr">
        <is>
          <t>TÁCITA MUNIZ , G1 AC — RIO BRANCO</t>
        </is>
      </c>
      <c r="H1841" t="inlineStr">
        <is>
          <t>EM LIVRO, ESTUDANTE ANALISA MIGRAÇÃO DE HAITIANOS QUE USARAM O ACRE COMO ROTA DE REFÚGIO</t>
        </is>
      </c>
      <c r="I1841" t="inlineStr">
        <is>
          <t>ANNE CAROLINE SE FORMOU EM GEOGRAFIA PELA UFAC E ESTUDOU O FENÔMENO MIGRATÓRIO DURANTE UM ANO. LIVRO FOI LANÇADO EM EDITORA ONLINE.</t>
        </is>
      </c>
      <c r="J1841" t="inlineStr"/>
      <c r="K1841" t="n">
        <v>0</v>
      </c>
      <c r="L1841" t="n">
        <v>2</v>
      </c>
      <c r="M1841" t="n">
        <v>0</v>
      </c>
      <c r="N1841" t="n">
        <v>0</v>
      </c>
      <c r="O1841" t="n">
        <v>4</v>
      </c>
      <c r="P1841">
        <f>HYPERLINK("https://g1.globo.com/ac/acre/noticia/2018/12/04/em-livro-estudante-analisa-migracao-de-haitianos-que-usaram-o-acre-como-rota-de-refugio.ghtml", "URL")</f>
        <v/>
      </c>
      <c r="Q1841">
        <f>HYPERLINK("https://raw.githubusercontent.com/marcosmapl/dataset_imigrantes/main/materias_filtered/g1/haitianos/2018/11_dez/html/g1_aa80272e-22f0-11ed-b24f-6dbe51e79fca_1714.html", "HTML")</f>
        <v/>
      </c>
      <c r="R1841">
        <f>HYPERLINK("https://raw.githubusercontent.com/marcosmapl/dataset_imigrantes/main/materias_filtered/g1/haitianos/2018/11_dez/txt/g1_aa80272e-22f0-11ed-b24f-6dbe51e79fca_1714.txt", "TXT")</f>
        <v/>
      </c>
    </row>
    <row r="1842">
      <c r="A1842" s="1" t="n">
        <v>1840</v>
      </c>
      <c r="B1842" t="n">
        <v>2018</v>
      </c>
      <c r="C1842" s="2" t="n">
        <v>43438.48450231482</v>
      </c>
      <c r="D1842" t="inlineStr">
        <is>
          <t>A CRITICA</t>
        </is>
      </c>
      <c r="E1842" t="inlineStr">
        <is>
          <t>VENEZUELANOS</t>
        </is>
      </c>
      <c r="F1842" t="inlineStr"/>
      <c r="G1842" t="inlineStr">
        <is>
          <t>AGÊNCIA BRASIL</t>
        </is>
      </c>
      <c r="H1842" t="inlineStr">
        <is>
          <t>BRASIL DOA R$ 15 MILHÕES A ENTIDADES INTERNACIONAIS VOLTADAS A MIGRAÇÃO</t>
        </is>
      </c>
      <c r="I1842" t="inlineStr">
        <is>
          <t>DINHEIRO VAI PARA O ACNUR E A OIM, QUE SE DESTINAM A ACOLHER PESSOAS EM SITUAÇÃO DE VULNERABILIDADE EM DECORRÊNCIA DO FLUXO MIGRATÓRIO</t>
        </is>
      </c>
      <c r="J1842" t="inlineStr"/>
      <c r="K1842" t="n">
        <v>0</v>
      </c>
      <c r="L1842" t="n">
        <v>1</v>
      </c>
      <c r="M1842" t="n">
        <v>0</v>
      </c>
      <c r="N1842" t="n">
        <v>0</v>
      </c>
      <c r="O1842" t="n">
        <v>0</v>
      </c>
      <c r="P1842">
        <f>HYPERLINK("https://www.acritica.com/brasil-doa-r-15-milh-es-a-entidades-internacionais-voltadas-a-migrac-o-1.83223", "URL")</f>
        <v/>
      </c>
      <c r="Q1842">
        <f>HYPERLINK("https://raw.githubusercontent.com/marcosmapl/dataset_imigrantes/main/materias_filtered/a_critica/venezuelanos/2018/11_dez/html/1.83223_946.html", "HTML")</f>
        <v/>
      </c>
      <c r="R1842">
        <f>HYPERLINK("https://raw.githubusercontent.com/marcosmapl/dataset_imigrantes/main/materias_filtered/a_critica/venezuelanos/2018/11_dez/txt/1.83223_946.txt", "TXT")</f>
        <v/>
      </c>
    </row>
    <row r="1843">
      <c r="A1843" s="1" t="n">
        <v>1841</v>
      </c>
      <c r="B1843" t="n">
        <v>2018</v>
      </c>
      <c r="C1843" s="2" t="n">
        <v>43437.63611111111</v>
      </c>
      <c r="D1843" t="inlineStr">
        <is>
          <t>A CRITICA</t>
        </is>
      </c>
      <c r="E1843" t="inlineStr">
        <is>
          <t>HAITIANOS</t>
        </is>
      </c>
      <c r="F1843" t="inlineStr"/>
      <c r="G1843" t="inlineStr">
        <is>
          <t>ANDREIA VERDÉLIO - AGÊNCIA BRASIL</t>
        </is>
      </c>
      <c r="H1843" t="inlineStr">
        <is>
          <t>23% DOS JOVENS BRASILEIROS NÃO TRABALHAM E NEM ESTUDAM, DIZ IPEA</t>
        </is>
      </c>
      <c r="I1843" t="inlineStr">
        <is>
          <t>AS RAZÕES PARA ESSE CENÁRIO SÃO PROBLEMAS COM HABILIDADES COGNITIVAS E SOCIOEMOCIONAIS, FALTA DE POLÍTICAS PÚBLICAS, OBRIGAÇÕES FAMILIARES COM PARENTES E FILHOS, ENTRE OUTROS</t>
        </is>
      </c>
      <c r="J1843" t="inlineStr"/>
      <c r="K1843" t="n">
        <v>0</v>
      </c>
      <c r="L1843" t="n">
        <v>1</v>
      </c>
      <c r="M1843" t="n">
        <v>0</v>
      </c>
      <c r="N1843" t="n">
        <v>0</v>
      </c>
      <c r="O1843" t="n">
        <v>0</v>
      </c>
      <c r="P1843">
        <f>HYPERLINK("https://www.acritica.com/23-dos-jovens-brasileiros-n-o-trabalham-e-nem-estudam-diz-ipea-1.83622", "URL")</f>
        <v/>
      </c>
      <c r="Q1843">
        <f>HYPERLINK("https://raw.githubusercontent.com/marcosmapl/dataset_imigrantes/main/materias_filtered/a_critica/haitianos/2018/11_dez/html/1.83622_953.html", "HTML")</f>
        <v/>
      </c>
      <c r="R1843">
        <f>HYPERLINK("https://raw.githubusercontent.com/marcosmapl/dataset_imigrantes/main/materias_filtered/a_critica/haitianos/2018/11_dez/txt/1.83622_953.txt", "TXT")</f>
        <v/>
      </c>
    </row>
    <row r="1844">
      <c r="A1844" s="1" t="n">
        <v>1842</v>
      </c>
      <c r="B1844" t="n">
        <v>2018</v>
      </c>
      <c r="C1844" s="2" t="n">
        <v>43437.51521081018</v>
      </c>
      <c r="D1844" t="inlineStr">
        <is>
          <t>G1</t>
        </is>
      </c>
      <c r="E1844" t="inlineStr">
        <is>
          <t>HAITIANOS</t>
        </is>
      </c>
      <c r="F1844" t="inlineStr">
        <is>
          <t>DISTRITO FEDERAL</t>
        </is>
      </c>
      <c r="G1844" t="inlineStr">
        <is>
          <t>BBC</t>
        </is>
      </c>
      <c r="H1844" t="inlineStr">
        <is>
          <t>IMIGRANTE HAITIANA CEGA QUE SOBREVIVEU A '2 TERREMOTOS' É APROVADA NA OAB, QUER SE NATURALIZAR BRASILEIRA E VIRAR JUÍZA</t>
        </is>
      </c>
      <c r="I1844" t="inlineStr">
        <is>
          <t>ENTREVISTADA PELA BBC NEWS BRASIL EM 2013 EM UM ABRIGO SUPERLOTADO NO ACRE, NADINE TALEIS SUPEROU LIMITAÇÕES FÍSICAS E FINANCEIRAS PARA SE FORMAR EM DIREITO E AGORA SE PREPARA PARA CONCURSOS PÚBLICOS CONCORRIDOS.</t>
        </is>
      </c>
      <c r="J1844" t="inlineStr"/>
      <c r="K1844" t="n">
        <v>0</v>
      </c>
      <c r="L1844" t="n">
        <v>1</v>
      </c>
      <c r="M1844" t="n">
        <v>0</v>
      </c>
      <c r="N1844" t="n">
        <v>0</v>
      </c>
      <c r="O1844" t="n">
        <v>0</v>
      </c>
      <c r="P1844">
        <f>HYPERLINK("https://g1.globo.com/df/distrito-federal/noticia/2018/12/03/imigrante-haitiana-cega-que-sobreviveu-a-2-terremotos-e-aprovada-na-oab-quer-se-naturalizar-brasileira-e-virar-juiza.ghtml", "URL")</f>
        <v/>
      </c>
      <c r="Q1844">
        <f>HYPERLINK("https://raw.githubusercontent.com/marcosmapl/dataset_imigrantes/main/materias_filtered/g1/haitianos/2018/11_dez/html/g1_53121760-231b-11ed-b24f-6dbe51e79fca_3379.html", "HTML")</f>
        <v/>
      </c>
      <c r="R1844">
        <f>HYPERLINK("https://raw.githubusercontent.com/marcosmapl/dataset_imigrantes/main/materias_filtered/g1/haitianos/2018/11_dez/txt/g1_53121760-231b-11ed-b24f-6dbe51e79fca_3379.txt", "TXT")</f>
        <v/>
      </c>
    </row>
    <row r="1845">
      <c r="A1845" s="1" t="n">
        <v>1843</v>
      </c>
      <c r="B1845" t="n">
        <v>2018</v>
      </c>
      <c r="C1845" s="2" t="n">
        <v>43436.65636682871</v>
      </c>
      <c r="D1845" t="inlineStr">
        <is>
          <t>G1</t>
        </is>
      </c>
      <c r="E1845" t="inlineStr">
        <is>
          <t>HAITIANOS</t>
        </is>
      </c>
      <c r="F1845" t="inlineStr">
        <is>
          <t>SÃO CARLOS E ARARAQUARA</t>
        </is>
      </c>
      <c r="G1845" t="inlineStr">
        <is>
          <t>EPTV1</t>
        </is>
      </c>
      <c r="H1845" t="inlineStr">
        <is>
          <t>COMUNIDADE HAITIANA ARRECADA ALIMENTOS PARA MONTAR 100 CESTAS DE NATAL EM RIO CLARO</t>
        </is>
      </c>
      <c r="I1845" t="inlineStr">
        <is>
          <t>OBJETIVO É GARANTIR A CEIA DOS IMIGRANTES QUE MORAM NA CIDADE.</t>
        </is>
      </c>
      <c r="J1845" t="inlineStr"/>
      <c r="K1845" t="n">
        <v>0</v>
      </c>
      <c r="L1845" t="n">
        <v>2</v>
      </c>
      <c r="M1845" t="n">
        <v>1</v>
      </c>
      <c r="N1845" t="n">
        <v>0</v>
      </c>
      <c r="O1845" t="n">
        <v>1</v>
      </c>
      <c r="P1845">
        <f>HYPERLINK("https://g1.globo.com/sp/sao-carlos-regiao/noticia/2018/12/02/comunidade-haitiana-arrecada-alimentos-para-montar-100-cestas-de-natal-em-rio-claro.ghtml", "URL")</f>
        <v/>
      </c>
      <c r="Q1845">
        <f>HYPERLINK("https://raw.githubusercontent.com/marcosmapl/dataset_imigrantes/main/materias_filtered/g1/haitianos/2018/11_dez/html/g1_36466be4-231c-11ed-b24f-6dbe51e79fca_3434.html", "HTML")</f>
        <v/>
      </c>
      <c r="R1845">
        <f>HYPERLINK("https://raw.githubusercontent.com/marcosmapl/dataset_imigrantes/main/materias_filtered/g1/haitianos/2018/11_dez/txt/g1_36466be4-231c-11ed-b24f-6dbe51e79fca_3434.txt", "TXT")</f>
        <v/>
      </c>
    </row>
    <row r="1846">
      <c r="A1846" s="1" t="n">
        <v>1844</v>
      </c>
      <c r="B1846" t="n">
        <v>2018</v>
      </c>
      <c r="C1846" s="2" t="n">
        <v>43434.81861747685</v>
      </c>
      <c r="D1846" t="inlineStr">
        <is>
          <t>G1</t>
        </is>
      </c>
      <c r="E1846" t="inlineStr">
        <is>
          <t>AMBOS</t>
        </is>
      </c>
      <c r="F1846" t="inlineStr">
        <is>
          <t>MATO GROSSO</t>
        </is>
      </c>
      <c r="G1846" t="inlineStr">
        <is>
          <t>G1 MT</t>
        </is>
      </c>
      <c r="H1846" t="inlineStr">
        <is>
          <t>VOLUNTÁRIOS ARRECADAM ALIMENTOS PARA DOAR ÀS FAMÍLIAS DE HAITIANOS E VENEZUELANOS NO NATAL EM CUIABÁ</t>
        </is>
      </c>
      <c r="I1846" t="inlineStr">
        <is>
          <t>CERCA DE 250 FAMÍLIAS DEVEM SER BENEFICIADAS COM A AÇÃO. ALÉM DE ALIMENTOS, O GRUPO ESTÁ ARRECADANDO PRODUTOS DE LIMPEZA, BRINQUEDOS E ROUPAS.</t>
        </is>
      </c>
      <c r="J1846" t="inlineStr"/>
      <c r="K1846" t="n">
        <v>0</v>
      </c>
      <c r="L1846" t="n">
        <v>1</v>
      </c>
      <c r="M1846" t="n">
        <v>0</v>
      </c>
      <c r="N1846" t="n">
        <v>0</v>
      </c>
      <c r="O1846" t="n">
        <v>0</v>
      </c>
      <c r="P1846">
        <f>HYPERLINK("https://g1.globo.com/mt/mato-grosso/noticia/2018/11/30/voluntarios-arrecadam-alimentos-para-doar-as-familias-de-haitianos-e-venezuelanos-no-natal-em-cuiaba.ghtml", "URL")</f>
        <v/>
      </c>
      <c r="Q1846">
        <f>HYPERLINK("https://raw.githubusercontent.com/marcosmapl/dataset_imigrantes/main/materias_filtered/g1/ambos/2018/10_nov/html/g1_ede52b6e-22f9-11ed-b24f-6dbe51e79fca_2192.html", "HTML")</f>
        <v/>
      </c>
      <c r="R1846">
        <f>HYPERLINK("https://raw.githubusercontent.com/marcosmapl/dataset_imigrantes/main/materias_filtered/g1/ambos/2018/10_nov/txt/g1_ede52b6e-22f9-11ed-b24f-6dbe51e79fca_2192.txt", "TXT")</f>
        <v/>
      </c>
    </row>
    <row r="1847">
      <c r="A1847" s="1" t="n">
        <v>1845</v>
      </c>
      <c r="B1847" t="n">
        <v>2018</v>
      </c>
      <c r="C1847" s="2" t="n">
        <v>43433.52291666667</v>
      </c>
      <c r="D1847" t="inlineStr">
        <is>
          <t>A CRITICA</t>
        </is>
      </c>
      <c r="E1847" t="inlineStr">
        <is>
          <t>VENEZUELANOS</t>
        </is>
      </c>
      <c r="F1847" t="inlineStr">
        <is>
          <t>MANAUS</t>
        </is>
      </c>
      <c r="G1847" t="inlineStr">
        <is>
          <t>AMANDA GUIMARÃES</t>
        </is>
      </c>
      <c r="H1847" t="inlineStr">
        <is>
          <t>APÓS AVIÃO DERRAPAR EM ATERRISSAGEM, PISTA DO AEROPORTO DE MANAUS É LIBERADA</t>
        </is>
      </c>
      <c r="I1847" t="inlineStr">
        <is>
          <t>SEGUNDO A INFRAERO, O AEROPORTO FICOU RECEBENDO APENAS VOOS DE PEQUENO. AO TODO, QUATRO VOOS COMERCIAIS FORAM CANCELADOS</t>
        </is>
      </c>
      <c r="J1847" t="inlineStr"/>
      <c r="K1847" t="n">
        <v>0</v>
      </c>
      <c r="L1847" t="n">
        <v>1</v>
      </c>
      <c r="M1847" t="n">
        <v>0</v>
      </c>
      <c r="N1847" t="n">
        <v>0</v>
      </c>
      <c r="O1847" t="n">
        <v>2</v>
      </c>
      <c r="P1847">
        <f>HYPERLINK("https://www.acritica.com/manaus/apos-avi-o-derrapar-em-aterrissagem-pista-do-aeroporto-de-manaus-e-liberada-1.83900", "URL")</f>
        <v/>
      </c>
      <c r="Q1847">
        <f>HYPERLINK("https://raw.githubusercontent.com/marcosmapl/dataset_imigrantes/main/materias_filtered/a_critica/venezuelanos/2018/10_nov/html/1.83900_343.html", "HTML")</f>
        <v/>
      </c>
      <c r="R1847">
        <f>HYPERLINK("https://raw.githubusercontent.com/marcosmapl/dataset_imigrantes/main/materias_filtered/a_critica/venezuelanos/2018/10_nov/txt/1.83900_343.txt", "TXT")</f>
        <v/>
      </c>
    </row>
    <row r="1848">
      <c r="A1848" s="1" t="n">
        <v>1846</v>
      </c>
      <c r="B1848" t="n">
        <v>2018</v>
      </c>
      <c r="C1848" s="2" t="n">
        <v>43432.95</v>
      </c>
      <c r="D1848" t="inlineStr">
        <is>
          <t>A CRITICA</t>
        </is>
      </c>
      <c r="E1848" t="inlineStr">
        <is>
          <t>VENEZUELANOS</t>
        </is>
      </c>
      <c r="F1848" t="inlineStr">
        <is>
          <t>MANAUS</t>
        </is>
      </c>
      <c r="G1848" t="inlineStr">
        <is>
          <t>ACRÍTICA.COM</t>
        </is>
      </c>
      <c r="H1848" t="inlineStr">
        <is>
          <t>AVIÃO SAI DA PISTA DURANTE ATERRISSAGEM EM AEROPORTO DE MANAUS E VOOS ATRASAM</t>
        </is>
      </c>
      <c r="I1848" t="inlineStr">
        <is>
          <t>O INCIDENTE OCORREU COM UMA AERONAVE DA EMPRESA VENEZUELANA AVIOR AIRLINES</t>
        </is>
      </c>
      <c r="J1848" t="inlineStr"/>
      <c r="K1848" t="n">
        <v>0</v>
      </c>
      <c r="L1848" t="n">
        <v>1</v>
      </c>
      <c r="M1848" t="n">
        <v>0</v>
      </c>
      <c r="N1848" t="n">
        <v>0</v>
      </c>
      <c r="O1848" t="n">
        <v>1</v>
      </c>
      <c r="P1848">
        <f>HYPERLINK("https://www.acritica.com/manaus/avi-o-sai-da-pista-durante-aterrissagem-em-aeroporto-de-manaus-e-voos-atrasam-1.83916", "URL")</f>
        <v/>
      </c>
      <c r="Q1848">
        <f>HYPERLINK("https://raw.githubusercontent.com/marcosmapl/dataset_imigrantes/main/materias_filtered/a_critica/venezuelanos/2018/10_nov/html/1.83916_592.html", "HTML")</f>
        <v/>
      </c>
      <c r="R1848">
        <f>HYPERLINK("https://raw.githubusercontent.com/marcosmapl/dataset_imigrantes/main/materias_filtered/a_critica/venezuelanos/2018/10_nov/txt/1.83916_592.txt", "TXT")</f>
        <v/>
      </c>
    </row>
    <row r="1849">
      <c r="A1849" s="1" t="n">
        <v>1847</v>
      </c>
      <c r="B1849" t="n">
        <v>2018</v>
      </c>
      <c r="C1849" s="2" t="n">
        <v>43430.67464658565</v>
      </c>
      <c r="D1849" t="inlineStr">
        <is>
          <t>G1</t>
        </is>
      </c>
      <c r="E1849" t="inlineStr">
        <is>
          <t>AMBOS</t>
        </is>
      </c>
      <c r="F1849" t="inlineStr">
        <is>
          <t>RORAIMA</t>
        </is>
      </c>
      <c r="G1849" t="inlineStr">
        <is>
          <t>MARCELO MARQUES</t>
        </is>
      </c>
      <c r="H1849" t="inlineStr">
        <is>
          <t>ESTRANGEIROS SÃO PRESOS POR SUSPEITA DE TRÁFICO DE DROGAS EM BOA VISTA</t>
        </is>
      </c>
      <c r="I1849" t="inlineStr">
        <is>
          <t>UM HAITIANO FOI PRESO NO CENTRO E UM VENEZUELANO NO BAIRRO CAIMBÉ, ZONA OESTE DA CAPITAL.</t>
        </is>
      </c>
      <c r="J1849" t="inlineStr"/>
      <c r="K1849" t="n">
        <v>0</v>
      </c>
      <c r="L1849" t="n">
        <v>1</v>
      </c>
      <c r="M1849" t="n">
        <v>0</v>
      </c>
      <c r="N1849" t="n">
        <v>0</v>
      </c>
      <c r="O1849" t="n">
        <v>1</v>
      </c>
      <c r="P1849">
        <f>HYPERLINK("https://g1.globo.com/rr/roraima/noticia/2018/11/26/estrangeiros-sao-presos-por-suspeita-de-trafico-de-drogas-em-boa-vista.ghtml", "URL")</f>
        <v/>
      </c>
      <c r="Q1849">
        <f>HYPERLINK("https://raw.githubusercontent.com/marcosmapl/dataset_imigrantes/main/materias_filtered/g1/ambos/2018/10_nov/html/g1_9785f1ba-2306-11ed-b24f-6dbe51e79fca_2268.html", "HTML")</f>
        <v/>
      </c>
      <c r="R1849">
        <f>HYPERLINK("https://raw.githubusercontent.com/marcosmapl/dataset_imigrantes/main/materias_filtered/g1/ambos/2018/10_nov/txt/g1_9785f1ba-2306-11ed-b24f-6dbe51e79fca_2268.txt", "TXT")</f>
        <v/>
      </c>
    </row>
    <row r="1850">
      <c r="A1850" s="1" t="n">
        <v>1848</v>
      </c>
      <c r="B1850" t="n">
        <v>2018</v>
      </c>
      <c r="C1850" s="2" t="n">
        <v>43430.43680555555</v>
      </c>
      <c r="D1850" t="inlineStr">
        <is>
          <t>PORTAL AMAZONIA</t>
        </is>
      </c>
      <c r="E1850" t="inlineStr">
        <is>
          <t>VENEZUELANOS</t>
        </is>
      </c>
      <c r="F1850" t="inlineStr">
        <is>
          <t>CIDADES</t>
        </is>
      </c>
      <c r="G1850" t="inlineStr">
        <is>
          <t>REDAÇÃO</t>
        </is>
      </c>
      <c r="H1850" t="inlineStr">
        <is>
          <t>GOVERNADOR ELEITO DE RORAIMA DIZ QUE SUA INTENÇÃO É AJUDAR VENEZUELANOS</t>
        </is>
      </c>
      <c r="I1850" t="inlineStr">
        <is>
          <t>O GOVERNADOR ELEITO DE RORAIMA, ANTONIO DENARIUM (PSL), AFIRMOU NESTE SÁBADO (24), EM NOTA PUBLICADA NAS REDES SOCIAIS, QUE DEFENDE O RETORNO DOS “VÁRIOS IRMÃOS” VENEZUELANOS E NÃO A DEVOLUÇÃO, COMO FOI INTERPRETADO POR ALGUNS SETORES DA IMPRENSA. À</t>
        </is>
      </c>
      <c r="J1850" t="inlineStr">
        <is>
          <t>ANTÔNIO DENARIUM, BOA VISTA, RORAIMA, VENEZUELANOS</t>
        </is>
      </c>
      <c r="K1850" t="n">
        <v>4</v>
      </c>
      <c r="L1850" t="n">
        <v>1</v>
      </c>
      <c r="M1850" t="n">
        <v>0</v>
      </c>
      <c r="N1850" t="n">
        <v>0</v>
      </c>
      <c r="O1850" t="n">
        <v>9</v>
      </c>
      <c r="P1850">
        <f>HYPERLINK("https://portalamazonia.com/noticias/cidades/governador-eleito-de-roraima-diz-que-sua-intencao-e-ajudar-venezuelanos", "URL")</f>
        <v/>
      </c>
      <c r="Q1850">
        <f>HYPERLINK("https://raw.githubusercontent.com/marcosmapl/dataset_imigrantes/main/materias_filtered/portal_amazonia/venezuelanos/2018/10_nov/html/16304.16304_1417.html", "HTML")</f>
        <v/>
      </c>
      <c r="R1850">
        <f>HYPERLINK("https://raw.githubusercontent.com/marcosmapl/dataset_imigrantes/main/materias_filtered/portal_amazonia/venezuelanos/2018/10_nov/txt/16304.16304_1417.txt", "TXT")</f>
        <v/>
      </c>
    </row>
    <row r="1851">
      <c r="A1851" s="1" t="n">
        <v>1849</v>
      </c>
      <c r="B1851" t="n">
        <v>2018</v>
      </c>
      <c r="C1851" s="2" t="n">
        <v>43429.08043981482</v>
      </c>
      <c r="D1851" t="inlineStr">
        <is>
          <t>A CRITICA</t>
        </is>
      </c>
      <c r="E1851" t="inlineStr">
        <is>
          <t>VENEZUELANOS</t>
        </is>
      </c>
      <c r="F1851" t="inlineStr">
        <is>
          <t>ESPORTES</t>
        </is>
      </c>
      <c r="G1851" t="inlineStr">
        <is>
          <t>CAMILA LEONEL</t>
        </is>
      </c>
      <c r="H1851" t="inlineStr">
        <is>
          <t>VENEZUELANOS EM MANAUS GANHAM INGRESSOS E ASSISTEM JOGO DA LIBERTADORES</t>
        </is>
      </c>
      <c r="I1851" t="inlineStr">
        <is>
          <t>COM APOIO DA CÁRITAS, CERCA DE 50 PESSOAS ACOMPANHARAM A VITÓRIA DO VENEZUELANO FLOR DE PATRIA SOBRE O CERRO PORTEÑO NESTE SÁBADO (24). ALGUNS ESTIVERAM NA ARENA DA AMAZÔNIA PELA PRIMEIRA VEZ</t>
        </is>
      </c>
      <c r="J1851" t="inlineStr"/>
      <c r="K1851" t="n">
        <v>0</v>
      </c>
      <c r="L1851" t="n">
        <v>1</v>
      </c>
      <c r="M1851" t="n">
        <v>0</v>
      </c>
      <c r="N1851" t="n">
        <v>0</v>
      </c>
      <c r="O1851" t="n">
        <v>1</v>
      </c>
      <c r="P1851">
        <f>HYPERLINK("https://www.acritica.com/esportes/venezuelanos-em-manaus-ganham-ingressos-e-assistem-jogo-da-libertadores-1.84200", "URL")</f>
        <v/>
      </c>
      <c r="Q1851">
        <f>HYPERLINK("https://raw.githubusercontent.com/marcosmapl/dataset_imigrantes/main/materias_filtered/a_critica/venezuelanos/2018/10_nov/html/1.84200_218.html", "HTML")</f>
        <v/>
      </c>
      <c r="R1851">
        <f>HYPERLINK("https://raw.githubusercontent.com/marcosmapl/dataset_imigrantes/main/materias_filtered/a_critica/venezuelanos/2018/10_nov/txt/1.84200_218.txt", "TXT")</f>
        <v/>
      </c>
    </row>
    <row r="1852">
      <c r="A1852" s="1" t="n">
        <v>1850</v>
      </c>
      <c r="B1852" t="n">
        <v>2018</v>
      </c>
      <c r="C1852" s="2" t="n">
        <v>43429.05625</v>
      </c>
      <c r="D1852" t="inlineStr">
        <is>
          <t>A CRITICA</t>
        </is>
      </c>
      <c r="E1852" t="inlineStr">
        <is>
          <t>VENEZUELANOS</t>
        </is>
      </c>
      <c r="F1852" t="inlineStr">
        <is>
          <t>ESPORTES</t>
        </is>
      </c>
      <c r="G1852" t="inlineStr">
        <is>
          <t>PAULO ANDRÉ NUNES</t>
        </is>
      </c>
      <c r="H1852" t="inlineStr">
        <is>
          <t>CERRO PORTEÑO PERDE PARA VENEZUELANAS E IRANDUBA AVANÇA À 2ª FASE DA LIBERTADORES</t>
        </is>
      </c>
      <c r="I1852" t="inlineStr">
        <is>
          <t>EQUIPE BARÉ PRECISAVA DO TROPEÇO DAS PARAGUAIAS DIANTE DO FLOR DE PATRIA PARA SEGUIR VIVA NA COMPETIÇÃO. HULK AGUARDA JOGOS DESTE DOMINGO (25) PARA CONHECER ADVERSÁRIO DA SEMIFINAL</t>
        </is>
      </c>
      <c r="J1852" t="inlineStr"/>
      <c r="K1852" t="n">
        <v>0</v>
      </c>
      <c r="L1852" t="n">
        <v>1</v>
      </c>
      <c r="M1852" t="n">
        <v>0</v>
      </c>
      <c r="N1852" t="n">
        <v>0</v>
      </c>
      <c r="O1852" t="n">
        <v>1</v>
      </c>
      <c r="P1852">
        <f>HYPERLINK("https://www.acritica.com/esportes/cerro-porte-o-perde-para-venezuelanas-e-iranduba-avanca-a-2-fase-da-libertadores-1.84202", "URL")</f>
        <v/>
      </c>
      <c r="Q1852">
        <f>HYPERLINK("https://raw.githubusercontent.com/marcosmapl/dataset_imigrantes/main/materias_filtered/a_critica/venezuelanos/2018/10_nov/html/1.84202_935.html", "HTML")</f>
        <v/>
      </c>
      <c r="R1852">
        <f>HYPERLINK("https://raw.githubusercontent.com/marcosmapl/dataset_imigrantes/main/materias_filtered/a_critica/venezuelanos/2018/10_nov/txt/1.84202_935.txt", "TXT")</f>
        <v/>
      </c>
    </row>
    <row r="1853">
      <c r="A1853" s="1" t="n">
        <v>1851</v>
      </c>
      <c r="B1853" t="n">
        <v>2018</v>
      </c>
      <c r="C1853" s="2" t="n">
        <v>43428.83434027778</v>
      </c>
      <c r="D1853" t="inlineStr">
        <is>
          <t>A CRITICA</t>
        </is>
      </c>
      <c r="E1853" t="inlineStr">
        <is>
          <t>VENEZUELANOS</t>
        </is>
      </c>
      <c r="F1853" t="inlineStr"/>
      <c r="G1853" t="inlineStr">
        <is>
          <t>ACRÍTICA.COM</t>
        </is>
      </c>
      <c r="H1853" t="inlineStr">
        <is>
          <t>JAIR BOLSONARO AFIRMA QUE BANCADA EVANGÉLICA É IMPORTANTE PARA O BRASIL</t>
        </is>
      </c>
      <c r="I1853" t="inlineStr">
        <is>
          <t>DECLARAÇÃO FOI DADA EM RESPOSTA SOBRE A POSSÍVEL PRESSÃO QUE RECEBEU DOS RELIGIOSOS PARA A INDICAÇÃO DO FUTURO MINISTRO DA EDUCAÇÃO</t>
        </is>
      </c>
      <c r="J1853" t="inlineStr"/>
      <c r="K1853" t="n">
        <v>0</v>
      </c>
      <c r="L1853" t="n">
        <v>1</v>
      </c>
      <c r="M1853" t="n">
        <v>0</v>
      </c>
      <c r="N1853" t="n">
        <v>0</v>
      </c>
      <c r="O1853" t="n">
        <v>2</v>
      </c>
      <c r="P1853">
        <f>HYPERLINK("https://www.acritica.com/jair-bolsonaro-afirma-que-bancada-evangelica-e-importante-para-o-brasil-1.84206", "URL")</f>
        <v/>
      </c>
      <c r="Q1853">
        <f>HYPERLINK("https://raw.githubusercontent.com/marcosmapl/dataset_imigrantes/main/materias_filtered/a_critica/venezuelanos/2018/10_nov/html/1.84206_1175.html", "HTML")</f>
        <v/>
      </c>
      <c r="R1853">
        <f>HYPERLINK("https://raw.githubusercontent.com/marcosmapl/dataset_imigrantes/main/materias_filtered/a_critica/venezuelanos/2018/10_nov/txt/1.84206_1175.txt", "TXT")</f>
        <v/>
      </c>
    </row>
    <row r="1854">
      <c r="A1854" s="1" t="n">
        <v>1852</v>
      </c>
      <c r="B1854" t="n">
        <v>2018</v>
      </c>
      <c r="C1854" s="2" t="n">
        <v>43428.80295138889</v>
      </c>
      <c r="D1854" t="inlineStr">
        <is>
          <t>A CRITICA</t>
        </is>
      </c>
      <c r="E1854" t="inlineStr">
        <is>
          <t>VENEZUELANOS</t>
        </is>
      </c>
      <c r="F1854" t="inlineStr"/>
      <c r="G1854" t="inlineStr">
        <is>
          <t>DOUGLAS CORREA (AGÊNCIA BRASIL)</t>
        </is>
      </c>
      <c r="H1854" t="inlineStr">
        <is>
          <t>JAIR BOLSONARO COGITA CRIAÇÃO DE CAMPO DE REFUGIADOS PARA VENEZUELANOS</t>
        </is>
      </c>
      <c r="I1854" t="inlineStr">
        <is>
          <t>O PRESIDENTE ELEITO SE MOSTROU CONTRÁRIO À PROPOSTA DO GOVERNADOR ELEITO DE RORAIMA, ANTONIO DENARIUM (PSL), QUE DEFENDE A DEVOLUÇÃO DE VENEZUELANOS PARA O PAÍS NATAL</t>
        </is>
      </c>
      <c r="J1854" t="inlineStr"/>
      <c r="K1854" t="n">
        <v>0</v>
      </c>
      <c r="L1854" t="n">
        <v>1</v>
      </c>
      <c r="M1854" t="n">
        <v>0</v>
      </c>
      <c r="N1854" t="n">
        <v>0</v>
      </c>
      <c r="O1854" t="n">
        <v>0</v>
      </c>
      <c r="P1854">
        <f>HYPERLINK("https://www.acritica.com/jair-bolsonaro-cogita-criac-o-de-campo-de-refugiados-para-venezuelanos-1.84208", "URL")</f>
        <v/>
      </c>
      <c r="Q1854">
        <f>HYPERLINK("https://raw.githubusercontent.com/marcosmapl/dataset_imigrantes/main/materias_filtered/a_critica/venezuelanos/2018/10_nov/html/1.84208_469.html", "HTML")</f>
        <v/>
      </c>
      <c r="R1854">
        <f>HYPERLINK("https://raw.githubusercontent.com/marcosmapl/dataset_imigrantes/main/materias_filtered/a_critica/venezuelanos/2018/10_nov/txt/1.84208_469.txt", "TXT")</f>
        <v/>
      </c>
    </row>
    <row r="1855">
      <c r="A1855" s="1" t="n">
        <v>1853</v>
      </c>
      <c r="B1855" t="n">
        <v>2018</v>
      </c>
      <c r="C1855" s="2" t="n">
        <v>43428.49543579861</v>
      </c>
      <c r="D1855" t="inlineStr">
        <is>
          <t>G1</t>
        </is>
      </c>
      <c r="E1855" t="inlineStr">
        <is>
          <t>VENEZUELANOS</t>
        </is>
      </c>
      <c r="F1855" t="inlineStr">
        <is>
          <t>RORAIMA</t>
        </is>
      </c>
      <c r="G1855" t="inlineStr">
        <is>
          <t>JACKSON FÉLIX, G1 RR — BOA VISTA</t>
        </is>
      </c>
      <c r="H1855" t="inlineStr">
        <is>
          <t>VENEZUELANO DE 19 ANOS ENCARA IDIOMA E TENTA VAGA NO VESTIBULAR DA UFRR PARA ENFERMAGEM: 'ME ESFORÇANDO'</t>
        </is>
      </c>
      <c r="I1855" t="inlineStr">
        <is>
          <t>ANDER GUERRA, DE 19 ANOS, PRESTA O VESTIBULAR NESTE DOMINGO (25). ENFERMAGEM É O 3º CURSO MAIS CONCORRIDO DA INSTITUIÇÃO.</t>
        </is>
      </c>
      <c r="J1855" t="inlineStr"/>
      <c r="K1855" t="n">
        <v>0</v>
      </c>
      <c r="L1855" t="n">
        <v>1</v>
      </c>
      <c r="M1855" t="n">
        <v>0</v>
      </c>
      <c r="N1855" t="n">
        <v>0</v>
      </c>
      <c r="O1855" t="n">
        <v>20</v>
      </c>
      <c r="P1855">
        <f>HYPERLINK("https://g1.globo.com/rr/roraima/noticia/2018/11/24/venezuelano-de-19-anos-encara-idioma-e-tenta-vaga-no-vestibular-da-ufrr-para-enfermagem-me-esforcando.ghtml", "URL")</f>
        <v/>
      </c>
      <c r="Q1855">
        <f>HYPERLINK("https://raw.githubusercontent.com/marcosmapl/dataset_imigrantes/main/materias_filtered/g1/venezuelanos/2018/10_nov/html/g1_6f066202-2323-11ed-b24f-6dbe51e79fca_3807.html", "HTML")</f>
        <v/>
      </c>
      <c r="R1855">
        <f>HYPERLINK("https://raw.githubusercontent.com/marcosmapl/dataset_imigrantes/main/materias_filtered/g1/venezuelanos/2018/10_nov/txt/g1_6f066202-2323-11ed-b24f-6dbe51e79fca_3807.txt", "TXT")</f>
        <v/>
      </c>
    </row>
    <row r="1856">
      <c r="A1856" s="1" t="n">
        <v>1854</v>
      </c>
      <c r="B1856" t="n">
        <v>2018</v>
      </c>
      <c r="C1856" s="2" t="n">
        <v>43428.4793287037</v>
      </c>
      <c r="D1856" t="inlineStr">
        <is>
          <t>A CRITICA</t>
        </is>
      </c>
      <c r="E1856" t="inlineStr">
        <is>
          <t>VENEZUELANOS</t>
        </is>
      </c>
      <c r="F1856" t="inlineStr"/>
      <c r="G1856" t="inlineStr"/>
      <c r="H1856" t="inlineStr">
        <is>
          <t>AMAZÔNIA EM PÉ GANHA ‘SELO’ ALEMÃO</t>
        </is>
      </c>
      <c r="I1856" t="inlineStr"/>
      <c r="J1856" t="inlineStr"/>
      <c r="K1856" t="n">
        <v>0</v>
      </c>
      <c r="L1856" t="n">
        <v>1</v>
      </c>
      <c r="M1856" t="n">
        <v>0</v>
      </c>
      <c r="N1856" t="n">
        <v>0</v>
      </c>
      <c r="O1856" t="n">
        <v>0</v>
      </c>
      <c r="P1856">
        <f>HYPERLINK("https://www.acritica.com/amazonia-em-pe-ganha-selo-alem-o-1.224278", "URL")</f>
        <v/>
      </c>
      <c r="Q1856">
        <f>HYPERLINK("https://raw.githubusercontent.com/marcosmapl/dataset_imigrantes/main/materias_filtered/a_critica/venezuelanos/2018/10_nov/html/1.224278_427.html", "HTML")</f>
        <v/>
      </c>
      <c r="R1856">
        <f>HYPERLINK("https://raw.githubusercontent.com/marcosmapl/dataset_imigrantes/main/materias_filtered/a_critica/venezuelanos/2018/10_nov/txt/1.224278_427.txt", "TXT")</f>
        <v/>
      </c>
    </row>
    <row r="1857">
      <c r="A1857" s="1" t="n">
        <v>1855</v>
      </c>
      <c r="B1857" t="n">
        <v>2018</v>
      </c>
      <c r="C1857" s="2" t="n">
        <v>43427.59759222222</v>
      </c>
      <c r="D1857" t="inlineStr">
        <is>
          <t>G1</t>
        </is>
      </c>
      <c r="E1857" t="inlineStr">
        <is>
          <t>VENEZUELANOS</t>
        </is>
      </c>
      <c r="F1857" t="inlineStr">
        <is>
          <t>RORAIMA</t>
        </is>
      </c>
      <c r="G1857" t="inlineStr">
        <is>
          <t>MARCELO MARQUES, G1 RR — BOA VISTA</t>
        </is>
      </c>
      <c r="H1857" t="inlineStr">
        <is>
          <t>VENEZUELANO É ESPANCADO POR BRASILEIROS APÓS SUPOSTO FURTO DE DESODORANTES EM PACARAIMA, NORTE DE RR</t>
        </is>
      </c>
      <c r="I1857" t="inlineStr">
        <is>
          <t>SEGUNDO UM TENENTE DA PM EM PACARAIMA, CÂMERAS DE SEGURANÇA DE UM MERCADO FLAGRAM O ROUBO. ESTE É O TERCEIRO CASO ENVOLVENDO AGRESSÕES ENTRE BRASILEIROS E VENEZUELANOS EM RORAIMA.</t>
        </is>
      </c>
      <c r="J1857" t="inlineStr"/>
      <c r="K1857" t="n">
        <v>0</v>
      </c>
      <c r="L1857" t="n">
        <v>1</v>
      </c>
      <c r="M1857" t="n">
        <v>0</v>
      </c>
      <c r="N1857" t="n">
        <v>0</v>
      </c>
      <c r="O1857" t="n">
        <v>7</v>
      </c>
      <c r="P1857">
        <f>HYPERLINK("https://g1.globo.com/rr/roraima/noticia/2018/11/23/venezuelano-e-espancado-por-brasileiros-apos-suposto-furto-de-desodorantes-em-pacaraima-norte-de-rr.ghtml", "URL")</f>
        <v/>
      </c>
      <c r="Q1857">
        <f>HYPERLINK("https://raw.githubusercontent.com/marcosmapl/dataset_imigrantes/main/materias_filtered/g1/venezuelanos/2018/10_nov/html/g1_8bd7001e-231c-11ed-b24f-6dbe51e79fca_3451.html", "HTML")</f>
        <v/>
      </c>
      <c r="R1857">
        <f>HYPERLINK("https://raw.githubusercontent.com/marcosmapl/dataset_imigrantes/main/materias_filtered/g1/venezuelanos/2018/10_nov/txt/g1_8bd7001e-231c-11ed-b24f-6dbe51e79fca_3451.txt", "TXT")</f>
        <v/>
      </c>
    </row>
    <row r="1858">
      <c r="A1858" s="1" t="n">
        <v>1856</v>
      </c>
      <c r="B1858" t="n">
        <v>2018</v>
      </c>
      <c r="C1858" s="2" t="n">
        <v>43426.39626157407</v>
      </c>
      <c r="D1858" t="inlineStr">
        <is>
          <t>A CRITICA</t>
        </is>
      </c>
      <c r="E1858" t="inlineStr">
        <is>
          <t>VENEZUELANOS</t>
        </is>
      </c>
      <c r="F1858" t="inlineStr">
        <is>
          <t>OPINIAO</t>
        </is>
      </c>
      <c r="G1858" t="inlineStr"/>
      <c r="H1858" t="inlineStr">
        <is>
          <t>DOR, PERSISTÊNCIA E SUPERAÇÃO</t>
        </is>
      </c>
      <c r="I1858" t="inlineStr"/>
      <c r="J1858" t="inlineStr"/>
      <c r="K1858" t="n">
        <v>0</v>
      </c>
      <c r="L1858" t="n">
        <v>1</v>
      </c>
      <c r="M1858" t="n">
        <v>0</v>
      </c>
      <c r="N1858" t="n">
        <v>0</v>
      </c>
      <c r="O1858" t="n">
        <v>0</v>
      </c>
      <c r="P1858">
        <f>HYPERLINK("https://www.acritica.com/opiniao/dor-persistencia-e-superac-o-1.224288", "URL")</f>
        <v/>
      </c>
      <c r="Q1858">
        <f>HYPERLINK("https://raw.githubusercontent.com/marcosmapl/dataset_imigrantes/main/materias_filtered/a_critica/venezuelanos/2018/10_nov/html/1.224288_1303.html", "HTML")</f>
        <v/>
      </c>
      <c r="R1858">
        <f>HYPERLINK("https://raw.githubusercontent.com/marcosmapl/dataset_imigrantes/main/materias_filtered/a_critica/venezuelanos/2018/10_nov/txt/1.224288_1303.txt", "TXT")</f>
        <v/>
      </c>
    </row>
    <row r="1859">
      <c r="A1859" s="1" t="n">
        <v>1857</v>
      </c>
      <c r="B1859" t="n">
        <v>2018</v>
      </c>
      <c r="C1859" s="2" t="n">
        <v>43424.65415530092</v>
      </c>
      <c r="D1859" t="inlineStr">
        <is>
          <t>G1</t>
        </is>
      </c>
      <c r="E1859" t="inlineStr">
        <is>
          <t>VENEZUELANOS</t>
        </is>
      </c>
      <c r="F1859" t="inlineStr">
        <is>
          <t>AMAZONAS</t>
        </is>
      </c>
      <c r="G1859" t="inlineStr">
        <is>
          <t>G1 AM</t>
        </is>
      </c>
      <c r="H1859" t="inlineStr">
        <is>
          <t>VENEZUELANO É PRESO SUSPEITO DE ESTUPRAR ADOLESCENTE DE 16 ANOS, NA ZONA LESTE DE MANAUS</t>
        </is>
      </c>
      <c r="I1859" t="inlineStr">
        <is>
          <t>SUSPEITO E VÍTIMA TERIAM SE CONHECIDO EM UMA IGREJA, SEGUNDO A POLÍCIA. ELE FOI APEDREJADO POR POPULARES.</t>
        </is>
      </c>
      <c r="J1859" t="inlineStr"/>
      <c r="K1859" t="n">
        <v>0</v>
      </c>
      <c r="L1859" t="n">
        <v>1</v>
      </c>
      <c r="M1859" t="n">
        <v>0</v>
      </c>
      <c r="N1859" t="n">
        <v>0</v>
      </c>
      <c r="O1859" t="n">
        <v>0</v>
      </c>
      <c r="P1859">
        <f>HYPERLINK("https://g1.globo.com/am/amazonas/noticia/2018/11/20/venezuelano-e-preso-suspeito-de-estuprar-adolescente-de-16-anos-na-zona-leste-de-manaus.ghtml", "URL")</f>
        <v/>
      </c>
      <c r="Q1859">
        <f>HYPERLINK("https://raw.githubusercontent.com/marcosmapl/dataset_imigrantes/main/materias_filtered/g1/venezuelanos/2018/10_nov/html/g1_e4063c6e-2326-11ed-b24f-6dbe51e79fca_4004.html", "HTML")</f>
        <v/>
      </c>
      <c r="R1859">
        <f>HYPERLINK("https://raw.githubusercontent.com/marcosmapl/dataset_imigrantes/main/materias_filtered/g1/venezuelanos/2018/10_nov/txt/g1_e4063c6e-2326-11ed-b24f-6dbe51e79fca_4004.txt", "TXT")</f>
        <v/>
      </c>
    </row>
    <row r="1860">
      <c r="A1860" s="1" t="n">
        <v>1858</v>
      </c>
      <c r="B1860" t="n">
        <v>2018</v>
      </c>
      <c r="C1860" s="2" t="n">
        <v>43424.61041666667</v>
      </c>
      <c r="D1860" t="inlineStr">
        <is>
          <t>A CRITICA</t>
        </is>
      </c>
      <c r="E1860" t="inlineStr">
        <is>
          <t>VENEZUELANOS</t>
        </is>
      </c>
      <c r="F1860" t="inlineStr">
        <is>
          <t>POLICIA</t>
        </is>
      </c>
      <c r="G1860" t="inlineStr">
        <is>
          <t>FÁBIO OLIVEIRA</t>
        </is>
      </c>
      <c r="H1860" t="inlineStr">
        <is>
          <t>VENEZUELANO É ACUSADO DE ESTUPRAR ADOLESCENTE DE 16 ANOS NO PURAQUEQUARA</t>
        </is>
      </c>
      <c r="I1860" t="inlineStr">
        <is>
          <t>APÓS A ADOLESCENTE GRITAR DA CASA DO SUSPEITO, ELE FOI AGREDIDO POR POPULARES E FICOU COM VÁRIOS HEMATOMAS NO TÓRAX</t>
        </is>
      </c>
      <c r="J1860" t="inlineStr"/>
      <c r="K1860" t="n">
        <v>0</v>
      </c>
      <c r="L1860" t="n">
        <v>1</v>
      </c>
      <c r="M1860" t="n">
        <v>0</v>
      </c>
      <c r="N1860" t="n">
        <v>0</v>
      </c>
      <c r="O1860" t="n">
        <v>0</v>
      </c>
      <c r="P1860">
        <f>HYPERLINK("https://www.acritica.com/policia/venezuelano-e-acusado-de-estuprar-adolescente-de-16-anos-no-puraquequara-1.88934", "URL")</f>
        <v/>
      </c>
      <c r="Q1860">
        <f>HYPERLINK("https://raw.githubusercontent.com/marcosmapl/dataset_imigrantes/main/materias_filtered/a_critica/venezuelanos/2018/10_nov/html/1.88934_1268.html", "HTML")</f>
        <v/>
      </c>
      <c r="R1860">
        <f>HYPERLINK("https://raw.githubusercontent.com/marcosmapl/dataset_imigrantes/main/materias_filtered/a_critica/venezuelanos/2018/10_nov/txt/1.88934_1268.txt", "TXT")</f>
        <v/>
      </c>
    </row>
    <row r="1861">
      <c r="A1861" s="1" t="n">
        <v>1859</v>
      </c>
      <c r="B1861" t="n">
        <v>2018</v>
      </c>
      <c r="C1861" s="2" t="n">
        <v>43423.93392677083</v>
      </c>
      <c r="D1861" t="inlineStr">
        <is>
          <t>G1</t>
        </is>
      </c>
      <c r="E1861" t="inlineStr">
        <is>
          <t>VENEZUELANOS</t>
        </is>
      </c>
      <c r="F1861" t="inlineStr">
        <is>
          <t>RORAIMA</t>
        </is>
      </c>
      <c r="G1861" t="inlineStr">
        <is>
          <t>G1 RR — BOA VISTA</t>
        </is>
      </c>
      <c r="H1861" t="inlineStr">
        <is>
          <t>VENEZUELANO TEM DEDO DA MÃO DECEPADO AO ARROMBAR CASA DE BRASILEIRO EM PACARAIMA, NORTE DE RR</t>
        </is>
      </c>
      <c r="I1861" t="inlineStr">
        <is>
          <t>IMIGRANTE SOFREU AINDA CORTES NO BRAÇO E NA PERNA. BRASILEIRO DISSE À PM QUE AGIU EM LEGÍTIMA DEFESA PORQUE VENEZUELANO HAVIA ARROMBADO SUA CASA.</t>
        </is>
      </c>
      <c r="J1861" t="inlineStr"/>
      <c r="K1861" t="n">
        <v>0</v>
      </c>
      <c r="L1861" t="n">
        <v>1</v>
      </c>
      <c r="M1861" t="n">
        <v>0</v>
      </c>
      <c r="N1861" t="n">
        <v>0</v>
      </c>
      <c r="O1861" t="n">
        <v>2</v>
      </c>
      <c r="P1861">
        <f>HYPERLINK("https://g1.globo.com/rr/roraima/noticia/2018/11/19/venezuelano-tem-dedo-da-mao-decepado-ao-arrombar-casa-de-brasileiro-em-pacaraima-norte-de-rr.ghtml", "URL")</f>
        <v/>
      </c>
      <c r="Q1861">
        <f>HYPERLINK("https://raw.githubusercontent.com/marcosmapl/dataset_imigrantes/main/materias_filtered/g1/venezuelanos/2018/10_nov/html/g1_96c87a32-2323-11ed-b24f-6dbe51e79fca_3817.html", "HTML")</f>
        <v/>
      </c>
      <c r="R1861">
        <f>HYPERLINK("https://raw.githubusercontent.com/marcosmapl/dataset_imigrantes/main/materias_filtered/g1/venezuelanos/2018/10_nov/txt/g1_96c87a32-2323-11ed-b24f-6dbe51e79fca_3817.txt", "TXT")</f>
        <v/>
      </c>
    </row>
    <row r="1862">
      <c r="A1862" s="1" t="n">
        <v>1860</v>
      </c>
      <c r="B1862" t="n">
        <v>2018</v>
      </c>
      <c r="C1862" s="2" t="n">
        <v>43423.86882053241</v>
      </c>
      <c r="D1862" t="inlineStr">
        <is>
          <t>G1</t>
        </is>
      </c>
      <c r="E1862" t="inlineStr">
        <is>
          <t>HAITIANOS</t>
        </is>
      </c>
      <c r="F1862" t="inlineStr">
        <is>
          <t>MUNDO</t>
        </is>
      </c>
      <c r="G1862" t="inlineStr">
        <is>
          <t>FRANCE PRESSE</t>
        </is>
      </c>
      <c r="H1862" t="inlineStr">
        <is>
          <t>MANIFESTAÇÕES DEIXAM VÁRIOS MORTOS NO HAITI</t>
        </is>
      </c>
      <c r="I1862" t="inlineStr">
        <is>
          <t>POLÍCIA DIZ QUE TRÊS PESSOAS MORRERAM BALEADAS NO DOMINGO, OPOSIÇÃO AFIRMA QUE SÃO 11 OS MORTOS. MILHARES DE PESSOAS FORAM ÀS RUAS DAS PRINCIPAIS CIDADES DO PAÍS PARA DENUNCIAR A CORRUPÇÃO DO GOVERNO E EXIGIR A RENÚNCIA IMEDIATA DO PRESIDENTE JOVENEL MOÏSE.</t>
        </is>
      </c>
      <c r="J1862" t="inlineStr"/>
      <c r="K1862" t="n">
        <v>0</v>
      </c>
      <c r="L1862" t="n">
        <v>2</v>
      </c>
      <c r="M1862" t="n">
        <v>0</v>
      </c>
      <c r="N1862" t="n">
        <v>0</v>
      </c>
      <c r="O1862" t="n">
        <v>0</v>
      </c>
      <c r="P1862">
        <f>HYPERLINK("https://g1.globo.com/mundo/noticia/2018/11/19/manifestacoes-deixam-varios-mortos-no-haiti.ghtml", "URL")</f>
        <v/>
      </c>
      <c r="Q1862">
        <f>HYPERLINK("https://raw.githubusercontent.com/marcosmapl/dataset_imigrantes/main/materias_filtered/g1/haitianos/2018/10_nov/html/g1_67ffefa8-2316-11ed-b24f-6dbe51e79fca_3145.html", "HTML")</f>
        <v/>
      </c>
      <c r="R1862">
        <f>HYPERLINK("https://raw.githubusercontent.com/marcosmapl/dataset_imigrantes/main/materias_filtered/g1/haitianos/2018/10_nov/txt/g1_67ffefa8-2316-11ed-b24f-6dbe51e79fca_3145.txt", "TXT")</f>
        <v/>
      </c>
    </row>
    <row r="1863">
      <c r="A1863" s="1" t="n">
        <v>1861</v>
      </c>
      <c r="B1863" t="n">
        <v>2018</v>
      </c>
      <c r="C1863" s="2" t="n">
        <v>43423.38722222222</v>
      </c>
      <c r="D1863" t="inlineStr">
        <is>
          <t>A CRITICA</t>
        </is>
      </c>
      <c r="E1863" t="inlineStr">
        <is>
          <t>VENEZUELANOS</t>
        </is>
      </c>
      <c r="F1863" t="inlineStr">
        <is>
          <t>ESPORTES</t>
        </is>
      </c>
      <c r="G1863" t="inlineStr">
        <is>
          <t>VALTER CARDOSO</t>
        </is>
      </c>
      <c r="H1863" t="inlineStr">
        <is>
          <t>IRANDUBA ESTREIA COM VITÓRIA NA LIBERTADORES FEMININA</t>
        </is>
      </c>
      <c r="I1863" t="inlineStr">
        <is>
          <t>O PRÓXIMO JOGO DO IRANDUBA ACONTECE NA QUARTA-FEIRA (21), DIANTE DO CERRO PORTEÑO, ÀS 20H30, TAMBÉM NA ARENA DA AMAZÔNIA</t>
        </is>
      </c>
      <c r="J1863" t="inlineStr"/>
      <c r="K1863" t="n">
        <v>0</v>
      </c>
      <c r="L1863" t="n">
        <v>1</v>
      </c>
      <c r="M1863" t="n">
        <v>0</v>
      </c>
      <c r="N1863" t="n">
        <v>0</v>
      </c>
      <c r="O1863" t="n">
        <v>0</v>
      </c>
      <c r="P1863">
        <f>HYPERLINK("https://www.acritica.com/esportes/iranduba-estreia-com-vitoria-na-libertadores-feminina-1.89391", "URL")</f>
        <v/>
      </c>
      <c r="Q1863">
        <f>HYPERLINK("https://raw.githubusercontent.com/marcosmapl/dataset_imigrantes/main/materias_filtered/a_critica/venezuelanos/2018/10_nov/html/1.89391_214.html", "HTML")</f>
        <v/>
      </c>
      <c r="R1863">
        <f>HYPERLINK("https://raw.githubusercontent.com/marcosmapl/dataset_imigrantes/main/materias_filtered/a_critica/venezuelanos/2018/10_nov/txt/1.89391_214.txt", "TXT")</f>
        <v/>
      </c>
    </row>
    <row r="1864">
      <c r="A1864" s="1" t="n">
        <v>1862</v>
      </c>
      <c r="B1864" t="n">
        <v>2018</v>
      </c>
      <c r="C1864" s="2" t="n">
        <v>43422.85334490741</v>
      </c>
      <c r="D1864" t="inlineStr">
        <is>
          <t>A CRITICA</t>
        </is>
      </c>
      <c r="E1864" t="inlineStr">
        <is>
          <t>VENEZUELANOS</t>
        </is>
      </c>
      <c r="F1864" t="inlineStr">
        <is>
          <t>ESPORTES</t>
        </is>
      </c>
      <c r="G1864" t="inlineStr">
        <is>
          <t>JÉSSICA SANTOS</t>
        </is>
      </c>
      <c r="H1864" t="inlineStr">
        <is>
          <t>LIBERTADORES FEMININA TEM INÍCIO EM MANAUS; IRANDUBA JOGA NESTE DOMINGO (18)</t>
        </is>
      </c>
      <c r="I1864" t="inlineStr">
        <is>
          <t>PRIMEIRA PARTIDA SERÁ ENTRE URQUIZA E CERRO PORTEÑO. IRANDUBA PEGA O FLOR DE PATRIA A PARTIR DAS 20H30 NA ARENA</t>
        </is>
      </c>
      <c r="J1864" t="inlineStr"/>
      <c r="K1864" t="n">
        <v>0</v>
      </c>
      <c r="L1864" t="n">
        <v>1</v>
      </c>
      <c r="M1864" t="n">
        <v>0</v>
      </c>
      <c r="N1864" t="n">
        <v>0</v>
      </c>
      <c r="O1864" t="n">
        <v>1</v>
      </c>
      <c r="P1864">
        <f>HYPERLINK("https://www.acritica.com/esportes/libertadores-feminina-tem-inicio-em-manaus-iranduba-joga-neste-domingo-18-1.89449", "URL")</f>
        <v/>
      </c>
      <c r="Q1864">
        <f>HYPERLINK("https://raw.githubusercontent.com/marcosmapl/dataset_imigrantes/main/materias_filtered/a_critica/venezuelanos/2018/10_nov/html/1.89449_1223.html", "HTML")</f>
        <v/>
      </c>
      <c r="R1864">
        <f>HYPERLINK("https://raw.githubusercontent.com/marcosmapl/dataset_imigrantes/main/materias_filtered/a_critica/venezuelanos/2018/10_nov/txt/1.89449_1223.txt", "TXT")</f>
        <v/>
      </c>
    </row>
    <row r="1865">
      <c r="A1865" s="1" t="n">
        <v>1863</v>
      </c>
      <c r="B1865" t="n">
        <v>2018</v>
      </c>
      <c r="C1865" s="2" t="n">
        <v>43419.46765046296</v>
      </c>
      <c r="D1865" t="inlineStr">
        <is>
          <t>A CRITICA</t>
        </is>
      </c>
      <c r="E1865" t="inlineStr">
        <is>
          <t>VENEZUELANOS</t>
        </is>
      </c>
      <c r="F1865" t="inlineStr">
        <is>
          <t>ESPORTES</t>
        </is>
      </c>
      <c r="G1865" t="inlineStr">
        <is>
          <t>CAMILA LEONEL</t>
        </is>
      </c>
      <c r="H1865" t="inlineStr">
        <is>
          <t>FLOR DE PÁTRIA E ATLÉTICO HUILA CHEGAM A MANAUS PARA A LIBERTADORES FEMININA</t>
        </is>
      </c>
      <c r="I1865" t="inlineStr">
        <is>
          <t>O FLOR DE PÁTRIA, DA VENEZUELA, ESTREIA NA COMPETIÇÃO CONTRA O IRANDUBA EM JOGO NO DOMINGO (17). HUILA, DA COLÔMBIA, JOGARÁ NA SEGUNDA-FEIRA (18) CONTRA O PEÑAROL</t>
        </is>
      </c>
      <c r="J1865" t="inlineStr"/>
      <c r="K1865" t="n">
        <v>0</v>
      </c>
      <c r="L1865" t="n">
        <v>1</v>
      </c>
      <c r="M1865" t="n">
        <v>0</v>
      </c>
      <c r="N1865" t="n">
        <v>0</v>
      </c>
      <c r="O1865" t="n">
        <v>0</v>
      </c>
      <c r="P1865">
        <f>HYPERLINK("https://www.acritica.com/esportes/flor-de-patria-e-atletico-huila-chegam-a-manaus-para-a-libertadores-feminina-1.89904", "URL")</f>
        <v/>
      </c>
      <c r="Q1865">
        <f>HYPERLINK("https://raw.githubusercontent.com/marcosmapl/dataset_imigrantes/main/materias_filtered/a_critica/venezuelanos/2018/10_nov/html/1.89904_808.html", "HTML")</f>
        <v/>
      </c>
      <c r="R1865">
        <f>HYPERLINK("https://raw.githubusercontent.com/marcosmapl/dataset_imigrantes/main/materias_filtered/a_critica/venezuelanos/2018/10_nov/txt/1.89904_808.txt", "TXT")</f>
        <v/>
      </c>
    </row>
    <row r="1866">
      <c r="A1866" s="1" t="n">
        <v>1864</v>
      </c>
      <c r="B1866" t="n">
        <v>2018</v>
      </c>
      <c r="C1866" s="2" t="n">
        <v>43417.88305564815</v>
      </c>
      <c r="D1866" t="inlineStr">
        <is>
          <t>G1</t>
        </is>
      </c>
      <c r="E1866" t="inlineStr">
        <is>
          <t>VENEZUELANOS</t>
        </is>
      </c>
      <c r="F1866" t="inlineStr">
        <is>
          <t>RORAIMA</t>
        </is>
      </c>
      <c r="G1866" t="inlineStr">
        <is>
          <t>G1 RR</t>
        </is>
      </c>
      <c r="H1866" t="inlineStr">
        <is>
          <t>VENEZUELANO É ASSALTADO E TEM TELEVISÃO ROUBADA NA ZONA OESTE DE BOA VISTA</t>
        </is>
      </c>
      <c r="I1866" t="inlineStr">
        <is>
          <t>TV ROUBADA FOI RECUPERADA APÓS TROCA DE TIROS ENTRE OS SUSPEITOS E GUARDA CIVIL MUNICIPAL NESSA SEGUNDA (12).</t>
        </is>
      </c>
      <c r="J1866" t="inlineStr"/>
      <c r="K1866" t="n">
        <v>0</v>
      </c>
      <c r="L1866" t="n">
        <v>1</v>
      </c>
      <c r="M1866" t="n">
        <v>0</v>
      </c>
      <c r="N1866" t="n">
        <v>0</v>
      </c>
      <c r="O1866" t="n">
        <v>0</v>
      </c>
      <c r="P1866">
        <f>HYPERLINK("https://g1.globo.com/rr/roraima/noticia/2018/11/13/venezuelano-e-assaltado-e-tem-televisao-roubada-na-zona-oeste-de-boa-vista.ghtml", "URL")</f>
        <v/>
      </c>
      <c r="Q1866">
        <f>HYPERLINK("https://raw.githubusercontent.com/marcosmapl/dataset_imigrantes/main/materias_filtered/g1/venezuelanos/2018/10_nov/html/g1_0cd4ca68-2320-11ed-b24f-6dbe51e79fca_3659.html", "HTML")</f>
        <v/>
      </c>
      <c r="R1866">
        <f>HYPERLINK("https://raw.githubusercontent.com/marcosmapl/dataset_imigrantes/main/materias_filtered/g1/venezuelanos/2018/10_nov/txt/g1_0cd4ca68-2320-11ed-b24f-6dbe51e79fca_3659.txt", "TXT")</f>
        <v/>
      </c>
    </row>
    <row r="1867">
      <c r="A1867" s="1" t="n">
        <v>1865</v>
      </c>
      <c r="B1867" t="n">
        <v>2018</v>
      </c>
      <c r="C1867" s="2" t="n">
        <v>43415.64149486111</v>
      </c>
      <c r="D1867" t="inlineStr">
        <is>
          <t>G1</t>
        </is>
      </c>
      <c r="E1867" t="inlineStr">
        <is>
          <t>VENEZUELANOS</t>
        </is>
      </c>
      <c r="F1867" t="inlineStr">
        <is>
          <t>RORAIMA</t>
        </is>
      </c>
      <c r="G1867" t="inlineStr">
        <is>
          <t>ALAN CHAVES E VALÉRIA OLIVEIRA, G1 RR — BOA VISTA</t>
        </is>
      </c>
      <c r="H1867" t="inlineStr">
        <is>
          <t>VENEZUELANO DESEMPREGADO VENDE CANETAS NA PORTA DO ENEM E SONHA FAZER PROVA: 'UM DIA SERÁ EU ENTRANDO NESSES PORTÕES'</t>
        </is>
      </c>
      <c r="I1867" t="inlineStr">
        <is>
          <t>SEGUNDO DIA DE PROVAS DO ENEM 2018 OCORRE NESTE DOMINGO (11) EM TODO O PAÍS.</t>
        </is>
      </c>
      <c r="J1867" t="inlineStr"/>
      <c r="K1867" t="n">
        <v>0</v>
      </c>
      <c r="L1867" t="n">
        <v>2</v>
      </c>
      <c r="M1867" t="n">
        <v>0</v>
      </c>
      <c r="N1867" t="n">
        <v>0</v>
      </c>
      <c r="O1867" t="n">
        <v>7</v>
      </c>
      <c r="P1867">
        <f>HYPERLINK("https://g1.globo.com/rr/roraima/noticia/2018/11/11/venezuelano-desempregado-vende-canetas-na-porta-do-enem-e-sonha-fazer-prova-um-dia-sera-eu-entrado-nesses-portoes.ghtml", "URL")</f>
        <v/>
      </c>
      <c r="Q1867">
        <f>HYPERLINK("https://raw.githubusercontent.com/marcosmapl/dataset_imigrantes/main/materias_filtered/g1/venezuelanos/2018/10_nov/html/g1_f7f6a474-2309-11ed-b24f-6dbe51e79fca_2477.html", "HTML")</f>
        <v/>
      </c>
      <c r="R1867">
        <f>HYPERLINK("https://raw.githubusercontent.com/marcosmapl/dataset_imigrantes/main/materias_filtered/g1/venezuelanos/2018/10_nov/txt/g1_f7f6a474-2309-11ed-b24f-6dbe51e79fca_2477.txt", "TXT")</f>
        <v/>
      </c>
    </row>
    <row r="1868">
      <c r="A1868" s="1" t="n">
        <v>1866</v>
      </c>
      <c r="B1868" t="n">
        <v>2018</v>
      </c>
      <c r="C1868" s="2" t="n">
        <v>43414.86901680555</v>
      </c>
      <c r="D1868" t="inlineStr">
        <is>
          <t>G1</t>
        </is>
      </c>
      <c r="E1868" t="inlineStr">
        <is>
          <t>HAITIANOS</t>
        </is>
      </c>
      <c r="F1868" t="inlineStr">
        <is>
          <t>MATO GROSSO DO SUL</t>
        </is>
      </c>
      <c r="G1868" t="inlineStr">
        <is>
          <t>BRUNO AXELSON E JAQUELINE NAUJORKS, TV MORENA — CAMPO GRANDE</t>
        </is>
      </c>
      <c r="H1868" t="inlineStr">
        <is>
          <t>HAITIANO DIZ QUE CHEGARÁ CEDO PARA O ENEM POR VALORIZAR A CHANCE: 'COMO ESTRANGEIRO QUERO DAR O EXEMPLO'</t>
        </is>
      </c>
      <c r="I1868" t="inlineStr">
        <is>
          <t>BERNARD CHEGOU COM 3 HORAS DE ANTECEDÊNCIA PARA A PRIMEIRA PROVA EM CAMPO GRANDE (MS). PARA A DESTE DOMINGO (11), FARÁ O MESMO: "É SINAL DE RESPEITO COM MEU OBJETIVO".</t>
        </is>
      </c>
      <c r="J1868" t="inlineStr"/>
      <c r="K1868" t="n">
        <v>0</v>
      </c>
      <c r="L1868" t="n">
        <v>1</v>
      </c>
      <c r="M1868" t="n">
        <v>0</v>
      </c>
      <c r="N1868" t="n">
        <v>0</v>
      </c>
      <c r="O1868" t="n">
        <v>1</v>
      </c>
      <c r="P1868">
        <f>HYPERLINK("https://g1.globo.com/ms/mato-grosso-do-sul/noticia/2018/11/10/haitiano-diz-que-chegara-cedo-para-o-enem-por-valorizar-a-chance-como-estrangeiro-quero-dar-o-exemplo.ghtml", "URL")</f>
        <v/>
      </c>
      <c r="Q1868">
        <f>HYPERLINK("https://raw.githubusercontent.com/marcosmapl/dataset_imigrantes/main/materias_filtered/g1/haitianos/2018/10_nov/html/g1_dc67a6d0-22f1-11ed-b24f-6dbe51e79fca_1768.html", "HTML")</f>
        <v/>
      </c>
      <c r="R1868">
        <f>HYPERLINK("https://raw.githubusercontent.com/marcosmapl/dataset_imigrantes/main/materias_filtered/g1/haitianos/2018/10_nov/txt/g1_dc67a6d0-22f1-11ed-b24f-6dbe51e79fca_1768.txt", "TXT")</f>
        <v/>
      </c>
    </row>
    <row r="1869">
      <c r="A1869" s="1" t="n">
        <v>1867</v>
      </c>
      <c r="B1869" t="n">
        <v>2018</v>
      </c>
      <c r="C1869" s="2" t="n">
        <v>43414.82310508102</v>
      </c>
      <c r="D1869" t="inlineStr">
        <is>
          <t>G1</t>
        </is>
      </c>
      <c r="E1869" t="inlineStr">
        <is>
          <t>VENEZUELANOS</t>
        </is>
      </c>
      <c r="F1869" t="inlineStr">
        <is>
          <t>RIO GRANDE DO SUL</t>
        </is>
      </c>
      <c r="G1869" t="inlineStr">
        <is>
          <t>G1 RS</t>
        </is>
      </c>
      <c r="H1869" t="inlineStr">
        <is>
          <t>IMIGRANTE VENEZUELANA DÁ À LUZ UMA MENINA EM HOSPITAL DE CANOAS</t>
        </is>
      </c>
      <c r="I1869" t="inlineStr">
        <is>
          <t>BEBÊ, CHAMADA DE MARIANGEL, NASCEU NA SEXTA-FEIRA (9), NO HOSPITAL UNIVERSITÁRIO. MÃE E FILHA PASSAM BEM E DEVEM RECEBER ALTA NO DOMINGO (11).</t>
        </is>
      </c>
      <c r="J1869" t="inlineStr"/>
      <c r="K1869" t="n">
        <v>0</v>
      </c>
      <c r="L1869" t="n">
        <v>1</v>
      </c>
      <c r="M1869" t="n">
        <v>0</v>
      </c>
      <c r="N1869" t="n">
        <v>0</v>
      </c>
      <c r="O1869" t="n">
        <v>0</v>
      </c>
      <c r="P1869">
        <f>HYPERLINK("https://g1.globo.com/rs/rio-grande-do-sul/noticia/2018/11/10/filha-de-imigrantes-venezuelanos-nasce-em-hospital-de-canoas.ghtml", "URL")</f>
        <v/>
      </c>
      <c r="Q1869">
        <f>HYPERLINK("https://raw.githubusercontent.com/marcosmapl/dataset_imigrantes/main/materias_filtered/g1/venezuelanos/2018/10_nov/html/g1_02518c72-2314-11ed-b24f-6dbe51e79fca_3039.html", "HTML")</f>
        <v/>
      </c>
      <c r="R1869">
        <f>HYPERLINK("https://raw.githubusercontent.com/marcosmapl/dataset_imigrantes/main/materias_filtered/g1/venezuelanos/2018/10_nov/txt/g1_02518c72-2314-11ed-b24f-6dbe51e79fca_3039.txt", "TXT")</f>
        <v/>
      </c>
    </row>
    <row r="1870">
      <c r="A1870" s="1" t="n">
        <v>1868</v>
      </c>
      <c r="B1870" t="n">
        <v>2018</v>
      </c>
      <c r="C1870" s="2" t="n">
        <v>43414.6324759838</v>
      </c>
      <c r="D1870" t="inlineStr">
        <is>
          <t>G1</t>
        </is>
      </c>
      <c r="E1870" t="inlineStr">
        <is>
          <t>VENEZUELANOS</t>
        </is>
      </c>
      <c r="F1870" t="inlineStr">
        <is>
          <t>RIBEIRÃO E FRANCA</t>
        </is>
      </c>
      <c r="G1870" t="inlineStr">
        <is>
          <t>EPTV 1</t>
        </is>
      </c>
      <c r="H1870" t="inlineStr">
        <is>
          <t>VENEZUELANO É PRESO COM CARRO CHEIO DE ROUPAS FURTADAS EM SHOPPINGS NA REGIÃO DE RIBEIRÃO</t>
        </is>
      </c>
      <c r="I1870" t="inlineStr">
        <is>
          <t>HOMEM FOI PRESO APÓS SER FLAGRADO POR SEGURANÇA DE ESTABELECIMENTO NA ZONA SUL. SUSPEITO TENTOU DESPISTAR A POLÍCIA E FUGIR DE ÔNIBUS, MAS FOI CAPTURADO E CONFESSOU CRIMES, DIZ PM.</t>
        </is>
      </c>
      <c r="J1870" t="inlineStr"/>
      <c r="K1870" t="n">
        <v>0</v>
      </c>
      <c r="L1870" t="n">
        <v>3</v>
      </c>
      <c r="M1870" t="n">
        <v>1</v>
      </c>
      <c r="N1870" t="n">
        <v>0</v>
      </c>
      <c r="O1870" t="n">
        <v>1</v>
      </c>
      <c r="P1870">
        <f>HYPERLINK("https://g1.globo.com/sp/ribeirao-preto-franca/noticia/2018/11/10/venezuelano-e-preso-com-carro-cheio-de-roupas-furtadas-em-shoppings-na-regiao-de-ribeirao-preto-sp.ghtml", "URL")</f>
        <v/>
      </c>
      <c r="Q1870">
        <f>HYPERLINK("https://raw.githubusercontent.com/marcosmapl/dataset_imigrantes/main/materias_filtered/g1/venezuelanos/2018/10_nov/html/g1_fd30857e-2307-11ed-b24f-6dbe51e79fca_2357.html", "HTML")</f>
        <v/>
      </c>
      <c r="R1870">
        <f>HYPERLINK("https://raw.githubusercontent.com/marcosmapl/dataset_imigrantes/main/materias_filtered/g1/venezuelanos/2018/10_nov/txt/g1_fd30857e-2307-11ed-b24f-6dbe51e79fca_2357.txt", "TXT")</f>
        <v/>
      </c>
    </row>
    <row r="1871">
      <c r="A1871" s="1" t="n">
        <v>1869</v>
      </c>
      <c r="B1871" t="n">
        <v>2018</v>
      </c>
      <c r="C1871" s="2" t="n">
        <v>43414.63084319444</v>
      </c>
      <c r="D1871" t="inlineStr">
        <is>
          <t>G1</t>
        </is>
      </c>
      <c r="E1871" t="inlineStr">
        <is>
          <t>VENEZUELANOS</t>
        </is>
      </c>
      <c r="F1871" t="inlineStr">
        <is>
          <t>AMAZONAS</t>
        </is>
      </c>
      <c r="G1871" t="inlineStr">
        <is>
          <t>G1 AM</t>
        </is>
      </c>
      <c r="H1871" t="inlineStr">
        <is>
          <t>PRIMEIRO ABRIGO DO BRASIL PARA REFUGIADOS LGBTI ACOLHE VENEZUELANAS EM MANAUS</t>
        </is>
      </c>
      <c r="I1871" t="inlineStr">
        <is>
          <t>'CASA MIGA' ABRIGA, ATUALMENTE, CINCO MULHERES. LAR É RESULTADO DE PROJETO CORDENADO DA AGÊNCIA PARA REFUGIADOS DA ONU, COM APOIO FINANCEIRO DA UNIÃO EUROPEIA E ONG'S LOCAIS</t>
        </is>
      </c>
      <c r="J1871" t="inlineStr"/>
      <c r="K1871" t="n">
        <v>0</v>
      </c>
      <c r="L1871" t="n">
        <v>1</v>
      </c>
      <c r="M1871" t="n">
        <v>0</v>
      </c>
      <c r="N1871" t="n">
        <v>0</v>
      </c>
      <c r="O1871" t="n">
        <v>0</v>
      </c>
      <c r="P1871">
        <f>HYPERLINK("https://g1.globo.com/am/amazonas/noticia/2018/11/10/primeiro-abrigo-do-brasil-para-refugiados-lgbti-acolhe-venezuelanas-em-manaus.ghtml", "URL")</f>
        <v/>
      </c>
      <c r="Q1871">
        <f>HYPERLINK("https://raw.githubusercontent.com/marcosmapl/dataset_imigrantes/main/materias_filtered/g1/venezuelanos/2018/10_nov/html/g1_e13cbb18-230b-11ed-b24f-6dbe51e79fca_2593.html", "HTML")</f>
        <v/>
      </c>
      <c r="R1871">
        <f>HYPERLINK("https://raw.githubusercontent.com/marcosmapl/dataset_imigrantes/main/materias_filtered/g1/venezuelanos/2018/10_nov/txt/g1_e13cbb18-230b-11ed-b24f-6dbe51e79fca_2593.txt", "TXT")</f>
        <v/>
      </c>
    </row>
    <row r="1872">
      <c r="A1872" s="1" t="n">
        <v>1870</v>
      </c>
      <c r="B1872" t="n">
        <v>2018</v>
      </c>
      <c r="C1872" s="2" t="n">
        <v>43413.68292824074</v>
      </c>
      <c r="D1872" t="inlineStr">
        <is>
          <t>A CRITICA</t>
        </is>
      </c>
      <c r="E1872" t="inlineStr">
        <is>
          <t>VENEZUELANOS</t>
        </is>
      </c>
      <c r="F1872" t="inlineStr"/>
      <c r="G1872" t="inlineStr">
        <is>
          <t>AMANDA GUIMARÃES</t>
        </is>
      </c>
      <c r="H1872" t="inlineStr">
        <is>
          <t>APENAS 40% DA POPULAÇÃO DO AM TOMOU A VACINA CONTRA O SARAMPO, DIZ PESQUISA</t>
        </is>
      </c>
      <c r="I1872" t="inlineStr">
        <is>
          <t>ESTUDO DO ICTQ APONTA QUE OS MAIS JOVENS, COM IDADE ABAIXO DE 24 ANOS, E OS MAIS IDOSOS, SÃO OS GRUPOS COM MAIOR RISCO PELA FALTA DE IMUNIZAÇÃO NO ESTADO</t>
        </is>
      </c>
      <c r="J1872" t="inlineStr"/>
      <c r="K1872" t="n">
        <v>0</v>
      </c>
      <c r="L1872" t="n">
        <v>1</v>
      </c>
      <c r="M1872" t="n">
        <v>0</v>
      </c>
      <c r="N1872" t="n">
        <v>0</v>
      </c>
      <c r="O1872" t="n">
        <v>1</v>
      </c>
      <c r="P1872">
        <f>HYPERLINK("https://www.acritica.com/apenas-40-da-populac-o-do-am-tomou-a-vacina-contra-o-sarampo-diz-pesquisa-1.93023", "URL")</f>
        <v/>
      </c>
      <c r="Q1872">
        <f>HYPERLINK("https://raw.githubusercontent.com/marcosmapl/dataset_imigrantes/main/materias_filtered/a_critica/venezuelanos/2018/10_nov/html/1.93023_92.html", "HTML")</f>
        <v/>
      </c>
      <c r="R1872">
        <f>HYPERLINK("https://raw.githubusercontent.com/marcosmapl/dataset_imigrantes/main/materias_filtered/a_critica/venezuelanos/2018/10_nov/txt/1.93023_92.txt", "TXT")</f>
        <v/>
      </c>
    </row>
    <row r="1873">
      <c r="A1873" s="1" t="n">
        <v>1871</v>
      </c>
      <c r="B1873" t="n">
        <v>2018</v>
      </c>
      <c r="C1873" s="2" t="n">
        <v>43412.84860820602</v>
      </c>
      <c r="D1873" t="inlineStr">
        <is>
          <t>G1</t>
        </is>
      </c>
      <c r="E1873" t="inlineStr">
        <is>
          <t>VENEZUELANOS</t>
        </is>
      </c>
      <c r="F1873" t="inlineStr">
        <is>
          <t>RORAIMA</t>
        </is>
      </c>
      <c r="G1873" t="inlineStr">
        <is>
          <t>G1 RR</t>
        </is>
      </c>
      <c r="H1873" t="inlineStr">
        <is>
          <t>VENEZUELANO É ESFAQUEADO DURANTE BRIGA EM BAR NA ZONA SUL DE BOA VISTA</t>
        </is>
      </c>
      <c r="I1873" t="inlineStr">
        <is>
          <t>LUIZ JESUS ORFILA GONZALEZ, DE 24 ANOS, FOI ATINGIDO COM UMA FACADA NO ROSTO E OUTRA NO TÓRAX. CASO OCORREU NESSA QUARTA (7), NO SÃO VICENTE.</t>
        </is>
      </c>
      <c r="J1873" t="inlineStr"/>
      <c r="K1873" t="n">
        <v>0</v>
      </c>
      <c r="L1873" t="n">
        <v>1</v>
      </c>
      <c r="M1873" t="n">
        <v>0</v>
      </c>
      <c r="N1873" t="n">
        <v>0</v>
      </c>
      <c r="O1873" t="n">
        <v>0</v>
      </c>
      <c r="P1873">
        <f>HYPERLINK("https://g1.globo.com/rr/roraima/noticia/2018/11/08/venezuelano-e-esfaqueado-durante-briga-em-bar-na-zona-sul-de-boa-vista.ghtml", "URL")</f>
        <v/>
      </c>
      <c r="Q1873">
        <f>HYPERLINK("https://raw.githubusercontent.com/marcosmapl/dataset_imigrantes/main/materias_filtered/g1/venezuelanos/2018/10_nov/html/g1_f3d4b22a-2311-11ed-b24f-6dbe51e79fca_2942.html", "HTML")</f>
        <v/>
      </c>
      <c r="R1873">
        <f>HYPERLINK("https://raw.githubusercontent.com/marcosmapl/dataset_imigrantes/main/materias_filtered/g1/venezuelanos/2018/10_nov/txt/g1_f3d4b22a-2311-11ed-b24f-6dbe51e79fca_2942.txt", "TXT")</f>
        <v/>
      </c>
    </row>
    <row r="1874">
      <c r="A1874" s="1" t="n">
        <v>1872</v>
      </c>
      <c r="B1874" t="n">
        <v>2018</v>
      </c>
      <c r="C1874" s="2" t="n">
        <v>43412.68534722222</v>
      </c>
      <c r="D1874" t="inlineStr">
        <is>
          <t>A CRITICA</t>
        </is>
      </c>
      <c r="E1874" t="inlineStr">
        <is>
          <t>VENEZUELANOS</t>
        </is>
      </c>
      <c r="F1874" t="inlineStr"/>
      <c r="G1874" t="inlineStr">
        <is>
          <t>AGÊNCIA BRASIL</t>
        </is>
      </c>
      <c r="H1874" t="inlineStr">
        <is>
          <t>REFUGIADOS E MIGRANTES VENEZUELANOS JÁ SÃO 3 MILHÕES NO MUNDO</t>
        </is>
      </c>
      <c r="I1874" t="inlineStr">
        <is>
          <t>A MAIOR PARTE DOS MIGRANTES (2,4 MILHÕES) SE DESLOCOU PARA PAÍSES DA AMÉRICA LATINA E DO CARIBE. TAMBÉM HÁ REGISTRO DE CHEGADA DOS REFUGIADOS NA VENEZUELA</t>
        </is>
      </c>
      <c r="J1874" t="inlineStr"/>
      <c r="K1874" t="n">
        <v>0</v>
      </c>
      <c r="L1874" t="n">
        <v>1</v>
      </c>
      <c r="M1874" t="n">
        <v>0</v>
      </c>
      <c r="N1874" t="n">
        <v>0</v>
      </c>
      <c r="O1874" t="n">
        <v>0</v>
      </c>
      <c r="P1874">
        <f>HYPERLINK("https://www.acritica.com/refugiados-e-migrantes-venezuelanos-ja-s-o-3-milh-es-no-mundo-1.82185", "URL")</f>
        <v/>
      </c>
      <c r="Q1874">
        <f>HYPERLINK("https://raw.githubusercontent.com/marcosmapl/dataset_imigrantes/main/materias_filtered/a_critica/venezuelanos/2018/10_nov/html/1.82185_1035.html", "HTML")</f>
        <v/>
      </c>
      <c r="R1874">
        <f>HYPERLINK("https://raw.githubusercontent.com/marcosmapl/dataset_imigrantes/main/materias_filtered/a_critica/venezuelanos/2018/10_nov/txt/1.82185_1035.txt", "TXT")</f>
        <v/>
      </c>
    </row>
    <row r="1875">
      <c r="A1875" s="1" t="n">
        <v>1873</v>
      </c>
      <c r="B1875" t="n">
        <v>2018</v>
      </c>
      <c r="C1875" s="2" t="n">
        <v>43411.88030644676</v>
      </c>
      <c r="D1875" t="inlineStr">
        <is>
          <t>G1</t>
        </is>
      </c>
      <c r="E1875" t="inlineStr">
        <is>
          <t>VENEZUELANOS</t>
        </is>
      </c>
      <c r="F1875" t="inlineStr">
        <is>
          <t>PIRACICABA E REGIÃO</t>
        </is>
      </c>
      <c r="G1875" t="inlineStr">
        <is>
          <t>G1 PIRACICABA E REGIÃO</t>
        </is>
      </c>
      <c r="H1875" t="inlineStr">
        <is>
          <t>ESCRITOR VENEZUELANO LANÇA LIVRO EM LIMEIRA E DESTINA VERBA PARA AJUDAR FAMÍLIAS DO PAÍS QUE NASCEU</t>
        </is>
      </c>
      <c r="I1875" t="inlineStr">
        <is>
          <t>EVENTO OCORRE NESTA QUINTA-FEIRA (8), ÀS 20H, NO CENTRO. ENTRADA CUSTA R$ 20.</t>
        </is>
      </c>
      <c r="J1875" t="inlineStr"/>
      <c r="K1875" t="n">
        <v>0</v>
      </c>
      <c r="L1875" t="n">
        <v>1</v>
      </c>
      <c r="M1875" t="n">
        <v>0</v>
      </c>
      <c r="N1875" t="n">
        <v>0</v>
      </c>
      <c r="O1875" t="n">
        <v>1</v>
      </c>
      <c r="P1875">
        <f>HYPERLINK("https://g1.globo.com/sp/piracicaba-regiao/noticia/2018/11/07/escritor-venezuelano-lanca-livro-em-limeira-e-destina-verba-para-ajudar-familias-do-pais-que-nasceu.ghtml", "URL")</f>
        <v/>
      </c>
      <c r="Q1875">
        <f>HYPERLINK("https://raw.githubusercontent.com/marcosmapl/dataset_imigrantes/main/materias_filtered/g1/venezuelanos/2018/10_nov/html/g1_abc8550e-2316-11ed-b24f-6dbe51e79fca_3163.html", "HTML")</f>
        <v/>
      </c>
      <c r="R1875">
        <f>HYPERLINK("https://raw.githubusercontent.com/marcosmapl/dataset_imigrantes/main/materias_filtered/g1/venezuelanos/2018/10_nov/txt/g1_abc8550e-2316-11ed-b24f-6dbe51e79fca_3163.txt", "TXT")</f>
        <v/>
      </c>
    </row>
    <row r="1876">
      <c r="A1876" s="1" t="n">
        <v>1874</v>
      </c>
      <c r="B1876" t="n">
        <v>2018</v>
      </c>
      <c r="C1876" s="2" t="n">
        <v>43411.55517361111</v>
      </c>
      <c r="D1876" t="inlineStr">
        <is>
          <t>A CRITICA</t>
        </is>
      </c>
      <c r="E1876" t="inlineStr">
        <is>
          <t>VENEZUELANOS</t>
        </is>
      </c>
      <c r="F1876" t="inlineStr">
        <is>
          <t>MANAUS</t>
        </is>
      </c>
      <c r="G1876" t="inlineStr">
        <is>
          <t>ACRÍTICA.COM</t>
        </is>
      </c>
      <c r="H1876" t="inlineStr">
        <is>
          <t>PROGRAMA DE CAPACITAÇÃO DE VENEZUELANOS VAI BUSCAR PARCERIAS PARA EMPREGAR FORMADOS</t>
        </is>
      </c>
      <c r="I1876" t="inlineStr">
        <is>
          <t>APÓS A FORMATURA DE MAIS DE CEM VENEZUELANOS EM CURSOS TÉCNICOS, PROGRAMA VAI TENTAR VIABILIZAR ABSORÇÃO PELO MERCADO, PARA DAR A CHANCE DE RECOMEÇO AOS IMIGRANTES</t>
        </is>
      </c>
      <c r="J1876" t="inlineStr"/>
      <c r="K1876" t="n">
        <v>0</v>
      </c>
      <c r="L1876" t="n">
        <v>1</v>
      </c>
      <c r="M1876" t="n">
        <v>0</v>
      </c>
      <c r="N1876" t="n">
        <v>0</v>
      </c>
      <c r="O1876" t="n">
        <v>0</v>
      </c>
      <c r="P1876">
        <f>HYPERLINK("https://www.acritica.com/manaus/programa-de-capacitac-o-de-venezuelanos-vai-buscar-parcerias-para-empregar-formados-1.82577", "URL")</f>
        <v/>
      </c>
      <c r="Q1876">
        <f>HYPERLINK("https://raw.githubusercontent.com/marcosmapl/dataset_imigrantes/main/materias_filtered/a_critica/venezuelanos/2018/10_nov/html/1.82577_1370.html", "HTML")</f>
        <v/>
      </c>
      <c r="R1876">
        <f>HYPERLINK("https://raw.githubusercontent.com/marcosmapl/dataset_imigrantes/main/materias_filtered/a_critica/venezuelanos/2018/10_nov/txt/1.82577_1370.txt", "TXT")</f>
        <v/>
      </c>
    </row>
    <row r="1877">
      <c r="A1877" s="1" t="n">
        <v>1875</v>
      </c>
      <c r="B1877" t="n">
        <v>2018</v>
      </c>
      <c r="C1877" s="2" t="n">
        <v>43411.53680555556</v>
      </c>
      <c r="D1877" t="inlineStr">
        <is>
          <t>PORTAL AMAZONIA</t>
        </is>
      </c>
      <c r="E1877" t="inlineStr">
        <is>
          <t>VENEZUELANOS</t>
        </is>
      </c>
      <c r="F1877" t="inlineStr">
        <is>
          <t>CIDADES</t>
        </is>
      </c>
      <c r="G1877" t="inlineStr">
        <is>
          <t>REDAÇÃO</t>
        </is>
      </c>
      <c r="H1877" t="inlineStr">
        <is>
          <t>PARÁ (PA) PROMOVE CURSO DE PORTUGUÊS PARA IMIGRANTES VENEZUELANOS</t>
        </is>
      </c>
      <c r="I1877" t="inlineStr">
        <is>
          <t>NA MANHÃ DESTA ULTIMA TERÇA-FEIRA (6), O GOVERNO DO ESTADO, ATRAVÉS DA SEJUDH, EM PARCEIRA COM O INSTITUTO FEDERAL DO PARÁ DEU INICIO AO CURSO DE CAPACITAÇÃO EM LÍNGUA PORTUGUESA COMO LÍNGUA ESTRANGEIRA PARA IMIGRANTES QUE ESTÃO EM SITUAÇÃO DE REFÚGI</t>
        </is>
      </c>
      <c r="J1877" t="inlineStr">
        <is>
          <t>CONCURSO, VENEZUELANOS</t>
        </is>
      </c>
      <c r="K1877" t="n">
        <v>2</v>
      </c>
      <c r="L1877" t="n">
        <v>1</v>
      </c>
      <c r="M1877" t="n">
        <v>0</v>
      </c>
      <c r="N1877" t="n">
        <v>0</v>
      </c>
      <c r="O1877" t="n">
        <v>7</v>
      </c>
      <c r="P1877">
        <f>HYPERLINK("https://portalamazonia.com/noticias/cidades/para-pa-promove-curso-de-portugues-para-imigrantes-venezuelanos", "URL")</f>
        <v/>
      </c>
      <c r="Q1877">
        <f>HYPERLINK("https://raw.githubusercontent.com/marcosmapl/dataset_imigrantes/main/materias_filtered/portal_amazonia/venezuelanos/2018/10_nov/html/16164.16164_1468.html", "HTML")</f>
        <v/>
      </c>
      <c r="R1877">
        <f>HYPERLINK("https://raw.githubusercontent.com/marcosmapl/dataset_imigrantes/main/materias_filtered/portal_amazonia/venezuelanos/2018/10_nov/txt/16164.16164_1468.txt", "TXT")</f>
        <v/>
      </c>
    </row>
    <row r="1878">
      <c r="A1878" s="1" t="n">
        <v>1876</v>
      </c>
      <c r="B1878" t="n">
        <v>2018</v>
      </c>
      <c r="C1878" s="2" t="n">
        <v>43410.73376690973</v>
      </c>
      <c r="D1878" t="inlineStr">
        <is>
          <t>G1</t>
        </is>
      </c>
      <c r="E1878" t="inlineStr">
        <is>
          <t>VENEZUELANOS</t>
        </is>
      </c>
      <c r="F1878" t="inlineStr">
        <is>
          <t>CEARÁ</t>
        </is>
      </c>
      <c r="G1878" t="inlineStr">
        <is>
          <t>G1 CE</t>
        </is>
      </c>
      <c r="H1878" t="inlineStr">
        <is>
          <t>VENEZUELANA MANTIDA EM CÁRCERE NO CE ERA PROIBIDA DE USAR BANHEIRO; MPF DENUNCIA TRÊS PESSOAS PELO CRIME</t>
        </is>
      </c>
      <c r="I1878" t="inlineStr">
        <is>
          <t>A VÍTIMA FICAVA TRANCADA EM RESIDÊNCIA DE PROFESSORA, EM JUAZEIRO DO NORTE, E SUBMETIDA A SITUAÇÕES DE HUMILHAÇÃO, SEGUNDO O MPF.</t>
        </is>
      </c>
      <c r="J1878" t="inlineStr"/>
      <c r="K1878" t="n">
        <v>0</v>
      </c>
      <c r="L1878" t="n">
        <v>1</v>
      </c>
      <c r="M1878" t="n">
        <v>0</v>
      </c>
      <c r="N1878" t="n">
        <v>0</v>
      </c>
      <c r="O1878" t="n">
        <v>2</v>
      </c>
      <c r="P1878">
        <f>HYPERLINK("https://g1.globo.com/ce/ceara/noticia/2018/11/06/venezuelana-mantida-em-carcere-no-ce-era-proibida-de-usar-banheiro-mpf-denuncia-tres-pessoas-pelo-crime.ghtml", "URL")</f>
        <v/>
      </c>
      <c r="Q1878">
        <f>HYPERLINK("https://raw.githubusercontent.com/marcosmapl/dataset_imigrantes/main/materias_filtered/g1/venezuelanos/2018/10_nov/html/g1_1ebfcfd8-232b-11ed-b24f-6dbe51e79fca_4223.html", "HTML")</f>
        <v/>
      </c>
      <c r="R1878">
        <f>HYPERLINK("https://raw.githubusercontent.com/marcosmapl/dataset_imigrantes/main/materias_filtered/g1/venezuelanos/2018/10_nov/txt/g1_1ebfcfd8-232b-11ed-b24f-6dbe51e79fca_4223.txt", "TXT")</f>
        <v/>
      </c>
    </row>
    <row r="1879">
      <c r="A1879" s="1" t="n">
        <v>1877</v>
      </c>
      <c r="B1879" t="n">
        <v>2018</v>
      </c>
      <c r="C1879" s="2" t="n">
        <v>43410.60949074074</v>
      </c>
      <c r="D1879" t="inlineStr">
        <is>
          <t>A CRITICA</t>
        </is>
      </c>
      <c r="E1879" t="inlineStr">
        <is>
          <t>VENEZUELANOS</t>
        </is>
      </c>
      <c r="F1879" t="inlineStr"/>
      <c r="G1879" t="inlineStr">
        <is>
          <t>VINÍCIUS LISBOA (AGÊNCIA BRASIL)</t>
        </is>
      </c>
      <c r="H1879" t="inlineStr">
        <is>
          <t>BOLSONARO QUER FIXAR APOSENTADORIA EM 61 ANOS PARA HOMENS E 56 PARA MULHERES</t>
        </is>
      </c>
      <c r="I1879" t="inlineStr">
        <is>
          <t>O PRESIDENTE ELEITO DEFENDE APROVAÇÃO DA IDADE MÍNIMA À APOSENTADORIA E PREVÊ “MAJORAR” O BENEFÍCIO EM DETERMINADAS CARREIRAS QUE SERÃO ESPECIFICADAS</t>
        </is>
      </c>
      <c r="J1879" t="inlineStr"/>
      <c r="K1879" t="n">
        <v>0</v>
      </c>
      <c r="L1879" t="n">
        <v>1</v>
      </c>
      <c r="M1879" t="n">
        <v>0</v>
      </c>
      <c r="N1879" t="n">
        <v>0</v>
      </c>
      <c r="O1879" t="n">
        <v>0</v>
      </c>
      <c r="P1879">
        <f>HYPERLINK("https://www.acritica.com/bolsonaro-quer-fixar-aposentadoria-em-61-anos-para-homens-e-56-para-mulheres-1.82792", "URL")</f>
        <v/>
      </c>
      <c r="Q1879">
        <f>HYPERLINK("https://raw.githubusercontent.com/marcosmapl/dataset_imigrantes/main/materias_filtered/a_critica/venezuelanos/2018/10_nov/html/1.82792_110.html", "HTML")</f>
        <v/>
      </c>
      <c r="R1879">
        <f>HYPERLINK("https://raw.githubusercontent.com/marcosmapl/dataset_imigrantes/main/materias_filtered/a_critica/venezuelanos/2018/10_nov/txt/1.82792_110.txt", "TXT")</f>
        <v/>
      </c>
    </row>
    <row r="1880">
      <c r="A1880" s="1" t="n">
        <v>1878</v>
      </c>
      <c r="B1880" t="n">
        <v>2018</v>
      </c>
      <c r="C1880" s="2" t="n">
        <v>43410.58678240741</v>
      </c>
      <c r="D1880" t="inlineStr">
        <is>
          <t>A CRITICA</t>
        </is>
      </c>
      <c r="E1880" t="inlineStr">
        <is>
          <t>VENEZUELANOS</t>
        </is>
      </c>
      <c r="F1880" t="inlineStr">
        <is>
          <t>MANAUS</t>
        </is>
      </c>
      <c r="G1880" t="inlineStr">
        <is>
          <t>ACRITICA.COM*</t>
        </is>
      </c>
      <c r="H1880" t="inlineStr">
        <is>
          <t>PRIMEIRO ABRIGO DO BRASIL PARA REFUGIADOS LGBTI ACOLHE VENEZUELANAS EM MANAUS</t>
        </is>
      </c>
      <c r="I1880" t="inlineStr">
        <is>
          <t>AGÊNCIA DA ONU PARA REFUGIADOS APOIOU A MONTAGEM DO ABRIGO DOANDO CAMA, COLCHÕES, VENTILADORES, MÁQUINA DE LAVAR ROUPA E UMA TELEVISÃO</t>
        </is>
      </c>
      <c r="J1880" t="inlineStr"/>
      <c r="K1880" t="n">
        <v>0</v>
      </c>
      <c r="L1880" t="n">
        <v>1</v>
      </c>
      <c r="M1880" t="n">
        <v>0</v>
      </c>
      <c r="N1880" t="n">
        <v>0</v>
      </c>
      <c r="O1880" t="n">
        <v>1</v>
      </c>
      <c r="P1880">
        <f>HYPERLINK("https://www.acritica.com/manaus/primeiro-abrigo-do-brasil-para-refugiados-lgbti-acolhe-venezuelanas-em-manaus-1.83027", "URL")</f>
        <v/>
      </c>
      <c r="Q1880">
        <f>HYPERLINK("https://raw.githubusercontent.com/marcosmapl/dataset_imigrantes/main/materias_filtered/a_critica/venezuelanos/2018/10_nov/html/1.83027_608.html", "HTML")</f>
        <v/>
      </c>
      <c r="R1880">
        <f>HYPERLINK("https://raw.githubusercontent.com/marcosmapl/dataset_imigrantes/main/materias_filtered/a_critica/venezuelanos/2018/10_nov/txt/1.83027_608.txt", "TXT")</f>
        <v/>
      </c>
    </row>
    <row r="1881">
      <c r="A1881" s="1" t="n">
        <v>1879</v>
      </c>
      <c r="B1881" t="n">
        <v>2018</v>
      </c>
      <c r="C1881" s="2" t="n">
        <v>43409.44652777778</v>
      </c>
      <c r="D1881" t="inlineStr">
        <is>
          <t>PORTAL AMAZONIA</t>
        </is>
      </c>
      <c r="E1881" t="inlineStr">
        <is>
          <t>VENEZUELANOS</t>
        </is>
      </c>
      <c r="F1881" t="inlineStr">
        <is>
          <t>CIDADES</t>
        </is>
      </c>
      <c r="G1881" t="inlineStr">
        <is>
          <t>REDAÇÃO</t>
        </is>
      </c>
      <c r="H1881" t="inlineStr">
        <is>
          <t>VENEZUELANOS RECEBEM CERTIFICADOS DE CURSOS PROFISSIONALIZANTES EM MANAUS</t>
        </is>
      </c>
      <c r="I1881" t="inlineStr">
        <is>
          <t>EM MANAUS, NO AMAZONAS, CERCA DE 100 VENEZUELANOS PARTICIPANTES DO PROJETO OPORTUNIZAR RECEBEM NESTA SEGUNDA-FEIRA (5) OS CERTIFICADOS DE CONCLUSÃO DOS PRIMEIROS CURSOS PROFISSIONALIZANTES OFERECIDOS PELA INICIATIVA.A AÇÃO, QUE COMEÇOU EM AGOSTO DEST</t>
        </is>
      </c>
      <c r="J1881" t="inlineStr">
        <is>
          <t>CAPACITAÇÃO, CURSO, MANAUS, VENEZUELANOS</t>
        </is>
      </c>
      <c r="K1881" t="n">
        <v>4</v>
      </c>
      <c r="L1881" t="n">
        <v>1</v>
      </c>
      <c r="M1881" t="n">
        <v>0</v>
      </c>
      <c r="N1881" t="n">
        <v>0</v>
      </c>
      <c r="O1881" t="n">
        <v>9</v>
      </c>
      <c r="P1881">
        <f>HYPERLINK("https://portalamazonia.com/noticias/cidades/venezuelanos-recebem-certificados-de-cursos-profissionalizantes-em-manaus", "URL")</f>
        <v/>
      </c>
      <c r="Q1881">
        <f>HYPERLINK("https://raw.githubusercontent.com/marcosmapl/dataset_imigrantes/main/materias_filtered/portal_amazonia/venezuelanos/2018/10_nov/html/16136.16136_1397.html", "HTML")</f>
        <v/>
      </c>
      <c r="R1881">
        <f>HYPERLINK("https://raw.githubusercontent.com/marcosmapl/dataset_imigrantes/main/materias_filtered/portal_amazonia/venezuelanos/2018/10_nov/txt/16136.16136_1397.txt", "TXT")</f>
        <v/>
      </c>
    </row>
    <row r="1882">
      <c r="A1882" s="1" t="n">
        <v>1880</v>
      </c>
      <c r="B1882" t="n">
        <v>2018</v>
      </c>
      <c r="C1882" s="2" t="n">
        <v>43408.68882913194</v>
      </c>
      <c r="D1882" t="inlineStr">
        <is>
          <t>G1</t>
        </is>
      </c>
      <c r="E1882" t="inlineStr">
        <is>
          <t>HAITIANOS</t>
        </is>
      </c>
      <c r="F1882" t="inlineStr">
        <is>
          <t>MATO GROSSO</t>
        </is>
      </c>
      <c r="G1882" t="inlineStr">
        <is>
          <t>FLÁVIA BORGES, G1 MT</t>
        </is>
      </c>
      <c r="H1882" t="inlineStr">
        <is>
          <t>CANDIDATA CHORA AO CHEGAR ATRASADA EM LOCAL DE PROVA DO ENEM EM CUIABÁ E DIZ TER CONFUNDIDO HORÁRIO</t>
        </is>
      </c>
      <c r="I1882" t="inlineStr">
        <is>
          <t>MARIE MISSET AUGUSTE CHEGOU COM SETE MINUTOS DE ATRASO E DISSE QUE SE CONFUNDIU COM O HORÁRIO. ELA É HAITIANA E QUERIA FAZER O ENEM PARA CURSAR CIÊNCIAS CONTÁBEIS.</t>
        </is>
      </c>
      <c r="J1882" t="inlineStr"/>
      <c r="K1882" t="n">
        <v>0</v>
      </c>
      <c r="L1882" t="n">
        <v>1</v>
      </c>
      <c r="M1882" t="n">
        <v>0</v>
      </c>
      <c r="N1882" t="n">
        <v>0</v>
      </c>
      <c r="O1882" t="n">
        <v>6</v>
      </c>
      <c r="P1882">
        <f>HYPERLINK("https://g1.globo.com/mt/mato-grosso/noticia/2018/11/04/candidata-chora-ao-chegar-atrasada-em-local-de-prova-do-enem-em-cuiaba-e-diz-ter-confundido-horario.ghtml", "URL")</f>
        <v/>
      </c>
      <c r="Q1882">
        <f>HYPERLINK("https://raw.githubusercontent.com/marcosmapl/dataset_imigrantes/main/materias_filtered/g1/haitianos/2018/10_nov/html/g1_98cb1724-22b3-11ed-b24f-6dbe51e79fca_1642.html", "HTML")</f>
        <v/>
      </c>
      <c r="R1882">
        <f>HYPERLINK("https://raw.githubusercontent.com/marcosmapl/dataset_imigrantes/main/materias_filtered/g1/haitianos/2018/10_nov/txt/g1_98cb1724-22b3-11ed-b24f-6dbe51e79fca_1642.txt", "TXT")</f>
        <v/>
      </c>
    </row>
    <row r="1883">
      <c r="A1883" s="1" t="n">
        <v>1881</v>
      </c>
      <c r="B1883" t="n">
        <v>2018</v>
      </c>
      <c r="C1883" s="2" t="n">
        <v>43408.61816553241</v>
      </c>
      <c r="D1883" t="inlineStr">
        <is>
          <t>G1</t>
        </is>
      </c>
      <c r="E1883" t="inlineStr">
        <is>
          <t>VENEZUELANOS</t>
        </is>
      </c>
      <c r="F1883" t="inlineStr">
        <is>
          <t>AMAZONAS</t>
        </is>
      </c>
      <c r="G1883" t="inlineStr">
        <is>
          <t>G1 AM</t>
        </is>
      </c>
      <c r="H1883" t="inlineStr">
        <is>
          <t>SEM EMPREGO, VENEZUELANA NO AM VENDE CANETAS DURANTE ENEM 2018 PARA  CONSEGUIR DINHEIRO</t>
        </is>
      </c>
      <c r="I1883" t="inlineStr">
        <is>
          <t>CAROLINA GARCIA, DE 29 ANOS, PRETENDE JUNTAR DINHEIRO PARA PAGAR ALUGUEL.</t>
        </is>
      </c>
      <c r="J1883" t="inlineStr"/>
      <c r="K1883" t="n">
        <v>0</v>
      </c>
      <c r="L1883" t="n">
        <v>1</v>
      </c>
      <c r="M1883" t="n">
        <v>0</v>
      </c>
      <c r="N1883" t="n">
        <v>0</v>
      </c>
      <c r="O1883" t="n">
        <v>8</v>
      </c>
      <c r="P1883">
        <f>HYPERLINK("https://g1.globo.com/am/amazonas/noticia/2018/11/04/sem-emprego-venezuelana-no-am-vende-canetas-durante-enem-2018-para-conseguir-dinheiro.ghtml", "URL")</f>
        <v/>
      </c>
      <c r="Q1883">
        <f>HYPERLINK("https://raw.githubusercontent.com/marcosmapl/dataset_imigrantes/main/materias_filtered/g1/venezuelanos/2018/10_nov/html/g1_5c56cfd0-2327-11ed-b24f-6dbe51e79fca_4030.html", "HTML")</f>
        <v/>
      </c>
      <c r="R1883">
        <f>HYPERLINK("https://raw.githubusercontent.com/marcosmapl/dataset_imigrantes/main/materias_filtered/g1/venezuelanos/2018/10_nov/txt/g1_5c56cfd0-2327-11ed-b24f-6dbe51e79fca_4030.txt", "TXT")</f>
        <v/>
      </c>
    </row>
    <row r="1884">
      <c r="A1884" s="1" t="n">
        <v>1882</v>
      </c>
      <c r="B1884" t="n">
        <v>2018</v>
      </c>
      <c r="C1884" s="2" t="n">
        <v>43408.53080436343</v>
      </c>
      <c r="D1884" t="inlineStr">
        <is>
          <t>G1</t>
        </is>
      </c>
      <c r="E1884" t="inlineStr">
        <is>
          <t>HAITIANOS</t>
        </is>
      </c>
      <c r="F1884" t="inlineStr">
        <is>
          <t>MATO GROSSO DO SUL</t>
        </is>
      </c>
      <c r="G1884" t="inlineStr">
        <is>
          <t>FLÁVIO DIAS — CAMPO GRANDE MS</t>
        </is>
      </c>
      <c r="H1884" t="inlineStr">
        <is>
          <t>HAITIANO CHEGA 3 HORAS ANTES DE PORTÃO ABRIR PARA NÃO PERDER O ENEM EM MS: 'MINHA CHANCE DE ENTRAR EM UMA UNIVERSIDADE'</t>
        </is>
      </c>
      <c r="I1884" t="inlineStr">
        <is>
          <t>HÁ 6 ANOS VIVENDO EM CAMPO GRANDE, BERNARD DENORD QUER CURSAR ENGENHARIA ELÉTRICA; ELE PREFERIU LEVANTAR CEDO E CHEGAR COM TRANQUILIDADE PARA FAZER A PRIMEIRA ETAPA DO ENEM.</t>
        </is>
      </c>
      <c r="J1884" t="inlineStr"/>
      <c r="K1884" t="n">
        <v>0</v>
      </c>
      <c r="L1884" t="n">
        <v>2</v>
      </c>
      <c r="M1884" t="n">
        <v>0</v>
      </c>
      <c r="N1884" t="n">
        <v>0</v>
      </c>
      <c r="O1884" t="n">
        <v>0</v>
      </c>
      <c r="P1884">
        <f>HYPERLINK("https://g1.globo.com/ms/mato-grosso-do-sul/noticia/2018/11/04/haitiano-chega-3-horas-antes-de-portao-abrir-para-nao-perder-o-enem-em-ms-minha-chance-de-entrar-em-uma-universidade.ghtml", "URL")</f>
        <v/>
      </c>
      <c r="Q1884">
        <f>HYPERLINK("https://raw.githubusercontent.com/marcosmapl/dataset_imigrantes/main/materias_filtered/g1/haitianos/2018/10_nov/html/g1_fd96b4d6-22f1-11ed-b24f-6dbe51e79fca_1774.html", "HTML")</f>
        <v/>
      </c>
      <c r="R1884">
        <f>HYPERLINK("https://raw.githubusercontent.com/marcosmapl/dataset_imigrantes/main/materias_filtered/g1/haitianos/2018/10_nov/txt/g1_fd96b4d6-22f1-11ed-b24f-6dbe51e79fca_1774.txt", "TXT")</f>
        <v/>
      </c>
    </row>
    <row r="1885">
      <c r="A1885" s="1" t="n">
        <v>1883</v>
      </c>
      <c r="B1885" t="n">
        <v>2018</v>
      </c>
      <c r="C1885" s="2" t="n">
        <v>43403.81736111111</v>
      </c>
      <c r="D1885" t="inlineStr">
        <is>
          <t>PORTAL AMAZONIA</t>
        </is>
      </c>
      <c r="E1885" t="inlineStr">
        <is>
          <t>VENEZUELANOS</t>
        </is>
      </c>
      <c r="F1885" t="inlineStr">
        <is>
          <t>CIDADES</t>
        </is>
      </c>
      <c r="G1885" t="inlineStr">
        <is>
          <t>REDAÇÃO</t>
        </is>
      </c>
      <c r="H1885" t="inlineStr">
        <is>
          <t>FORÇAS ARMADAS FICAM EM RORAIMA ATÉ DEZEMBRO</t>
        </is>
      </c>
      <c r="I1885" t="inlineStr">
        <is>
          <t>AS FORÇAS ARMADAS DEVEM PERMANECER EM RORAIMA ATÉ O FINAL DO ANO PARA PROTEGER INSTALAÇÕES E ATIVIDADES RELACIONADAS AO ACOLHIMENTO DE REFUGIADOS. DECRETO PRESIDENCIAL QUE PRORROGA O PRAZO DO EMPREGO DAS FORÇAS NA GARANTIA DA LEI E DA ORDEM (GLO) NO</t>
        </is>
      </c>
      <c r="J1885" t="inlineStr">
        <is>
          <t>BOA VISTA, FORCAS ARMADAS, RORAIMA, VENEZUELANOS</t>
        </is>
      </c>
      <c r="K1885" t="n">
        <v>4</v>
      </c>
      <c r="L1885" t="n">
        <v>2</v>
      </c>
      <c r="M1885" t="n">
        <v>0</v>
      </c>
      <c r="N1885" t="n">
        <v>0</v>
      </c>
      <c r="O1885" t="n">
        <v>9</v>
      </c>
      <c r="P1885">
        <f>HYPERLINK("https://portalamazonia.com/noticias/cidades/forcas-armadas-ficam-em-roraima-ate-dezembro", "URL")</f>
        <v/>
      </c>
      <c r="Q1885">
        <f>HYPERLINK("https://raw.githubusercontent.com/marcosmapl/dataset_imigrantes/main/materias_filtered/portal_amazonia/venezuelanos/2018/09_out/html/16097.16097_1461.html", "HTML")</f>
        <v/>
      </c>
      <c r="R1885">
        <f>HYPERLINK("https://raw.githubusercontent.com/marcosmapl/dataset_imigrantes/main/materias_filtered/portal_amazonia/venezuelanos/2018/09_out/txt/16097.16097_1461.txt", "TXT")</f>
        <v/>
      </c>
    </row>
    <row r="1886">
      <c r="A1886" s="1" t="n">
        <v>1884</v>
      </c>
      <c r="B1886" t="n">
        <v>2018</v>
      </c>
      <c r="C1886" s="2" t="n">
        <v>43402.95127314814</v>
      </c>
      <c r="D1886" t="inlineStr">
        <is>
          <t>A CRITICA</t>
        </is>
      </c>
      <c r="E1886" t="inlineStr">
        <is>
          <t>VENEZUELANOS</t>
        </is>
      </c>
      <c r="F1886" t="inlineStr">
        <is>
          <t>POLICIA</t>
        </is>
      </c>
      <c r="G1886" t="inlineStr">
        <is>
          <t>ACRÍTICA.COM</t>
        </is>
      </c>
      <c r="H1886" t="inlineStr">
        <is>
          <t>HOMEM É PRESO COM COCAÍNA E PASTA-BASE NO CONJ. AMAZONINO MENDES, EM MANAUS</t>
        </is>
      </c>
      <c r="I1886" t="inlineStr">
        <is>
          <t>COM O RAPAZ DE 24 ANOS, POLICIAIS TAMBÉM ENCONTRARAM UMA BALANÇA DE PRECISÃO, 100 BOLÍVARES E MATERIAL PARA EMBALO DE DROGAS</t>
        </is>
      </c>
      <c r="J1886" t="inlineStr"/>
      <c r="K1886" t="n">
        <v>0</v>
      </c>
      <c r="L1886" t="n">
        <v>1</v>
      </c>
      <c r="M1886" t="n">
        <v>0</v>
      </c>
      <c r="N1886" t="n">
        <v>0</v>
      </c>
      <c r="O1886" t="n">
        <v>0</v>
      </c>
      <c r="P1886">
        <f>HYPERLINK("https://www.acritica.com/policia/homem-e-preso-com-cocaina-e-pasta-base-no-conj-amazonino-mendes-em-manaus-1.95721", "URL")</f>
        <v/>
      </c>
      <c r="Q1886">
        <f>HYPERLINK("https://raw.githubusercontent.com/marcosmapl/dataset_imigrantes/main/materias_filtered/a_critica/venezuelanos/2018/09_out/html/1.95721_745.html", "HTML")</f>
        <v/>
      </c>
      <c r="R1886">
        <f>HYPERLINK("https://raw.githubusercontent.com/marcosmapl/dataset_imigrantes/main/materias_filtered/a_critica/venezuelanos/2018/09_out/txt/1.95721_745.txt", "TXT")</f>
        <v/>
      </c>
    </row>
    <row r="1887">
      <c r="A1887" s="1" t="n">
        <v>1885</v>
      </c>
      <c r="B1887" t="n">
        <v>2018</v>
      </c>
      <c r="C1887" s="2" t="n">
        <v>43400.82042824074</v>
      </c>
      <c r="D1887" t="inlineStr">
        <is>
          <t>A CRITICA</t>
        </is>
      </c>
      <c r="E1887" t="inlineStr">
        <is>
          <t>VENEZUELANOS</t>
        </is>
      </c>
      <c r="F1887" t="inlineStr">
        <is>
          <t>MANAUS</t>
        </is>
      </c>
      <c r="G1887" t="inlineStr">
        <is>
          <t>LARISSA CAVALCANTE</t>
        </is>
      </c>
      <c r="H1887" t="inlineStr">
        <is>
          <t>GOVERNADOR TERÁ ORÇAMENTO DE R$ 16,8 BILHÕES PARA GERIR EM 2019</t>
        </is>
      </c>
      <c r="I1887" t="inlineStr">
        <is>
          <t>LEI ORÇAMENTÁRIA ANUAL (LOA) COM A RECEITA PREVISTA SERÁ ENCAMINHADA EM NOVEMBRO PARA DISCUSSÃO NA ASSEMBLEIA LEGISLATIVA DO ESTADO</t>
        </is>
      </c>
      <c r="J1887" t="inlineStr"/>
      <c r="K1887" t="n">
        <v>0</v>
      </c>
      <c r="L1887" t="n">
        <v>1</v>
      </c>
      <c r="M1887" t="n">
        <v>0</v>
      </c>
      <c r="N1887" t="n">
        <v>0</v>
      </c>
      <c r="O1887" t="n">
        <v>0</v>
      </c>
      <c r="P1887">
        <f>HYPERLINK("https://www.acritica.com/manaus/governador-tera-orcamento-de-r-16-8-bilh-es-para-gerir-em-2019-1.95680", "URL")</f>
        <v/>
      </c>
      <c r="Q1887">
        <f>HYPERLINK("https://raw.githubusercontent.com/marcosmapl/dataset_imigrantes/main/materias_filtered/a_critica/venezuelanos/2018/09_out/html/1.95680_1254.html", "HTML")</f>
        <v/>
      </c>
      <c r="R1887">
        <f>HYPERLINK("https://raw.githubusercontent.com/marcosmapl/dataset_imigrantes/main/materias_filtered/a_critica/venezuelanos/2018/09_out/txt/1.95680_1254.txt", "TXT")</f>
        <v/>
      </c>
    </row>
    <row r="1888">
      <c r="A1888" s="1" t="n">
        <v>1886</v>
      </c>
      <c r="B1888" t="n">
        <v>2018</v>
      </c>
      <c r="C1888" s="2" t="n">
        <v>43398.95093969908</v>
      </c>
      <c r="D1888" t="inlineStr">
        <is>
          <t>G1</t>
        </is>
      </c>
      <c r="E1888" t="inlineStr">
        <is>
          <t>AMBOS</t>
        </is>
      </c>
      <c r="F1888" t="inlineStr">
        <is>
          <t>AMAZONAS</t>
        </is>
      </c>
      <c r="G1888" t="inlineStr">
        <is>
          <t>G1 AM</t>
        </is>
      </c>
      <c r="H1888" t="inlineStr">
        <is>
          <t>SEMANA MUNICIPAL DE SAÚDE BUCAL TERÁ PROGRAMAÇÃO ESPECIAL EM UBSS DE MANAUS</t>
        </is>
      </c>
      <c r="I1888" t="inlineStr">
        <is>
          <t>PROGRAMAÇÃO VAI ATÉ DIA 31 DE OUTUBRO NA CAPITAL AMAZONENSE.</t>
        </is>
      </c>
      <c r="J1888" t="inlineStr"/>
      <c r="K1888" t="n">
        <v>0</v>
      </c>
      <c r="L1888" t="n">
        <v>1</v>
      </c>
      <c r="M1888" t="n">
        <v>0</v>
      </c>
      <c r="N1888" t="n">
        <v>0</v>
      </c>
      <c r="O1888" t="n">
        <v>0</v>
      </c>
      <c r="P1888">
        <f>HYPERLINK("https://g1.globo.com/am/amazonas/noticia/2018/10/25/semana-municipal-de-saude-bucal-tera-programacao-especial-em-ubss-de-manaus.ghtml", "URL")</f>
        <v/>
      </c>
      <c r="Q1888">
        <f>HYPERLINK("https://raw.githubusercontent.com/marcosmapl/dataset_imigrantes/main/materias_filtered/g1/ambos/2018/09_out/html/g1_65692b3e-2329-11ed-b24f-6dbe51e79fca_4114.html", "HTML")</f>
        <v/>
      </c>
      <c r="R1888">
        <f>HYPERLINK("https://raw.githubusercontent.com/marcosmapl/dataset_imigrantes/main/materias_filtered/g1/ambos/2018/09_out/txt/g1_65692b3e-2329-11ed-b24f-6dbe51e79fca_4114.txt", "TXT")</f>
        <v/>
      </c>
    </row>
    <row r="1889">
      <c r="A1889" s="1" t="n">
        <v>1887</v>
      </c>
      <c r="B1889" t="n">
        <v>2018</v>
      </c>
      <c r="C1889" s="2" t="n">
        <v>43398.88265046296</v>
      </c>
      <c r="D1889" t="inlineStr">
        <is>
          <t>A CRITICA</t>
        </is>
      </c>
      <c r="E1889" t="inlineStr">
        <is>
          <t>VENEZUELANOS</t>
        </is>
      </c>
      <c r="F1889" t="inlineStr"/>
      <c r="G1889" t="inlineStr">
        <is>
          <t>CAROLINA GONÇALVES E VLADIMIR PLATONOW (AGÊNCIA BRASIL)</t>
        </is>
      </c>
      <c r="H1889" t="inlineStr">
        <is>
          <t>JAIR BOLSONARO PROMETE 'DAR UM IPPON' NA CORRUPÇÃO, VIOLÊNCIA E IDEOLOGIA</t>
        </is>
      </c>
      <c r="I1889" t="inlineStr">
        <is>
          <t>A AFIRMAÇÃO FOI FEITA APÓS O CANDIDATO SER PRESENTEADO COM UMA FAIXA PRETA DE JIU-JITSU, DO MESTRE ROBSON GRACIE, CONSIDERADO UMA DAS MAIORES REFERÊNCIAS DE ARTES MARCIAIS NO MUNDO</t>
        </is>
      </c>
      <c r="J1889" t="inlineStr"/>
      <c r="K1889" t="n">
        <v>0</v>
      </c>
      <c r="L1889" t="n">
        <v>1</v>
      </c>
      <c r="M1889" t="n">
        <v>0</v>
      </c>
      <c r="N1889" t="n">
        <v>0</v>
      </c>
      <c r="O1889" t="n">
        <v>0</v>
      </c>
      <c r="P1889">
        <f>HYPERLINK("https://www.acritica.com/jair-bolsonaro-promete-dar-um-ippon-na-corrupc-o-violencia-e-ideologia-1.95518", "URL")</f>
        <v/>
      </c>
      <c r="Q1889">
        <f>HYPERLINK("https://raw.githubusercontent.com/marcosmapl/dataset_imigrantes/main/materias_filtered/a_critica/venezuelanos/2018/09_out/html/1.95518_66.html", "HTML")</f>
        <v/>
      </c>
      <c r="R1889">
        <f>HYPERLINK("https://raw.githubusercontent.com/marcosmapl/dataset_imigrantes/main/materias_filtered/a_critica/venezuelanos/2018/09_out/txt/1.95518_66.txt", "TXT")</f>
        <v/>
      </c>
    </row>
    <row r="1890">
      <c r="A1890" s="1" t="n">
        <v>1888</v>
      </c>
      <c r="B1890" t="n">
        <v>2018</v>
      </c>
      <c r="C1890" s="2" t="n">
        <v>43397.69961805556</v>
      </c>
      <c r="D1890" t="inlineStr">
        <is>
          <t>A CRITICA</t>
        </is>
      </c>
      <c r="E1890" t="inlineStr">
        <is>
          <t>VENEZUELANOS</t>
        </is>
      </c>
      <c r="F1890" t="inlineStr">
        <is>
          <t>ESPORTES</t>
        </is>
      </c>
      <c r="G1890" t="inlineStr">
        <is>
          <t>ACRITICA.COM*</t>
        </is>
      </c>
      <c r="H1890" t="inlineStr">
        <is>
          <t>COM PASSAGEM PARA SÃO SILVESTRE, MANAUS COMEMORA 349 ANOS COM CORRIDA</t>
        </is>
      </c>
      <c r="I1890" t="inlineStr">
        <is>
          <t>OS VENCEDORES DAS OUTRAS CATEGORIAS RECEBERAM TROFÉUS E MEDALHAS, ASSIM, COMO OS DOIS MIL INSCRITOS RECEBERAM MEDALHA POR PARTICIPAÇÃO</t>
        </is>
      </c>
      <c r="J1890" t="inlineStr"/>
      <c r="K1890" t="n">
        <v>0</v>
      </c>
      <c r="L1890" t="n">
        <v>1</v>
      </c>
      <c r="M1890" t="n">
        <v>0</v>
      </c>
      <c r="N1890" t="n">
        <v>0</v>
      </c>
      <c r="O1890" t="n">
        <v>0</v>
      </c>
      <c r="P1890">
        <f>HYPERLINK("https://www.acritica.com/esportes/com-passagem-para-s-o-silvestre-manaus-comemora-349-anos-com-corrida-1.95231", "URL")</f>
        <v/>
      </c>
      <c r="Q1890">
        <f>HYPERLINK("https://raw.githubusercontent.com/marcosmapl/dataset_imigrantes/main/materias_filtered/a_critica/venezuelanos/2018/09_out/html/1.95231_285.html", "HTML")</f>
        <v/>
      </c>
      <c r="R1890">
        <f>HYPERLINK("https://raw.githubusercontent.com/marcosmapl/dataset_imigrantes/main/materias_filtered/a_critica/venezuelanos/2018/09_out/txt/1.95231_285.txt", "TXT")</f>
        <v/>
      </c>
    </row>
    <row r="1891">
      <c r="A1891" s="1" t="n">
        <v>1889</v>
      </c>
      <c r="B1891" t="n">
        <v>2018</v>
      </c>
      <c r="C1891" s="2" t="n">
        <v>43397.00445230324</v>
      </c>
      <c r="D1891" t="inlineStr">
        <is>
          <t>G1</t>
        </is>
      </c>
      <c r="E1891" t="inlineStr">
        <is>
          <t>VENEZUELANOS</t>
        </is>
      </c>
      <c r="F1891" t="inlineStr">
        <is>
          <t>RORAIMA</t>
        </is>
      </c>
      <c r="G1891" t="inlineStr">
        <is>
          <t>G1 RR — BOA VISTA</t>
        </is>
      </c>
      <c r="H1891" t="inlineStr">
        <is>
          <t>CORPO DE VENEZUELANO QUE DESAPARECEU APÓS MERGULHAR EM RIO É ENCONTRADO</t>
        </is>
      </c>
      <c r="I1891" t="inlineStr">
        <is>
          <t>DIAN SANDVAN, DE 22 ANOS, SUMIU APÓS PULAR NO RIO. BOMBEIROS TAMBÉM ENCONTRARAM CORPO DE UM IDOSO DE 67 QUE DESAPARECEU DURANTE PESCARIA NO URARICOERA.</t>
        </is>
      </c>
      <c r="J1891" t="inlineStr"/>
      <c r="K1891" t="n">
        <v>0</v>
      </c>
      <c r="L1891" t="n">
        <v>1</v>
      </c>
      <c r="M1891" t="n">
        <v>0</v>
      </c>
      <c r="N1891" t="n">
        <v>0</v>
      </c>
      <c r="O1891" t="n">
        <v>0</v>
      </c>
      <c r="P1891">
        <f>HYPERLINK("https://g1.globo.com/rr/roraima/noticia/2018/10/23/corpo-de-venezuelano-que-desapareceu-apos-mergulhar-em-rio-e-encontrado.ghtml", "URL")</f>
        <v/>
      </c>
      <c r="Q1891">
        <f>HYPERLINK("https://raw.githubusercontent.com/marcosmapl/dataset_imigrantes/main/materias_filtered/g1/venezuelanos/2018/09_out/html/g1_d1d50fd4-2321-11ed-b24f-6dbe51e79fca_3719.html", "HTML")</f>
        <v/>
      </c>
      <c r="R1891">
        <f>HYPERLINK("https://raw.githubusercontent.com/marcosmapl/dataset_imigrantes/main/materias_filtered/g1/venezuelanos/2018/09_out/txt/g1_d1d50fd4-2321-11ed-b24f-6dbe51e79fca_3719.txt", "TXT")</f>
        <v/>
      </c>
    </row>
    <row r="1892">
      <c r="A1892" s="1" t="n">
        <v>1890</v>
      </c>
      <c r="B1892" t="n">
        <v>2018</v>
      </c>
      <c r="C1892" s="2" t="n">
        <v>43396.88611111111</v>
      </c>
      <c r="D1892" t="inlineStr">
        <is>
          <t>A CRITICA</t>
        </is>
      </c>
      <c r="E1892" t="inlineStr">
        <is>
          <t>AMBOS</t>
        </is>
      </c>
      <c r="F1892" t="inlineStr">
        <is>
          <t>MANAUS</t>
        </is>
      </c>
      <c r="G1892" t="inlineStr">
        <is>
          <t>ACRITICA.COM*</t>
        </is>
      </c>
      <c r="H1892" t="inlineStr">
        <is>
          <t>SEMANA DA SAÚDE BUCAL TERÁ AÇÕES PARA CRIANÇAS, IMIGRANTES E REFUGIADOS EM MANAUS</t>
        </is>
      </c>
      <c r="I1892" t="inlineStr">
        <is>
          <t>A ABERTURA DA ATIVIDADE SERÁ REALIZADA NA MANHÃ DA PRÓXIMA QUINTA-FEIRA (25). EVENTO REÚNE SIMULTANEAMENTE AS SEMANAS ESTADUAL E MUNICIPAL, ALÉM DA SEMANA DO CIRURGIÃO-DENTISTA</t>
        </is>
      </c>
      <c r="J1892" t="inlineStr"/>
      <c r="K1892" t="n">
        <v>0</v>
      </c>
      <c r="L1892" t="n">
        <v>1</v>
      </c>
      <c r="M1892" t="n">
        <v>0</v>
      </c>
      <c r="N1892" t="n">
        <v>0</v>
      </c>
      <c r="O1892" t="n">
        <v>0</v>
      </c>
      <c r="P1892">
        <f>HYPERLINK("https://www.acritica.com/manaus/semana-da-saude-bucal-tera-ac-es-para-criancas-imigrantes-e-refugiados-em-manaus-1.95396", "URL")</f>
        <v/>
      </c>
      <c r="Q1892">
        <f>HYPERLINK("https://raw.githubusercontent.com/marcosmapl/dataset_imigrantes/main/materias_filtered/a_critica/ambos/2018/09_out/html/1.95396_843.html", "HTML")</f>
        <v/>
      </c>
      <c r="R1892">
        <f>HYPERLINK("https://raw.githubusercontent.com/marcosmapl/dataset_imigrantes/main/materias_filtered/a_critica/ambos/2018/09_out/txt/1.95396_843.txt", "TXT")</f>
        <v/>
      </c>
    </row>
    <row r="1893">
      <c r="A1893" s="1" t="n">
        <v>1891</v>
      </c>
      <c r="B1893" t="n">
        <v>2018</v>
      </c>
      <c r="C1893" s="2" t="n">
        <v>43395.56717395833</v>
      </c>
      <c r="D1893" t="inlineStr">
        <is>
          <t>G1</t>
        </is>
      </c>
      <c r="E1893" t="inlineStr">
        <is>
          <t>VENEZUELANOS</t>
        </is>
      </c>
      <c r="F1893" t="inlineStr">
        <is>
          <t>RORAIMA</t>
        </is>
      </c>
      <c r="G1893" t="inlineStr">
        <is>
          <t>ALAN CHAVES, G1 RR — BOA VISTA</t>
        </is>
      </c>
      <c r="H1893" t="inlineStr">
        <is>
          <t>VENEZUELANO DESAPARECE EM BOA VISTA APÓS MERGULHAR EM RIO</t>
        </is>
      </c>
      <c r="I1893" t="inlineStr">
        <is>
          <t>SEGUNDO FAMILIARES, VÍTIMA ESTAVA EMBRIAGADA QUANDO PULOU NO LEITO DO RIO. BOMBEIROS FIZERAM BUSCAS ATÉ O INÍCIO DA NOITE, MAS DIAN SANDVAN AINDA NÃO FOI ENCONTRADO.</t>
        </is>
      </c>
      <c r="J1893" t="inlineStr"/>
      <c r="K1893" t="n">
        <v>0</v>
      </c>
      <c r="L1893" t="n">
        <v>1</v>
      </c>
      <c r="M1893" t="n">
        <v>0</v>
      </c>
      <c r="N1893" t="n">
        <v>0</v>
      </c>
      <c r="O1893" t="n">
        <v>1</v>
      </c>
      <c r="P1893">
        <f>HYPERLINK("https://g1.globo.com/rr/roraima/noticia/2018/10/22/venezuelano-desaparece-apos-mergulhar-no-rio-carana-em-boa-vista.ghtml", "URL")</f>
        <v/>
      </c>
      <c r="Q1893">
        <f>HYPERLINK("https://raw.githubusercontent.com/marcosmapl/dataset_imigrantes/main/materias_filtered/g1/venezuelanos/2018/09_out/html/g1_c1374f1a-232c-11ed-b24f-6dbe51e79fca_4324.html", "HTML")</f>
        <v/>
      </c>
      <c r="R1893">
        <f>HYPERLINK("https://raw.githubusercontent.com/marcosmapl/dataset_imigrantes/main/materias_filtered/g1/venezuelanos/2018/09_out/txt/g1_c1374f1a-232c-11ed-b24f-6dbe51e79fca_4324.txt", "TXT")</f>
        <v/>
      </c>
    </row>
    <row r="1894">
      <c r="A1894" s="1" t="n">
        <v>1892</v>
      </c>
      <c r="B1894" t="n">
        <v>2018</v>
      </c>
      <c r="C1894" s="2" t="n">
        <v>43395.48196324074</v>
      </c>
      <c r="D1894" t="inlineStr">
        <is>
          <t>G1</t>
        </is>
      </c>
      <c r="E1894" t="inlineStr">
        <is>
          <t>HAITIANOS</t>
        </is>
      </c>
      <c r="F1894" t="inlineStr">
        <is>
          <t>MATO GROSSO</t>
        </is>
      </c>
      <c r="G1894" t="inlineStr">
        <is>
          <t>INDIANARA CAMPOS, TV CENTRO AMÉRICA</t>
        </is>
      </c>
      <c r="H1894" t="inlineStr">
        <is>
          <t>HAITIANO CHAMA A POLÍCIA APÓS ACHAR OSSADA HUMANA EM TERRENO NO CENTRO DE RONDONÓPOLIS (MT)</t>
        </is>
      </c>
      <c r="I1894" t="inlineStr">
        <is>
          <t>A POLÍCIA INVESTIGA SE OS RESTOS MORTAIS SÃO DE UM MORADOR, DE 35 ANOS, QUE ESTÁ DESAPARECIDO HÁ MAIS DE UM ANO.</t>
        </is>
      </c>
      <c r="J1894" t="inlineStr"/>
      <c r="K1894" t="n">
        <v>0</v>
      </c>
      <c r="L1894" t="n">
        <v>2</v>
      </c>
      <c r="M1894" t="n">
        <v>0</v>
      </c>
      <c r="N1894" t="n">
        <v>0</v>
      </c>
      <c r="O1894" t="n">
        <v>0</v>
      </c>
      <c r="P1894">
        <f>HYPERLINK("https://g1.globo.com/mt/mato-grosso/noticia/2018/10/22/haitiano-chama-a-policia-apos-achar-ossada-humana-em-terreno-no-centro-de-rondonopolis-mt.ghtml", "URL")</f>
        <v/>
      </c>
      <c r="Q1894">
        <f>HYPERLINK("https://raw.githubusercontent.com/marcosmapl/dataset_imigrantes/main/materias_filtered/g1/haitianos/2018/09_out/html/g1_f895a6da-22f2-11ed-b24f-6dbe51e79fca_1819.html", "HTML")</f>
        <v/>
      </c>
      <c r="R1894">
        <f>HYPERLINK("https://raw.githubusercontent.com/marcosmapl/dataset_imigrantes/main/materias_filtered/g1/haitianos/2018/09_out/txt/g1_f895a6da-22f2-11ed-b24f-6dbe51e79fca_1819.txt", "TXT")</f>
        <v/>
      </c>
    </row>
    <row r="1895">
      <c r="A1895" s="1" t="n">
        <v>1893</v>
      </c>
      <c r="B1895" t="n">
        <v>2018</v>
      </c>
      <c r="C1895" s="2" t="n">
        <v>43394.60091435185</v>
      </c>
      <c r="D1895" t="inlineStr">
        <is>
          <t>A CRITICA</t>
        </is>
      </c>
      <c r="E1895" t="inlineStr">
        <is>
          <t>VENEZUELANOS</t>
        </is>
      </c>
      <c r="F1895" t="inlineStr"/>
      <c r="G1895" t="inlineStr">
        <is>
          <t>AGÊNCIA EFE</t>
        </is>
      </c>
      <c r="H1895" t="inlineStr">
        <is>
          <t>MADURO PEDE A TRUMP QUE ABRA FRONTEIRAS IMIGRANTES CENTRO-AMERICANOS</t>
        </is>
      </c>
      <c r="I1895" t="inlineStr">
        <is>
          <t>EM DISCURSO TRANSMITIDO DE FORMA OBRIGATÓRIA POR TODAS AS EMISSORAS, O PRESIDENTE VENEZUELANO AFIRMOU QUE O "CAPITALISMO VENDEDOR NEOCOLONIAL" É O RESPONSÁVEL POR PELA CRISE MIGRATÓRIA</t>
        </is>
      </c>
      <c r="J1895" t="inlineStr"/>
      <c r="K1895" t="n">
        <v>0</v>
      </c>
      <c r="L1895" t="n">
        <v>1</v>
      </c>
      <c r="M1895" t="n">
        <v>0</v>
      </c>
      <c r="N1895" t="n">
        <v>0</v>
      </c>
      <c r="O1895" t="n">
        <v>0</v>
      </c>
      <c r="P1895">
        <f>HYPERLINK("https://www.acritica.com/maduro-pede-a-trump-que-abra-fronteiras-imigrantes-centro-americanos-1.95019", "URL")</f>
        <v/>
      </c>
      <c r="Q1895">
        <f>HYPERLINK("https://raw.githubusercontent.com/marcosmapl/dataset_imigrantes/main/materias_filtered/a_critica/venezuelanos/2018/09_out/html/1.95019_1295.html", "HTML")</f>
        <v/>
      </c>
      <c r="R1895">
        <f>HYPERLINK("https://raw.githubusercontent.com/marcosmapl/dataset_imigrantes/main/materias_filtered/a_critica/venezuelanos/2018/09_out/txt/1.95019_1295.txt", "TXT")</f>
        <v/>
      </c>
    </row>
    <row r="1896">
      <c r="A1896" s="1" t="n">
        <v>1894</v>
      </c>
      <c r="B1896" t="n">
        <v>2018</v>
      </c>
      <c r="C1896" s="2" t="n">
        <v>43393.75236111111</v>
      </c>
      <c r="D1896" t="inlineStr">
        <is>
          <t>A CRITICA</t>
        </is>
      </c>
      <c r="E1896" t="inlineStr">
        <is>
          <t>VENEZUELANOS</t>
        </is>
      </c>
      <c r="F1896" t="inlineStr"/>
      <c r="G1896" t="inlineStr">
        <is>
          <t>NIELMAR DE OLIVEIRA - AGÊNCIA BRASIL</t>
        </is>
      </c>
      <c r="H1896" t="inlineStr">
        <is>
          <t>BOLSONARO DEFENDE AUTONOMIA POLÍTICA DO BC E FIM DA REELEIÇÃO</t>
        </is>
      </c>
      <c r="I1896" t="inlineStr">
        <is>
          <t>PERGUNTADO SE TEM INTENÇÃO DE MANTER NO CARGO O PRESIDENTE DO BC, ILAN GOLDFAJN, CASO SEJA ELEITO, O CANDIDATO AFIRMOU QUE A DECISÃO CABE AO ECONOMISTA PAULO GUEDES</t>
        </is>
      </c>
      <c r="J1896" t="inlineStr"/>
      <c r="K1896" t="n">
        <v>0</v>
      </c>
      <c r="L1896" t="n">
        <v>1</v>
      </c>
      <c r="M1896" t="n">
        <v>0</v>
      </c>
      <c r="N1896" t="n">
        <v>0</v>
      </c>
      <c r="O1896" t="n">
        <v>0</v>
      </c>
      <c r="P1896">
        <f>HYPERLINK("https://www.acritica.com/bolsonaro-defende-autonomia-politica-do-bc-e-fim-da-reeleic-o-1.94810", "URL")</f>
        <v/>
      </c>
      <c r="Q1896">
        <f>HYPERLINK("https://raw.githubusercontent.com/marcosmapl/dataset_imigrantes/main/materias_filtered/a_critica/venezuelanos/2018/09_out/html/1.94810_545.html", "HTML")</f>
        <v/>
      </c>
      <c r="R1896">
        <f>HYPERLINK("https://raw.githubusercontent.com/marcosmapl/dataset_imigrantes/main/materias_filtered/a_critica/venezuelanos/2018/09_out/txt/1.94810_545.txt", "TXT")</f>
        <v/>
      </c>
    </row>
    <row r="1897">
      <c r="A1897" s="1" t="n">
        <v>1895</v>
      </c>
      <c r="B1897" t="n">
        <v>2018</v>
      </c>
      <c r="C1897" s="2" t="n">
        <v>43392.72134259259</v>
      </c>
      <c r="D1897" t="inlineStr">
        <is>
          <t>A CRITICA</t>
        </is>
      </c>
      <c r="E1897" t="inlineStr">
        <is>
          <t>VENEZUELANOS</t>
        </is>
      </c>
      <c r="F1897" t="inlineStr">
        <is>
          <t>ENTRETENIMENTO</t>
        </is>
      </c>
      <c r="G1897" t="inlineStr">
        <is>
          <t>ACRITICA.COM*</t>
        </is>
      </c>
      <c r="H1897" t="inlineStr">
        <is>
          <t>ARTESÃOS PROMOVEM FEIRA EM COMEMORAÇÃO AOS 349 ANOS DE MANAUS</t>
        </is>
      </c>
      <c r="I1897" t="inlineStr">
        <is>
          <t>A NOVIDADE DESTA FEIRA É A EXPOSIÇÃO DE PRODUTOS ARTESANAIS DOS INDÍGENAS VENEZUELANOS DA TRIBO WARAO E TAMBÉM DE VENEZUELANOS NÃO-INDÍGENAS</t>
        </is>
      </c>
      <c r="J1897" t="inlineStr"/>
      <c r="K1897" t="n">
        <v>0</v>
      </c>
      <c r="L1897" t="n">
        <v>1</v>
      </c>
      <c r="M1897" t="n">
        <v>0</v>
      </c>
      <c r="N1897" t="n">
        <v>0</v>
      </c>
      <c r="O1897" t="n">
        <v>0</v>
      </c>
      <c r="P1897">
        <f>HYPERLINK("https://www.acritica.com/entretenimento/artes-os-promovem-feira-em-comemorac-o-aos-349-anos-de-manaus-1.94715", "URL")</f>
        <v/>
      </c>
      <c r="Q1897">
        <f>HYPERLINK("https://raw.githubusercontent.com/marcosmapl/dataset_imigrantes/main/materias_filtered/a_critica/venezuelanos/2018/09_out/html/1.94715_542.html", "HTML")</f>
        <v/>
      </c>
      <c r="R1897">
        <f>HYPERLINK("https://raw.githubusercontent.com/marcosmapl/dataset_imigrantes/main/materias_filtered/a_critica/venezuelanos/2018/09_out/txt/1.94715_542.txt", "TXT")</f>
        <v/>
      </c>
    </row>
    <row r="1898">
      <c r="A1898" s="1" t="n">
        <v>1896</v>
      </c>
      <c r="B1898" t="n">
        <v>2018</v>
      </c>
      <c r="C1898" s="2" t="n">
        <v>43391.81111111111</v>
      </c>
      <c r="D1898" t="inlineStr">
        <is>
          <t>A CRITICA</t>
        </is>
      </c>
      <c r="E1898" t="inlineStr">
        <is>
          <t>VENEZUELANOS</t>
        </is>
      </c>
      <c r="F1898" t="inlineStr">
        <is>
          <t>MANAUS</t>
        </is>
      </c>
      <c r="G1898" t="inlineStr">
        <is>
          <t>PRISCILA ROSAS</t>
        </is>
      </c>
      <c r="H1898" t="inlineStr">
        <is>
          <t>JOVEM DE 22 ANOS COM INSUFICIÊNCIA RENAL BUSCA DOADOR DE RIM PARA SOBREVIVER</t>
        </is>
      </c>
      <c r="I1898" t="inlineStr">
        <is>
          <t>BIOMÉDICA ISABELLA ATHAYDE DESCOBRIU A DOENÇA DURANTE VIAGEM A VENEZUELA. DESDE LÁ A JOVEM LUTA CONTRA A DOENÇA QUE AFETA O FUNCIONAMENTO DOS RINS</t>
        </is>
      </c>
      <c r="J1898" t="inlineStr"/>
      <c r="K1898" t="n">
        <v>0</v>
      </c>
      <c r="L1898" t="n">
        <v>1</v>
      </c>
      <c r="M1898" t="n">
        <v>0</v>
      </c>
      <c r="N1898" t="n">
        <v>0</v>
      </c>
      <c r="O1898" t="n">
        <v>0</v>
      </c>
      <c r="P1898">
        <f>HYPERLINK("https://www.acritica.com/manaus/jovem-de-22-anos-com-insuficiencia-renal-busca-doador-de-rim-para-sobreviver-1.94602", "URL")</f>
        <v/>
      </c>
      <c r="Q1898">
        <f>HYPERLINK("https://raw.githubusercontent.com/marcosmapl/dataset_imigrantes/main/materias_filtered/a_critica/venezuelanos/2018/09_out/html/1.94602_49.html", "HTML")</f>
        <v/>
      </c>
      <c r="R1898">
        <f>HYPERLINK("https://raw.githubusercontent.com/marcosmapl/dataset_imigrantes/main/materias_filtered/a_critica/venezuelanos/2018/09_out/txt/1.94602_49.txt", "TXT")</f>
        <v/>
      </c>
    </row>
    <row r="1899">
      <c r="A1899" s="1" t="n">
        <v>1897</v>
      </c>
      <c r="B1899" t="n">
        <v>2018</v>
      </c>
      <c r="C1899" s="2" t="n">
        <v>43391.63541666666</v>
      </c>
      <c r="D1899" t="inlineStr">
        <is>
          <t>A CRITICA</t>
        </is>
      </c>
      <c r="E1899" t="inlineStr">
        <is>
          <t>VENEZUELANOS</t>
        </is>
      </c>
      <c r="F1899" t="inlineStr"/>
      <c r="G1899" t="inlineStr">
        <is>
          <t>AKEMI NITAHARA (AGÊNCIA BRASIL)</t>
        </is>
      </c>
      <c r="H1899" t="inlineStr">
        <is>
          <t>BOLSONARO PASSA POR AVALIAÇÃO MÉDICA, MAS PERMANECE EXPECTATIVA SOBRE DEBATES</t>
        </is>
      </c>
      <c r="I1899" t="inlineStr">
        <is>
          <t>A ASSESSORIA DO CANDIDATO NÃO DEIXOU CLARO SE ELE PODE VOLTAR ÀS ATIVIDADES NORMAIS. ANÁLISE DOS MÉDICOS VAI DEFINIR A PARTICIPAÇÃO DELE EM DEBATES NA TV</t>
        </is>
      </c>
      <c r="J1899" t="inlineStr"/>
      <c r="K1899" t="n">
        <v>0</v>
      </c>
      <c r="L1899" t="n">
        <v>1</v>
      </c>
      <c r="M1899" t="n">
        <v>0</v>
      </c>
      <c r="N1899" t="n">
        <v>0</v>
      </c>
      <c r="O1899" t="n">
        <v>0</v>
      </c>
      <c r="P1899">
        <f>HYPERLINK("https://www.acritica.com/bolsonaro-passa-por-avaliac-o-medica-mas-permanece-expectativa-sobre-debates-1.94645", "URL")</f>
        <v/>
      </c>
      <c r="Q1899">
        <f>HYPERLINK("https://raw.githubusercontent.com/marcosmapl/dataset_imigrantes/main/materias_filtered/a_critica/venezuelanos/2018/09_out/html/1.94645_934.html", "HTML")</f>
        <v/>
      </c>
      <c r="R1899">
        <f>HYPERLINK("https://raw.githubusercontent.com/marcosmapl/dataset_imigrantes/main/materias_filtered/a_critica/venezuelanos/2018/09_out/txt/1.94645_934.txt", "TXT")</f>
        <v/>
      </c>
    </row>
    <row r="1900">
      <c r="A1900" s="1" t="n">
        <v>1898</v>
      </c>
      <c r="B1900" t="n">
        <v>2018</v>
      </c>
      <c r="C1900" s="2" t="n">
        <v>43390.91423611111</v>
      </c>
      <c r="D1900" t="inlineStr">
        <is>
          <t>A CRITICA</t>
        </is>
      </c>
      <c r="E1900" t="inlineStr">
        <is>
          <t>VENEZUELANOS</t>
        </is>
      </c>
      <c r="F1900" t="inlineStr">
        <is>
          <t>MANAUS</t>
        </is>
      </c>
      <c r="G1900" t="inlineStr">
        <is>
          <t>ACRÍTICA.COM</t>
        </is>
      </c>
      <c r="H1900" t="inlineStr">
        <is>
          <t>UNIVERSITÁRIOS OFERECEM SERVIÇOS DE SAÚDE NO CENTRO DE MANAUS NESTA QUINTA (18)</t>
        </is>
      </c>
      <c r="I1900" t="inlineStr">
        <is>
          <t>HAVERÁ SERVIÇOS DE AFERIÇÃO DE PRESSÃO ARTERIAL, VERIFICAÇÃO DE GLICEMIA, ORIENTAÇÃO DE SAÚDE BUCAL, NUTRIÇÃO E PREVENÇÃO DE DOENÇAS SEXUALMENTE TRANSMISSÍVEL, AVALIAÇÃO DE POSTURA, AUDIÇÃO, TESTES PARASITOLÓGICOS E ATENDIMENTO VETERINÁRIO</t>
        </is>
      </c>
      <c r="J1900" t="inlineStr"/>
      <c r="K1900" t="n">
        <v>0</v>
      </c>
      <c r="L1900" t="n">
        <v>1</v>
      </c>
      <c r="M1900" t="n">
        <v>0</v>
      </c>
      <c r="N1900" t="n">
        <v>0</v>
      </c>
      <c r="O1900" t="n">
        <v>0</v>
      </c>
      <c r="P1900">
        <f>HYPERLINK("https://www.acritica.com/manaus/universitarios-oferecem-servicos-de-saude-no-centro-de-manaus-nesta-quinta-18-1.94489", "URL")</f>
        <v/>
      </c>
      <c r="Q1900">
        <f>HYPERLINK("https://raw.githubusercontent.com/marcosmapl/dataset_imigrantes/main/materias_filtered/a_critica/venezuelanos/2018/09_out/html/1.94489_1151.html", "HTML")</f>
        <v/>
      </c>
      <c r="R1900">
        <f>HYPERLINK("https://raw.githubusercontent.com/marcosmapl/dataset_imigrantes/main/materias_filtered/a_critica/venezuelanos/2018/09_out/txt/1.94489_1151.txt", "TXT")</f>
        <v/>
      </c>
    </row>
    <row r="1901">
      <c r="A1901" s="1" t="n">
        <v>1899</v>
      </c>
      <c r="B1901" t="n">
        <v>2018</v>
      </c>
      <c r="C1901" s="2" t="n">
        <v>43390.46760416667</v>
      </c>
      <c r="D1901" t="inlineStr">
        <is>
          <t>A CRITICA</t>
        </is>
      </c>
      <c r="E1901" t="inlineStr">
        <is>
          <t>VENEZUELANOS</t>
        </is>
      </c>
      <c r="F1901" t="inlineStr">
        <is>
          <t>OPINIAO</t>
        </is>
      </c>
      <c r="G1901" t="inlineStr"/>
      <c r="H1901" t="inlineStr">
        <is>
          <t>A IMIGRAÇÃO E OS DRAMAS HUMANOS VIVIDOS POR VENEZUELANOS EM MANAUS</t>
        </is>
      </c>
      <c r="I1901" t="inlineStr"/>
      <c r="J1901" t="inlineStr"/>
      <c r="K1901" t="n">
        <v>0</v>
      </c>
      <c r="L1901" t="n">
        <v>1</v>
      </c>
      <c r="M1901" t="n">
        <v>0</v>
      </c>
      <c r="N1901" t="n">
        <v>0</v>
      </c>
      <c r="O1901" t="n">
        <v>0</v>
      </c>
      <c r="P1901">
        <f>HYPERLINK("https://www.acritica.com/opiniao/a-imigrac-o-e-os-dramas-humanos-vividos-por-venezuelanos-em-manaus-1.228653", "URL")</f>
        <v/>
      </c>
      <c r="Q1901">
        <f>HYPERLINK("https://raw.githubusercontent.com/marcosmapl/dataset_imigrantes/main/materias_filtered/a_critica/venezuelanos/2018/09_out/html/1.228653_454.html", "HTML")</f>
        <v/>
      </c>
      <c r="R1901">
        <f>HYPERLINK("https://raw.githubusercontent.com/marcosmapl/dataset_imigrantes/main/materias_filtered/a_critica/venezuelanos/2018/09_out/txt/1.228653_454.txt", "TXT")</f>
        <v/>
      </c>
    </row>
    <row r="1902">
      <c r="A1902" s="1" t="n">
        <v>1900</v>
      </c>
      <c r="B1902" t="n">
        <v>2018</v>
      </c>
      <c r="C1902" s="2" t="n">
        <v>43388.85651966435</v>
      </c>
      <c r="D1902" t="inlineStr">
        <is>
          <t>G1</t>
        </is>
      </c>
      <c r="E1902" t="inlineStr">
        <is>
          <t>VENEZUELANOS</t>
        </is>
      </c>
      <c r="F1902" t="inlineStr">
        <is>
          <t>RORAIMA</t>
        </is>
      </c>
      <c r="G1902" t="inlineStr">
        <is>
          <t>G1 RR</t>
        </is>
      </c>
      <c r="H1902" t="inlineStr">
        <is>
          <t>JOVEM VENEZUELANA É MORTA COM PAULADAS NO ROSTO NA ZONA SUL DE BOA VISTA</t>
        </is>
      </c>
      <c r="I1902" t="inlineStr">
        <is>
          <t>LEONARDA GONZALES RIVAS, DE 18 ANOS, FOI ENCONTRADA NA CABECEIRA DA PONTE DOS MACUXI. NAMORADO DA VÍTIMA É SUSPEITO DE TER COMETIDO O CRIME.</t>
        </is>
      </c>
      <c r="J1902" t="inlineStr"/>
      <c r="K1902" t="n">
        <v>0</v>
      </c>
      <c r="L1902" t="n">
        <v>1</v>
      </c>
      <c r="M1902" t="n">
        <v>0</v>
      </c>
      <c r="N1902" t="n">
        <v>0</v>
      </c>
      <c r="O1902" t="n">
        <v>1</v>
      </c>
      <c r="P1902">
        <f>HYPERLINK("https://g1.globo.com/rr/roraima/noticia/2018/10/15/jovem-venezuelana-e-morta-com-pauladas-no-rosto-na-zona-sul-de-boa-vista.ghtml", "URL")</f>
        <v/>
      </c>
      <c r="Q1902">
        <f>HYPERLINK("https://raw.githubusercontent.com/marcosmapl/dataset_imigrantes/main/materias_filtered/g1/venezuelanos/2018/09_out/html/g1_65d67eb2-2321-11ed-b24f-6dbe51e79fca_3696.html", "HTML")</f>
        <v/>
      </c>
      <c r="R1902">
        <f>HYPERLINK("https://raw.githubusercontent.com/marcosmapl/dataset_imigrantes/main/materias_filtered/g1/venezuelanos/2018/09_out/txt/g1_65d67eb2-2321-11ed-b24f-6dbe51e79fca_3696.txt", "TXT")</f>
        <v/>
      </c>
    </row>
    <row r="1903">
      <c r="A1903" s="1" t="n">
        <v>1901</v>
      </c>
      <c r="B1903" t="n">
        <v>2018</v>
      </c>
      <c r="C1903" s="2" t="n">
        <v>43388.79899305556</v>
      </c>
      <c r="D1903" t="inlineStr">
        <is>
          <t>A CRITICA</t>
        </is>
      </c>
      <c r="E1903" t="inlineStr">
        <is>
          <t>VENEZUELANOS</t>
        </is>
      </c>
      <c r="F1903" t="inlineStr">
        <is>
          <t>MANAUS</t>
        </is>
      </c>
      <c r="G1903" t="inlineStr">
        <is>
          <t>ACRÍTICA.COM</t>
        </is>
      </c>
      <c r="H1903" t="inlineStr">
        <is>
          <t>VENEZUELANO QUE ESTAVA NO AMAZONAS DESAPARECE APÓS VIAGEM PARA RORAIMA</t>
        </is>
      </c>
      <c r="I1903" t="inlineStr">
        <is>
          <t>DA ÚLTIMA VEZ QUE MANTEVE CONTATO COM A COMPANHEIRA,  ELIECER DE JESUS GUTIERREZ VELASQUEZ, 24, ESTAVA DE CARONA, MAS NÃO SABIA DIZER O LOCAL ONDE ESTAVA</t>
        </is>
      </c>
      <c r="J1903" t="inlineStr"/>
      <c r="K1903" t="n">
        <v>0</v>
      </c>
      <c r="L1903" t="n">
        <v>1</v>
      </c>
      <c r="M1903" t="n">
        <v>0</v>
      </c>
      <c r="N1903" t="n">
        <v>0</v>
      </c>
      <c r="O1903" t="n">
        <v>0</v>
      </c>
      <c r="P1903">
        <f>HYPERLINK("https://www.acritica.com/manaus/venezuelano-que-estava-no-amazonas-desaparece-apos-viagem-para-roraima-1.94018", "URL")</f>
        <v/>
      </c>
      <c r="Q1903">
        <f>HYPERLINK("https://raw.githubusercontent.com/marcosmapl/dataset_imigrantes/main/materias_filtered/a_critica/venezuelanos/2018/09_out/html/1.94018_764.html", "HTML")</f>
        <v/>
      </c>
      <c r="R1903">
        <f>HYPERLINK("https://raw.githubusercontent.com/marcosmapl/dataset_imigrantes/main/materias_filtered/a_critica/venezuelanos/2018/09_out/txt/1.94018_764.txt", "TXT")</f>
        <v/>
      </c>
    </row>
    <row r="1904">
      <c r="A1904" s="1" t="n">
        <v>1902</v>
      </c>
      <c r="B1904" t="n">
        <v>2018</v>
      </c>
      <c r="C1904" s="2" t="n">
        <v>43386.90036061343</v>
      </c>
      <c r="D1904" t="inlineStr">
        <is>
          <t>G1</t>
        </is>
      </c>
      <c r="E1904" t="inlineStr">
        <is>
          <t>VENEZUELANOS</t>
        </is>
      </c>
      <c r="F1904" t="inlineStr">
        <is>
          <t>RORAIMA</t>
        </is>
      </c>
      <c r="G1904" t="inlineStr">
        <is>
          <t>G1 RR — BOA VISTA</t>
        </is>
      </c>
      <c r="H1904" t="inlineStr">
        <is>
          <t>VENEZUELANA É ENCONTRADA MORTA DENTRO DE LAGOA NA ZONA OESTE DE BOA VISTA</t>
        </is>
      </c>
      <c r="I1904" t="inlineStr">
        <is>
          <t>MILANGELA MARTINS GIL, DE 23 ANOS, ESTAVA DESAPARECIDA DESDE A QUINTA (11) E TRABALHAVA EM UMA EMPRESA PRÓXIMO AO LOCAL ONDE FOI ENCONTRADA MORTA.</t>
        </is>
      </c>
      <c r="J1904" t="inlineStr"/>
      <c r="K1904" t="n">
        <v>0</v>
      </c>
      <c r="L1904" t="n">
        <v>2</v>
      </c>
      <c r="M1904" t="n">
        <v>0</v>
      </c>
      <c r="N1904" t="n">
        <v>0</v>
      </c>
      <c r="O1904" t="n">
        <v>0</v>
      </c>
      <c r="P1904">
        <f>HYPERLINK("https://g1.globo.com/rr/roraima/noticia/2018/10/13/venezuelana-e-encontrada-morta-dentro-de-lagoa-na-zona-oeste-de-boa-vista.ghtml", "URL")</f>
        <v/>
      </c>
      <c r="Q1904">
        <f>HYPERLINK("https://raw.githubusercontent.com/marcosmapl/dataset_imigrantes/main/materias_filtered/g1/venezuelanos/2018/09_out/html/g1_c609a8b4-2311-11ed-b24f-6dbe51e79fca_2934.html", "HTML")</f>
        <v/>
      </c>
      <c r="R1904">
        <f>HYPERLINK("https://raw.githubusercontent.com/marcosmapl/dataset_imigrantes/main/materias_filtered/g1/venezuelanos/2018/09_out/txt/g1_c609a8b4-2311-11ed-b24f-6dbe51e79fca_2934.txt", "TXT")</f>
        <v/>
      </c>
    </row>
    <row r="1905">
      <c r="A1905" s="1" t="n">
        <v>1903</v>
      </c>
      <c r="B1905" t="n">
        <v>2018</v>
      </c>
      <c r="C1905" s="2" t="n">
        <v>43386.00233796296</v>
      </c>
      <c r="D1905" t="inlineStr">
        <is>
          <t>A CRITICA</t>
        </is>
      </c>
      <c r="E1905" t="inlineStr">
        <is>
          <t>VENEZUELANOS</t>
        </is>
      </c>
      <c r="F1905" t="inlineStr">
        <is>
          <t>ESPORTES</t>
        </is>
      </c>
      <c r="G1905" t="inlineStr">
        <is>
          <t>DENIR SIMPLÍCIO</t>
        </is>
      </c>
      <c r="H1905" t="inlineStr">
        <is>
          <t>'BATALHA DO ABACAXI': 3B VENCE IRANDUBA POR 3 A 2 NA ARENA DA AMAZÔNIA</t>
        </is>
      </c>
      <c r="I1905" t="inlineStr">
        <is>
          <t>EM TARDE PRA LÁ DE INSPIRADA DA ATACANTE PAOLA VILLAMIZAR, AUTORA DOS TRÊS GOLS DO 3B, O TIME COMANDADO POR SÉRGIO DUARTE MANTEVE O TABU DE JAMAIS TER PERDIDO PARA O RIVAL DESDE QUE INGRESSOU AO FUTEBOL PROFISSIONAL</t>
        </is>
      </c>
      <c r="J1905" t="inlineStr"/>
      <c r="K1905" t="n">
        <v>0</v>
      </c>
      <c r="L1905" t="n">
        <v>1</v>
      </c>
      <c r="M1905" t="n">
        <v>0</v>
      </c>
      <c r="N1905" t="n">
        <v>0</v>
      </c>
      <c r="O1905" t="n">
        <v>0</v>
      </c>
      <c r="P1905">
        <f>HYPERLINK("https://www.acritica.com/esportes/batalha-do-abacaxi-3b-vence-iranduba-por-3-a-2-na-arena-da-amazonia-1.93977", "URL")</f>
        <v/>
      </c>
      <c r="Q1905">
        <f>HYPERLINK("https://raw.githubusercontent.com/marcosmapl/dataset_imigrantes/main/materias_filtered/a_critica/venezuelanos/2018/09_out/html/1.93977_711.html", "HTML")</f>
        <v/>
      </c>
      <c r="R1905">
        <f>HYPERLINK("https://raw.githubusercontent.com/marcosmapl/dataset_imigrantes/main/materias_filtered/a_critica/venezuelanos/2018/09_out/txt/1.93977_711.txt", "TXT")</f>
        <v/>
      </c>
    </row>
    <row r="1906">
      <c r="A1906" s="1" t="n">
        <v>1904</v>
      </c>
      <c r="B1906" t="n">
        <v>2018</v>
      </c>
      <c r="C1906" s="2" t="n">
        <v>43384.79930555556</v>
      </c>
      <c r="D1906" t="inlineStr">
        <is>
          <t>PORTAL AMAZONIA</t>
        </is>
      </c>
      <c r="E1906" t="inlineStr">
        <is>
          <t>VENEZUELANOS</t>
        </is>
      </c>
      <c r="F1906" t="inlineStr">
        <is>
          <t>CIDADES</t>
        </is>
      </c>
      <c r="G1906" t="inlineStr">
        <is>
          <t>REDAÇÃO</t>
        </is>
      </c>
      <c r="H1906" t="inlineStr">
        <is>
          <t>MME ABRE CONSULTA PÚBLICA PARA LEILÃO DE ENERGIA EM RORAIMA</t>
        </is>
      </c>
      <c r="I1906" t="inlineStr">
        <is>
          <t>O MINISTÉRIO DE MINAS E ENERGIA (MME) ABRIU NESTA QUINTA-FEIRA (11) CONSULTA PÚBLICA PARA RECEBER CONTRIBUIÇÕES SOBRE AS REGRAS E DIRETRIZES DO LEILÃO DE SUPRIMENTO DE ENERGIA A BOA VISTA, RORAIMA, A PARTIR DE 2021. AS CONTRIBUIÇÕES PODEM SER FEITAS</t>
        </is>
      </c>
      <c r="J1906" t="inlineStr">
        <is>
          <t>BOA VISTA, ENERGIA, LEILAO, RORAIMA</t>
        </is>
      </c>
      <c r="K1906" t="n">
        <v>4</v>
      </c>
      <c r="L1906" t="n">
        <v>2</v>
      </c>
      <c r="M1906" t="n">
        <v>0</v>
      </c>
      <c r="N1906" t="n">
        <v>0</v>
      </c>
      <c r="O1906" t="n">
        <v>9</v>
      </c>
      <c r="P1906">
        <f>HYPERLINK("https://portalamazonia.com/noticias/cidades/mme-abre-consulta-publica-para-leilao-de-energia-em-roraima", "URL")</f>
        <v/>
      </c>
      <c r="Q1906">
        <f>HYPERLINK("https://raw.githubusercontent.com/marcosmapl/dataset_imigrantes/main/materias_filtered/portal_amazonia/venezuelanos/2018/09_out/html/15949.15949_1479.html", "HTML")</f>
        <v/>
      </c>
      <c r="R1906">
        <f>HYPERLINK("https://raw.githubusercontent.com/marcosmapl/dataset_imigrantes/main/materias_filtered/portal_amazonia/venezuelanos/2018/09_out/txt/15949.15949_1479.txt", "TXT")</f>
        <v/>
      </c>
    </row>
    <row r="1907">
      <c r="A1907" s="1" t="n">
        <v>1905</v>
      </c>
      <c r="B1907" t="n">
        <v>2018</v>
      </c>
      <c r="C1907" s="2" t="n">
        <v>43384.00486111111</v>
      </c>
      <c r="D1907" t="inlineStr">
        <is>
          <t>A CRITICA</t>
        </is>
      </c>
      <c r="E1907" t="inlineStr">
        <is>
          <t>VENEZUELANOS</t>
        </is>
      </c>
      <c r="F1907" t="inlineStr">
        <is>
          <t>ESPORTES</t>
        </is>
      </c>
      <c r="G1907" t="inlineStr">
        <is>
          <t>DENIR SIMPLÍCIO</t>
        </is>
      </c>
      <c r="H1907" t="inlineStr">
        <is>
          <t>3B ATROPELA O ATLÉTICO AMAZONENSE E GARANTE VAGA NA FINAL DO BAREZÃO FEMININO</t>
        </is>
      </c>
      <c r="I1907" t="inlineStr">
        <is>
          <t>REFORÇADA PELAS MEIAS MARI PIRES E RAFINHA, A FERA REPETIRÁ A FINAL DO ANO PASSADO CONTRA O IRANDUBA, ATUAL HEXACAMPEÃO DO TORNEIO.</t>
        </is>
      </c>
      <c r="J1907" t="inlineStr"/>
      <c r="K1907" t="n">
        <v>0</v>
      </c>
      <c r="L1907" t="n">
        <v>1</v>
      </c>
      <c r="M1907" t="n">
        <v>0</v>
      </c>
      <c r="N1907" t="n">
        <v>0</v>
      </c>
      <c r="O1907" t="n">
        <v>0</v>
      </c>
      <c r="P1907">
        <f>HYPERLINK("https://www.acritica.com/esportes/3b-atropela-o-atletico-amazonense-e-garante-vaga-na-final-do-barez-o-feminino-1.93645", "URL")</f>
        <v/>
      </c>
      <c r="Q1907">
        <f>HYPERLINK("https://raw.githubusercontent.com/marcosmapl/dataset_imigrantes/main/materias_filtered/a_critica/venezuelanos/2018/09_out/html/1.93645_856.html", "HTML")</f>
        <v/>
      </c>
      <c r="R1907">
        <f>HYPERLINK("https://raw.githubusercontent.com/marcosmapl/dataset_imigrantes/main/materias_filtered/a_critica/venezuelanos/2018/09_out/txt/1.93645_856.txt", "TXT")</f>
        <v/>
      </c>
    </row>
    <row r="1908">
      <c r="A1908" s="1" t="n">
        <v>1906</v>
      </c>
      <c r="B1908" t="n">
        <v>2018</v>
      </c>
      <c r="C1908" s="2" t="n">
        <v>43383.86135226852</v>
      </c>
      <c r="D1908" t="inlineStr">
        <is>
          <t>G1</t>
        </is>
      </c>
      <c r="E1908" t="inlineStr">
        <is>
          <t>VENEZUELANOS</t>
        </is>
      </c>
      <c r="F1908" t="inlineStr">
        <is>
          <t>CEARÁ</t>
        </is>
      </c>
      <c r="G1908" t="inlineStr">
        <is>
          <t>RANNIERY MELO, G1 CE</t>
        </is>
      </c>
      <c r="H1908" t="inlineStr">
        <is>
          <t>VENEZUELANA MANTIDA SOB TRABALHO SIMILAR AO DE ESCRAVO É ACOLHIDA POR NOVA FAMÍLIA EM FORTALEZA</t>
        </is>
      </c>
      <c r="I1908" t="inlineStr">
        <is>
          <t>A ORGANIZAÇÃO QUE TROUXE A ESTRANGEIRA PARA O CEARÁ JÁ REALIZOU MAIS DE 180 ACOLHIMENTOS DO TIPO E DIZ QUE CASO É UM FATO ISOLADO.</t>
        </is>
      </c>
      <c r="J1908" t="inlineStr"/>
      <c r="K1908" t="n">
        <v>0</v>
      </c>
      <c r="L1908" t="n">
        <v>2</v>
      </c>
      <c r="M1908" t="n">
        <v>1</v>
      </c>
      <c r="N1908" t="n">
        <v>0</v>
      </c>
      <c r="O1908" t="n">
        <v>1</v>
      </c>
      <c r="P1908">
        <f>HYPERLINK("https://g1.globo.com/ce/ceara/noticia/2018/10/10/venezuelana-mantida-sob-trabalho-similar-ao-de-escravo-e-acolhida-por-nova-familia-em-fortaleza.ghtml", "URL")</f>
        <v/>
      </c>
      <c r="Q1908">
        <f>HYPERLINK("https://raw.githubusercontent.com/marcosmapl/dataset_imigrantes/main/materias_filtered/g1/venezuelanos/2018/09_out/html/g1_08a0bd06-2318-11ed-b24f-6dbe51e79fca_3240.html", "HTML")</f>
        <v/>
      </c>
      <c r="R1908">
        <f>HYPERLINK("https://raw.githubusercontent.com/marcosmapl/dataset_imigrantes/main/materias_filtered/g1/venezuelanos/2018/09_out/txt/g1_08a0bd06-2318-11ed-b24f-6dbe51e79fca_3240.txt", "TXT")</f>
        <v/>
      </c>
    </row>
    <row r="1909">
      <c r="A1909" s="1" t="n">
        <v>1907</v>
      </c>
      <c r="B1909" t="n">
        <v>2018</v>
      </c>
      <c r="C1909" s="2" t="n">
        <v>43383.79073225694</v>
      </c>
      <c r="D1909" t="inlineStr">
        <is>
          <t>G1</t>
        </is>
      </c>
      <c r="E1909" t="inlineStr">
        <is>
          <t>VENEZUELANOS</t>
        </is>
      </c>
      <c r="F1909" t="inlineStr">
        <is>
          <t>RORAIMA</t>
        </is>
      </c>
      <c r="G1909" t="inlineStr">
        <is>
          <t>G1 RR</t>
        </is>
      </c>
      <c r="H1909" t="inlineStr">
        <is>
          <t>AÇÃO SOLIDÁRIA DISTRIBUI BRINQUEDOS PARA CRIANÇAS VENEZUELANAS EM BOA VISTA</t>
        </is>
      </c>
      <c r="I1909" t="inlineStr">
        <is>
          <t>SERÃO DISTRIBUÍDOS 120 BRINQUEDOS, NA SEDE DO IMDH EM BOA VISTA. AÇÃO TAMBÉM CONTARÁ COM DISTRIBUIÇÃO DE LANCHES E ATIVIDADES RECREATIVAS.</t>
        </is>
      </c>
      <c r="J1909" t="inlineStr"/>
      <c r="K1909" t="n">
        <v>0</v>
      </c>
      <c r="L1909" t="n">
        <v>1</v>
      </c>
      <c r="M1909" t="n">
        <v>0</v>
      </c>
      <c r="N1909" t="n">
        <v>0</v>
      </c>
      <c r="O1909" t="n">
        <v>1</v>
      </c>
      <c r="P1909">
        <f>HYPERLINK("https://g1.globo.com/rr/roraima/noticia/2018/10/10/acao-solidaria-distribui-brinquedos-para-criancas-venezuelanas-em-boa-vista.ghtml", "URL")</f>
        <v/>
      </c>
      <c r="Q1909">
        <f>HYPERLINK("https://raw.githubusercontent.com/marcosmapl/dataset_imigrantes/main/materias_filtered/g1/venezuelanos/2018/09_out/html/g1_cb4038d4-2316-11ed-b24f-6dbe51e79fca_3170.html", "HTML")</f>
        <v/>
      </c>
      <c r="R1909">
        <f>HYPERLINK("https://raw.githubusercontent.com/marcosmapl/dataset_imigrantes/main/materias_filtered/g1/venezuelanos/2018/09_out/txt/g1_cb4038d4-2316-11ed-b24f-6dbe51e79fca_3170.txt", "TXT")</f>
        <v/>
      </c>
    </row>
    <row r="1910">
      <c r="A1910" s="1" t="n">
        <v>1908</v>
      </c>
      <c r="B1910" t="n">
        <v>2018</v>
      </c>
      <c r="C1910" s="2" t="n">
        <v>43383.7423462037</v>
      </c>
      <c r="D1910" t="inlineStr">
        <is>
          <t>G1</t>
        </is>
      </c>
      <c r="E1910" t="inlineStr">
        <is>
          <t>VENEZUELANOS</t>
        </is>
      </c>
      <c r="F1910" t="inlineStr">
        <is>
          <t>RORAIMA</t>
        </is>
      </c>
      <c r="G1910" t="inlineStr">
        <is>
          <t>EMILY COSTA, G1 RR — BOA VISTA</t>
        </is>
      </c>
      <c r="H1910" t="inlineStr">
        <is>
          <t>RORAIMA VOLTA À ENERGIA VENEZUELANA POR ECONOMIA E APAGÕES SÃO REGISTRADOS</t>
        </is>
      </c>
      <c r="I1910" t="inlineStr">
        <is>
          <t>DESDE A SEGUNDA (8), LINHÃO DE GURI PASSOU A ABASTECER RORAIMA DAS 18H ÀS 6H; NO HORÁRIO OPOSTO, TÉRMICAS SÃO ATIVADAS. APÓS SÉRIE DE APAGÕES, ELETROBRAS TINHA SUSPENDIDO USO DO LINHÃO EM 16 DE SETEMBRO.</t>
        </is>
      </c>
      <c r="J1910" t="inlineStr"/>
      <c r="K1910" t="n">
        <v>0</v>
      </c>
      <c r="L1910" t="n">
        <v>1</v>
      </c>
      <c r="M1910" t="n">
        <v>0</v>
      </c>
      <c r="N1910" t="n">
        <v>0</v>
      </c>
      <c r="O1910" t="n">
        <v>5</v>
      </c>
      <c r="P1910">
        <f>HYPERLINK("https://g1.globo.com/rr/roraima/noticia/2018/10/10/rr-voltou-a-energia-venezuelana-por-economia-diz-eletrobras-apagoes-sao-registrados.ghtml", "URL")</f>
        <v/>
      </c>
      <c r="Q1910">
        <f>HYPERLINK("https://raw.githubusercontent.com/marcosmapl/dataset_imigrantes/main/materias_filtered/g1/venezuelanos/2018/09_out/html/g1_0ed169c0-232a-11ed-b24f-6dbe51e79fca_4154.html", "HTML")</f>
        <v/>
      </c>
      <c r="R1910">
        <f>HYPERLINK("https://raw.githubusercontent.com/marcosmapl/dataset_imigrantes/main/materias_filtered/g1/venezuelanos/2018/09_out/txt/g1_0ed169c0-232a-11ed-b24f-6dbe51e79fca_4154.txt", "TXT")</f>
        <v/>
      </c>
    </row>
    <row r="1911">
      <c r="A1911" s="1" t="n">
        <v>1909</v>
      </c>
      <c r="B1911" t="n">
        <v>2018</v>
      </c>
      <c r="C1911" s="2" t="n">
        <v>43383.63809997685</v>
      </c>
      <c r="D1911" t="inlineStr">
        <is>
          <t>G1</t>
        </is>
      </c>
      <c r="E1911" t="inlineStr">
        <is>
          <t>VENEZUELANOS</t>
        </is>
      </c>
      <c r="F1911" t="inlineStr">
        <is>
          <t>MUNDO</t>
        </is>
      </c>
      <c r="G1911" t="inlineStr">
        <is>
          <t>FRANCE PRESSE</t>
        </is>
      </c>
      <c r="H1911" t="inlineStr">
        <is>
          <t>EUA CONDENAM 'ENVOLVIMENTO' DO GOVERNO DA VENEZUELA NA MORTE DE OPOSITOR</t>
        </is>
      </c>
      <c r="I1911" t="inlineStr">
        <is>
          <t>MP VENEZUELANO DIZ QUE ELE SE JOGOU DO 10º ANDAR DE PRÉDIO DO SERVIÇO DE INTELIGÊNCIA. OPOSIÇÃO CONTESTA.</t>
        </is>
      </c>
      <c r="J1911" t="inlineStr"/>
      <c r="K1911" t="n">
        <v>0</v>
      </c>
      <c r="L1911" t="n">
        <v>2</v>
      </c>
      <c r="M1911" t="n">
        <v>0</v>
      </c>
      <c r="N1911" t="n">
        <v>0</v>
      </c>
      <c r="O1911" t="n">
        <v>3</v>
      </c>
      <c r="P1911">
        <f>HYPERLINK("https://g1.globo.com/mundo/noticia/2018/10/10/eua-condenam-envolvimento-do-governo-da-venezuela-na-morte-de-opositor.ghtml", "URL")</f>
        <v/>
      </c>
      <c r="Q1911">
        <f>HYPERLINK("https://raw.githubusercontent.com/marcosmapl/dataset_imigrantes/main/materias_filtered/g1/venezuelanos/2018/09_out/html/g1_f295f926-231d-11ed-b24f-6dbe51e79fca_3530.html", "HTML")</f>
        <v/>
      </c>
      <c r="R1911">
        <f>HYPERLINK("https://raw.githubusercontent.com/marcosmapl/dataset_imigrantes/main/materias_filtered/g1/venezuelanos/2018/09_out/txt/g1_f295f926-231d-11ed-b24f-6dbe51e79fca_3530.txt", "TXT")</f>
        <v/>
      </c>
    </row>
    <row r="1912">
      <c r="A1912" s="1" t="n">
        <v>1910</v>
      </c>
      <c r="B1912" t="n">
        <v>2018</v>
      </c>
      <c r="C1912" s="2" t="n">
        <v>43382.96301278935</v>
      </c>
      <c r="D1912" t="inlineStr">
        <is>
          <t>G1</t>
        </is>
      </c>
      <c r="E1912" t="inlineStr">
        <is>
          <t>VENEZUELANOS</t>
        </is>
      </c>
      <c r="F1912" t="inlineStr">
        <is>
          <t>CEARÁ</t>
        </is>
      </c>
      <c r="G1912" t="inlineStr">
        <is>
          <t>G1 CE</t>
        </is>
      </c>
      <c r="H1912" t="inlineStr">
        <is>
          <t>VENEZUELANA FOGE DE CASA DE PROFESSORA ONDE ERA MANTIDA EM 'TRABALHO ESCRAVO' NO CEARÁ</t>
        </is>
      </c>
      <c r="I1912" t="inlineStr">
        <is>
          <t>SEGUNDO O MINISTÉRIO PÚBLICO, ELA ERA OBRIGADA A FAZER OS SERVIÇOS DE CASA E ERA MANTIDA EM CÁRCERE PRIVADO.</t>
        </is>
      </c>
      <c r="J1912" t="inlineStr"/>
      <c r="K1912" t="n">
        <v>0</v>
      </c>
      <c r="L1912" t="n">
        <v>3</v>
      </c>
      <c r="M1912" t="n">
        <v>1</v>
      </c>
      <c r="N1912" t="n">
        <v>0</v>
      </c>
      <c r="O1912" t="n">
        <v>0</v>
      </c>
      <c r="P1912">
        <f>HYPERLINK("https://g1.globo.com/ce/ceara/noticia/2018/10/09/venezuelana-foge-de-casa-de-professora-onde-era-mantida-sob-trabalho-escravo-no-ceara.ghtml", "URL")</f>
        <v/>
      </c>
      <c r="Q1912">
        <f>HYPERLINK("https://raw.githubusercontent.com/marcosmapl/dataset_imigrantes/main/materias_filtered/g1/venezuelanos/2018/09_out/html/g1_46f167b8-2313-11ed-b24f-6dbe51e79fca_3002.html", "HTML")</f>
        <v/>
      </c>
      <c r="R1912">
        <f>HYPERLINK("https://raw.githubusercontent.com/marcosmapl/dataset_imigrantes/main/materias_filtered/g1/venezuelanos/2018/09_out/txt/g1_46f167b8-2313-11ed-b24f-6dbe51e79fca_3002.txt", "TXT")</f>
        <v/>
      </c>
    </row>
    <row r="1913">
      <c r="A1913" s="1" t="n">
        <v>1911</v>
      </c>
      <c r="B1913" t="n">
        <v>2018</v>
      </c>
      <c r="C1913" s="2" t="n">
        <v>43382.58384429398</v>
      </c>
      <c r="D1913" t="inlineStr">
        <is>
          <t>G1</t>
        </is>
      </c>
      <c r="E1913" t="inlineStr">
        <is>
          <t>HAITIANOS</t>
        </is>
      </c>
      <c r="F1913" t="inlineStr">
        <is>
          <t>MATO GROSSO</t>
        </is>
      </c>
      <c r="G1913" t="inlineStr">
        <is>
          <t>G1 MT</t>
        </is>
      </c>
      <c r="H1913" t="inlineStr">
        <is>
          <t>CRIANÇAS HAITIANAS GANHAM FESTA ANTECIPADA DO DIA DAS CRIANÇAS EM CUIABÁ E RECEBEM PRESENTES</t>
        </is>
      </c>
      <c r="I1913" t="inlineStr">
        <is>
          <t>VOLUNTÁRIOS REALIZARAM GINCANAS E DISTRIBUÍRAM LANCHES, BRINQUEDOS E LIVROS.</t>
        </is>
      </c>
      <c r="J1913" t="inlineStr"/>
      <c r="K1913" t="n">
        <v>0</v>
      </c>
      <c r="L1913" t="n">
        <v>3</v>
      </c>
      <c r="M1913" t="n">
        <v>0</v>
      </c>
      <c r="N1913" t="n">
        <v>0</v>
      </c>
      <c r="O1913" t="n">
        <v>0</v>
      </c>
      <c r="P1913">
        <f>HYPERLINK("https://g1.globo.com/mt/mato-grosso/noticia/2018/10/09/criancas-haitianas-ganham-festa-antecipada-do-dia-das-criancas-em-cuiaba-com-lanches-brinquedos-e-livros.ghtml", "URL")</f>
        <v/>
      </c>
      <c r="Q1913">
        <f>HYPERLINK("https://raw.githubusercontent.com/marcosmapl/dataset_imigrantes/main/materias_filtered/g1/haitianos/2018/09_out/html/g1_2a7c37a6-231e-11ed-b24f-6dbe51e79fca_3545.html", "HTML")</f>
        <v/>
      </c>
      <c r="R1913">
        <f>HYPERLINK("https://raw.githubusercontent.com/marcosmapl/dataset_imigrantes/main/materias_filtered/g1/haitianos/2018/09_out/txt/g1_2a7c37a6-231e-11ed-b24f-6dbe51e79fca_3545.txt", "TXT")</f>
        <v/>
      </c>
    </row>
    <row r="1914">
      <c r="A1914" s="1" t="n">
        <v>1912</v>
      </c>
      <c r="B1914" t="n">
        <v>2018</v>
      </c>
      <c r="C1914" s="2" t="n">
        <v>43381.5668287037</v>
      </c>
      <c r="D1914" t="inlineStr">
        <is>
          <t>A CRITICA</t>
        </is>
      </c>
      <c r="E1914" t="inlineStr">
        <is>
          <t>VENEZUELANOS</t>
        </is>
      </c>
      <c r="F1914" t="inlineStr"/>
      <c r="G1914" t="inlineStr">
        <is>
          <t>AGÊNCIA BRASIL</t>
        </is>
      </c>
      <c r="H1914" t="inlineStr">
        <is>
          <t>APENAS UMA MULHER DISPUTA O 2º TURNO COMO CANDIDATA A GOVERNO NOS ESTADOS</t>
        </is>
      </c>
      <c r="I1914" t="inlineStr">
        <is>
          <t>COM UMA CARREIRA POLÍTICA CONSTRUÍDA NO LEGISLATIVO, FÁTIMA BEZERRA É SENADORA DO PT PELO RIO GRANDE DO NORTE E CUMPRIU TRÊS MANDATOS COMO DEPUTADA FEDERAL</t>
        </is>
      </c>
      <c r="J1914" t="inlineStr"/>
      <c r="K1914" t="n">
        <v>0</v>
      </c>
      <c r="L1914" t="n">
        <v>1</v>
      </c>
      <c r="M1914" t="n">
        <v>0</v>
      </c>
      <c r="N1914" t="n">
        <v>0</v>
      </c>
      <c r="O1914" t="n">
        <v>0</v>
      </c>
      <c r="P1914">
        <f>HYPERLINK("https://www.acritica.com/apenas-uma-mulher-disputa-o-2-turno-como-candidata-a-governo-nos-estados-1.93602", "URL")</f>
        <v/>
      </c>
      <c r="Q1914">
        <f>HYPERLINK("https://raw.githubusercontent.com/marcosmapl/dataset_imigrantes/main/materias_filtered/a_critica/venezuelanos/2018/09_out/html/1.93602_50.html", "HTML")</f>
        <v/>
      </c>
      <c r="R1914">
        <f>HYPERLINK("https://raw.githubusercontent.com/marcosmapl/dataset_imigrantes/main/materias_filtered/a_critica/venezuelanos/2018/09_out/txt/1.93602_50.txt", "TXT")</f>
        <v/>
      </c>
    </row>
    <row r="1915">
      <c r="A1915" s="1" t="n">
        <v>1913</v>
      </c>
      <c r="B1915" t="n">
        <v>2018</v>
      </c>
      <c r="C1915" s="2" t="n">
        <v>43380.42796165509</v>
      </c>
      <c r="D1915" t="inlineStr">
        <is>
          <t>G1</t>
        </is>
      </c>
      <c r="E1915" t="inlineStr">
        <is>
          <t>HAITIANOS</t>
        </is>
      </c>
      <c r="F1915" t="inlineStr">
        <is>
          <t>RIO GRANDE DO SUL</t>
        </is>
      </c>
      <c r="G1915" t="inlineStr">
        <is>
          <t>G1 RS</t>
        </is>
      </c>
      <c r="H1915" t="inlineStr">
        <is>
          <t>ASSISTA A TODOS OS VÍDEOS DO COMPARTILHE RS DESTE DOMINGO (7)</t>
        </is>
      </c>
      <c r="I1915" t="inlineStr">
        <is>
          <t>PROGRAMA REUNIU HISTÓRIAS DE EMPREENDEDORES QUE UNIRAM TRABALHO E SOLIDARIEDADE.</t>
        </is>
      </c>
      <c r="J1915" t="inlineStr"/>
      <c r="K1915" t="n">
        <v>0</v>
      </c>
      <c r="L1915" t="n">
        <v>7</v>
      </c>
      <c r="M1915" t="n">
        <v>7</v>
      </c>
      <c r="N1915" t="n">
        <v>0</v>
      </c>
      <c r="O1915" t="n">
        <v>0</v>
      </c>
      <c r="P1915">
        <f>HYPERLINK("https://g1.globo.com/rs/rio-grande-do-sul/compartilhers/noticia/2018/10/07/assista-a-todos-os-videos-do-compartilhe-rs-deste-domingo-7.ghtml", "URL")</f>
        <v/>
      </c>
      <c r="Q1915">
        <f>HYPERLINK("https://raw.githubusercontent.com/marcosmapl/dataset_imigrantes/main/materias_filtered/g1/haitianos/2018/09_out/html/g1_c3f9f51a-2316-11ed-b24f-6dbe51e79fca_3168.html", "HTML")</f>
        <v/>
      </c>
      <c r="R1915">
        <f>HYPERLINK("https://raw.githubusercontent.com/marcosmapl/dataset_imigrantes/main/materias_filtered/g1/haitianos/2018/09_out/txt/g1_c3f9f51a-2316-11ed-b24f-6dbe51e79fca_3168.txt", "TXT")</f>
        <v/>
      </c>
    </row>
    <row r="1916">
      <c r="A1916" s="1" t="n">
        <v>1914</v>
      </c>
      <c r="B1916" t="n">
        <v>2018</v>
      </c>
      <c r="C1916" s="2" t="n">
        <v>43380.0858222801</v>
      </c>
      <c r="D1916" t="inlineStr">
        <is>
          <t>G1</t>
        </is>
      </c>
      <c r="E1916" t="inlineStr">
        <is>
          <t>HAITIANOS</t>
        </is>
      </c>
      <c r="F1916" t="inlineStr">
        <is>
          <t>MUNDO</t>
        </is>
      </c>
      <c r="G1916" t="inlineStr">
        <is>
          <t>G1</t>
        </is>
      </c>
      <c r="H1916" t="inlineStr">
        <is>
          <t>TERREMOTO DEIXA 11 MORTOS E CAUSA DANOS NO HAITI</t>
        </is>
      </c>
      <c r="I1916" t="inlineStr">
        <is>
          <t>TREMOR DE MAGNITUDE 5,9 TEVE EPICENTRO A 20 KM DE PORT-DE-PAIX. PRESIDENTE JOVENEL MOISE, CONFIRMOU DANOS NO NORTE DO PAÍS E PEDIU CALMA À POPULAÇÃO.</t>
        </is>
      </c>
      <c r="J1916" t="inlineStr"/>
      <c r="K1916" t="n">
        <v>0</v>
      </c>
      <c r="L1916" t="n">
        <v>0</v>
      </c>
      <c r="M1916" t="n">
        <v>0</v>
      </c>
      <c r="N1916" t="n">
        <v>0</v>
      </c>
      <c r="O1916" t="n">
        <v>0</v>
      </c>
      <c r="P1916">
        <f>HYPERLINK("https://g1.globo.com/mundo/noticia/2018/10/06/terremoto-atinge-o-haiti-e-causa-danos.ghtml", "URL")</f>
        <v/>
      </c>
      <c r="Q1916">
        <f>HYPERLINK("https://raw.githubusercontent.com/marcosmapl/dataset_imigrantes/main/materias_filtered/g1/haitianos/2018/09_out/html/g1_a789bf72-2308-11ed-b24f-6dbe51e79fca_2395.html", "HTML")</f>
        <v/>
      </c>
      <c r="R1916">
        <f>HYPERLINK("https://raw.githubusercontent.com/marcosmapl/dataset_imigrantes/main/materias_filtered/g1/haitianos/2018/09_out/txt/g1_a789bf72-2308-11ed-b24f-6dbe51e79fca_2395.txt", "TXT")</f>
        <v/>
      </c>
    </row>
    <row r="1917">
      <c r="A1917" s="1" t="n">
        <v>1915</v>
      </c>
      <c r="B1917" t="n">
        <v>2018</v>
      </c>
      <c r="C1917" s="2" t="n">
        <v>43379.80675925926</v>
      </c>
      <c r="D1917" t="inlineStr">
        <is>
          <t>A CRITICA</t>
        </is>
      </c>
      <c r="E1917" t="inlineStr">
        <is>
          <t>VENEZUELANOS</t>
        </is>
      </c>
      <c r="F1917" t="inlineStr">
        <is>
          <t>ENTRETENIMENTO</t>
        </is>
      </c>
      <c r="G1917" t="inlineStr">
        <is>
          <t>SILANE SOUZA</t>
        </is>
      </c>
      <c r="H1917" t="inlineStr">
        <is>
          <t>EXPOSIÇÃO ITINERANTE EM SHOPPINGS DE MANAUS RETRATA IMIGRAÇÃO NA AMAZÔNIA</t>
        </is>
      </c>
      <c r="I1917" t="inlineStr">
        <is>
          <t>EVENTO DA ASSOCIAÇÃO PANAMAZÔNIA COMEÇA NA PRÓXIMA QUARTA-FEIRA (10) E APRESENTA COMO ALGUMAS FAMÍLIAS CHEGARAM À REGIÃO</t>
        </is>
      </c>
      <c r="J1917" t="inlineStr"/>
      <c r="K1917" t="n">
        <v>0</v>
      </c>
      <c r="L1917" t="n">
        <v>1</v>
      </c>
      <c r="M1917" t="n">
        <v>0</v>
      </c>
      <c r="N1917" t="n">
        <v>0</v>
      </c>
      <c r="O1917" t="n">
        <v>0</v>
      </c>
      <c r="P1917">
        <f>HYPERLINK("https://www.acritica.com/entretenimento/exposic-o-itinerante-em-shoppings-de-manaus-retrata-imigrac-o-na-amazonia-1.131142", "URL")</f>
        <v/>
      </c>
      <c r="Q1917">
        <f>HYPERLINK("https://raw.githubusercontent.com/marcosmapl/dataset_imigrantes/main/materias_filtered/a_critica/venezuelanos/2018/09_out/html/1.131142_643.html", "HTML")</f>
        <v/>
      </c>
      <c r="R1917">
        <f>HYPERLINK("https://raw.githubusercontent.com/marcosmapl/dataset_imigrantes/main/materias_filtered/a_critica/venezuelanos/2018/09_out/txt/1.131142_643.txt", "TXT")</f>
        <v/>
      </c>
    </row>
    <row r="1918">
      <c r="A1918" s="1" t="n">
        <v>1916</v>
      </c>
      <c r="B1918" t="n">
        <v>2018</v>
      </c>
      <c r="C1918" s="2" t="n">
        <v>43379.54012195602</v>
      </c>
      <c r="D1918" t="inlineStr">
        <is>
          <t>G1</t>
        </is>
      </c>
      <c r="E1918" t="inlineStr">
        <is>
          <t>VENEZUELANOS</t>
        </is>
      </c>
      <c r="F1918" t="inlineStr">
        <is>
          <t>RORAIMA</t>
        </is>
      </c>
      <c r="G1918" t="inlineStr">
        <is>
          <t>EMILY COSTA, G1 RR — BOA VISTA</t>
        </is>
      </c>
      <c r="H1918" t="inlineStr">
        <is>
          <t>EXCEÇÃO ENTRE RECÉM-CHEGADOS, VENEZUELANA QUE SE NATURALIZOU BRASILEIRA VOTA EM RORAIMA</t>
        </is>
      </c>
      <c r="I1918" t="inlineStr">
        <is>
          <t>FILHA DE PARANAENSE, CAROL FORMANIAK, 42, TEM DUPLA NACIONALIDADE E TÍTULO DE ELEITOR: 'VOTAR É UM DIREITO QUE ME FAZ SENTIR PARTE DO MEU NOVO LAR', DIZ.</t>
        </is>
      </c>
      <c r="J1918" t="inlineStr"/>
      <c r="K1918" t="n">
        <v>0</v>
      </c>
      <c r="L1918" t="n">
        <v>1</v>
      </c>
      <c r="M1918" t="n">
        <v>0</v>
      </c>
      <c r="N1918" t="n">
        <v>0</v>
      </c>
      <c r="O1918" t="n">
        <v>4</v>
      </c>
      <c r="P1918">
        <f>HYPERLINK("https://g1.globo.com/rr/roraima/eleicoes/2018/noticia/2018/10/06/excecao-entre-recem-chegados-venezuelana-que-se-naturalizou-brasileira-vota-em-roraima.ghtml", "URL")</f>
        <v/>
      </c>
      <c r="Q1918">
        <f>HYPERLINK("https://raw.githubusercontent.com/marcosmapl/dataset_imigrantes/main/materias_filtered/g1/venezuelanos/2018/09_out/html/g1_7af1ee2a-232c-11ed-b24f-6dbe51e79fca_4307.html", "HTML")</f>
        <v/>
      </c>
      <c r="R1918">
        <f>HYPERLINK("https://raw.githubusercontent.com/marcosmapl/dataset_imigrantes/main/materias_filtered/g1/venezuelanos/2018/09_out/txt/g1_7af1ee2a-232c-11ed-b24f-6dbe51e79fca_4307.txt", "TXT")</f>
        <v/>
      </c>
    </row>
    <row r="1919">
      <c r="A1919" s="1" t="n">
        <v>1917</v>
      </c>
      <c r="B1919" t="n">
        <v>2018</v>
      </c>
      <c r="C1919" s="2" t="n">
        <v>43378.77453703704</v>
      </c>
      <c r="D1919" t="inlineStr">
        <is>
          <t>A CRITICA</t>
        </is>
      </c>
      <c r="E1919" t="inlineStr">
        <is>
          <t>VENEZUELANOS</t>
        </is>
      </c>
      <c r="F1919" t="inlineStr"/>
      <c r="G1919" t="inlineStr">
        <is>
          <t>AGÊNCIA EFE</t>
        </is>
      </c>
      <c r="H1919" t="inlineStr">
        <is>
          <t>VENEZUELA ANUNCIA CRIAÇÃO DE POLÍCIA MIGRATÓRIA PARA FRONTEIRAS</t>
        </is>
      </c>
      <c r="I1919" t="inlineStr">
        <is>
          <t>SERÃO 72 PONTOS DE CONTROLE NAS FRONTEIRAS, PORTOS E AEROPORTOS EM UM MOMENTO NO QUAL O PAÍS PASSA POR UMA GRAVE CRISE ECONÔMICA</t>
        </is>
      </c>
      <c r="J1919" t="inlineStr"/>
      <c r="K1919" t="n">
        <v>0</v>
      </c>
      <c r="L1919" t="n">
        <v>1</v>
      </c>
      <c r="M1919" t="n">
        <v>0</v>
      </c>
      <c r="N1919" t="n">
        <v>0</v>
      </c>
      <c r="O1919" t="n">
        <v>0</v>
      </c>
      <c r="P1919">
        <f>HYPERLINK("https://www.acritica.com/venezuela-anuncia-criac-o-de-policia-migratoria-para-fronteiras-1.139815", "URL")</f>
        <v/>
      </c>
      <c r="Q1919">
        <f>HYPERLINK("https://raw.githubusercontent.com/marcosmapl/dataset_imigrantes/main/materias_filtered/a_critica/venezuelanos/2018/09_out/html/1.139815_319.html", "HTML")</f>
        <v/>
      </c>
      <c r="R1919">
        <f>HYPERLINK("https://raw.githubusercontent.com/marcosmapl/dataset_imigrantes/main/materias_filtered/a_critica/venezuelanos/2018/09_out/txt/1.139815_319.txt", "TXT")</f>
        <v/>
      </c>
    </row>
    <row r="1920">
      <c r="A1920" s="1" t="n">
        <v>1918</v>
      </c>
      <c r="B1920" t="n">
        <v>2018</v>
      </c>
      <c r="C1920" s="2" t="n">
        <v>43375.96429633102</v>
      </c>
      <c r="D1920" t="inlineStr">
        <is>
          <t>G1</t>
        </is>
      </c>
      <c r="E1920" t="inlineStr">
        <is>
          <t>HAITIANOS</t>
        </is>
      </c>
      <c r="F1920" t="inlineStr">
        <is>
          <t>TRIÂNGULO E ALTO PARANAÍBA</t>
        </is>
      </c>
      <c r="G1920" t="inlineStr">
        <is>
          <t>BÁRBARA ALMEIDA, G1 TRIÂNGULO MINEIRO</t>
        </is>
      </c>
      <c r="H1920" t="inlineStr">
        <is>
          <t>OBRA EM QUE HAITIANO MORREU EM UBERLÂNDIA ERA ALVO DE RECORRENTES DENÚNCIAS</t>
        </is>
      </c>
      <c r="I1920" t="inlineStr">
        <is>
          <t>MINISTÉRIO DO TRABALHO INFORMOU QUE VINHA FISCALIZANDO OS TRABALHOS E QUE CHEGOU A NOTIFICAR A EMPRESA. RESPONSÁVEIS FORAM PROCURADOS PELO G1.</t>
        </is>
      </c>
      <c r="J1920" t="inlineStr"/>
      <c r="K1920" t="n">
        <v>0</v>
      </c>
      <c r="L1920" t="n">
        <v>3</v>
      </c>
      <c r="M1920" t="n">
        <v>1</v>
      </c>
      <c r="N1920" t="n">
        <v>0</v>
      </c>
      <c r="O1920" t="n">
        <v>2</v>
      </c>
      <c r="P1920">
        <f>HYPERLINK("https://g1.globo.com/mg/triangulo-mineiro/noticia/2018/10/02/obra-em-que-haitiano-morreu-em-uberlandia-era-alvo-de-recorrentes-fiscalizacoes.ghtml", "URL")</f>
        <v/>
      </c>
      <c r="Q1920">
        <f>HYPERLINK("https://raw.githubusercontent.com/marcosmapl/dataset_imigrantes/main/materias_filtered/g1/haitianos/2018/09_out/html/g1_23429d58-22f7-11ed-b24f-6dbe51e79fca_2062.html", "HTML")</f>
        <v/>
      </c>
      <c r="R1920">
        <f>HYPERLINK("https://raw.githubusercontent.com/marcosmapl/dataset_imigrantes/main/materias_filtered/g1/haitianos/2018/09_out/txt/g1_23429d58-22f7-11ed-b24f-6dbe51e79fca_2062.txt", "TXT")</f>
        <v/>
      </c>
    </row>
    <row r="1921">
      <c r="A1921" s="1" t="n">
        <v>1919</v>
      </c>
      <c r="B1921" t="n">
        <v>2018</v>
      </c>
      <c r="C1921" s="2" t="n">
        <v>43375.6857771412</v>
      </c>
      <c r="D1921" t="inlineStr">
        <is>
          <t>G1</t>
        </is>
      </c>
      <c r="E1921" t="inlineStr">
        <is>
          <t>VENEZUELANOS</t>
        </is>
      </c>
      <c r="F1921" t="inlineStr">
        <is>
          <t>RORAIMA</t>
        </is>
      </c>
      <c r="G1921" t="inlineStr">
        <is>
          <t>G1 RR — BOA VISTA</t>
        </is>
      </c>
      <c r="H1921" t="inlineStr">
        <is>
          <t>VENEZUELANO AGREDIDO EM BAR MORRE EM HOSPITAL DE BOA VISTA</t>
        </is>
      </c>
      <c r="I1921" t="inlineStr">
        <is>
          <t>IMIGRANTE ESTAVA INTERNADO DESDE O ÚLTIMO DIA 23 E MORREU NA MADRUGADA DESSA SEGUNDA (1º). SEGUNDO PAI, ELE E AMIGO FORAM AGREDIDOS A PAULADAS E PEDRADAS POR GRUPO DE BRASILEIROS.</t>
        </is>
      </c>
      <c r="J1921" t="inlineStr"/>
      <c r="K1921" t="n">
        <v>0</v>
      </c>
      <c r="L1921" t="n">
        <v>0</v>
      </c>
      <c r="M1921" t="n">
        <v>0</v>
      </c>
      <c r="N1921" t="n">
        <v>0</v>
      </c>
      <c r="O1921" t="n">
        <v>1</v>
      </c>
      <c r="P1921">
        <f>HYPERLINK("https://g1.globo.com/rr/roraima/noticia/2018/10/02/venezuelano-agredido-em-bar-morre-em-hospital-de-boa-vista.ghtml", "URL")</f>
        <v/>
      </c>
      <c r="Q1921">
        <f>HYPERLINK("https://raw.githubusercontent.com/marcosmapl/dataset_imigrantes/main/materias_filtered/g1/venezuelanos/2018/09_out/html/g1_050691ce-2319-11ed-b24f-6dbe51e79fca_3294.html", "HTML")</f>
        <v/>
      </c>
      <c r="R1921">
        <f>HYPERLINK("https://raw.githubusercontent.com/marcosmapl/dataset_imigrantes/main/materias_filtered/g1/venezuelanos/2018/09_out/txt/g1_050691ce-2319-11ed-b24f-6dbe51e79fca_3294.txt", "TXT")</f>
        <v/>
      </c>
    </row>
    <row r="1922">
      <c r="A1922" s="1" t="n">
        <v>1920</v>
      </c>
      <c r="B1922" t="n">
        <v>2018</v>
      </c>
      <c r="C1922" s="2" t="n">
        <v>43375.55552333334</v>
      </c>
      <c r="D1922" t="inlineStr">
        <is>
          <t>G1</t>
        </is>
      </c>
      <c r="E1922" t="inlineStr">
        <is>
          <t>HAITIANOS</t>
        </is>
      </c>
      <c r="F1922" t="inlineStr">
        <is>
          <t>OESTE E SUDOESTE</t>
        </is>
      </c>
      <c r="G1922" t="inlineStr">
        <is>
          <t>G1 PR</t>
        </is>
      </c>
      <c r="H1922" t="inlineStr">
        <is>
          <t>HAITIANA MORRE EM ACIDENTE ENTRE MOTO E CARRETA EM CASCAVEL</t>
        </is>
      </c>
      <c r="I1922" t="inlineStr">
        <is>
          <t>MOTOCICLISTA FOI SURPREENDIDO POR CARRETA QUE CRUZOU UM TRECHO DA BR-277; BATIDA ACONTECEU NA MADRUGADA DESTA TERÇA-FEIRA (2).</t>
        </is>
      </c>
      <c r="J1922" t="inlineStr"/>
      <c r="K1922" t="n">
        <v>0</v>
      </c>
      <c r="L1922" t="n">
        <v>2</v>
      </c>
      <c r="M1922" t="n">
        <v>2</v>
      </c>
      <c r="N1922" t="n">
        <v>0</v>
      </c>
      <c r="O1922" t="n">
        <v>1</v>
      </c>
      <c r="P1922">
        <f>HYPERLINK("https://g1.globo.com/pr/oeste-sudoeste/noticia/2018/10/02/passageira-de-moto-morre-em-acidente-com-carreta-em-cascavel.ghtml", "URL")</f>
        <v/>
      </c>
      <c r="Q1922">
        <f>HYPERLINK("https://raw.githubusercontent.com/marcosmapl/dataset_imigrantes/main/materias_filtered/g1/haitianos/2018/09_out/html/g1_af807f60-2329-11ed-b24f-6dbe51e79fca_4132.html", "HTML")</f>
        <v/>
      </c>
      <c r="R1922">
        <f>HYPERLINK("https://raw.githubusercontent.com/marcosmapl/dataset_imigrantes/main/materias_filtered/g1/haitianos/2018/09_out/txt/g1_af807f60-2329-11ed-b24f-6dbe51e79fca_4132.txt", "TXT")</f>
        <v/>
      </c>
    </row>
    <row r="1923">
      <c r="A1923" s="1" t="n">
        <v>1921</v>
      </c>
      <c r="B1923" t="n">
        <v>2018</v>
      </c>
      <c r="C1923" s="2" t="n">
        <v>43374.50712082176</v>
      </c>
      <c r="D1923" t="inlineStr">
        <is>
          <t>G1</t>
        </is>
      </c>
      <c r="E1923" t="inlineStr">
        <is>
          <t>VENEZUELANOS</t>
        </is>
      </c>
      <c r="F1923" t="inlineStr">
        <is>
          <t>MATO GROSSO</t>
        </is>
      </c>
      <c r="G1923" t="inlineStr">
        <is>
          <t>G1 MT</t>
        </is>
      </c>
      <c r="H1923" t="inlineStr">
        <is>
          <t>VENEZUELANO É MORTO A FACADAS EM BAR DE CUIABÁ APÓS DISCUSSÃO, DIZ PM</t>
        </is>
      </c>
      <c r="I1923" t="inlineStr">
        <is>
          <t>A VÍTIMA FOI IDENTIFICADA COMO FRANCISCO JAVIER BELISÁRIO GOMES. O SUSPEITO, BRITO ANTONIO GOMES RODRIGUES, DE 21 ANOS, QUE TAMBÉM É VENEZUELANO, FOI CONTIDO PELOS CLIENTES DO ESTABELECIMENTO.</t>
        </is>
      </c>
      <c r="J1923" t="inlineStr"/>
      <c r="K1923" t="n">
        <v>0</v>
      </c>
      <c r="L1923" t="n">
        <v>0</v>
      </c>
      <c r="M1923" t="n">
        <v>0</v>
      </c>
      <c r="N1923" t="n">
        <v>0</v>
      </c>
      <c r="O1923" t="n">
        <v>0</v>
      </c>
      <c r="P1923">
        <f>HYPERLINK("https://g1.globo.com/mt/mato-grosso/noticia/2018/10/01/venezuelano-e-morto-a-facadas-em-bar-de-cuiaba-apos-discussao-diz-pm.ghtml", "URL")</f>
        <v/>
      </c>
      <c r="Q1923">
        <f>HYPERLINK("https://raw.githubusercontent.com/marcosmapl/dataset_imigrantes/main/materias_filtered/g1/venezuelanos/2018/09_out/html/g1_0b0d7fca-231d-11ed-b24f-6dbe51e79fca_3481.html", "HTML")</f>
        <v/>
      </c>
      <c r="R1923">
        <f>HYPERLINK("https://raw.githubusercontent.com/marcosmapl/dataset_imigrantes/main/materias_filtered/g1/venezuelanos/2018/09_out/txt/g1_0b0d7fca-231d-11ed-b24f-6dbe51e79fca_3481.txt", "TXT")</f>
        <v/>
      </c>
    </row>
    <row r="1924">
      <c r="A1924" s="1" t="n">
        <v>1922</v>
      </c>
      <c r="B1924" t="n">
        <v>2018</v>
      </c>
      <c r="C1924" s="2" t="n">
        <v>43372.64132988426</v>
      </c>
      <c r="D1924" t="inlineStr">
        <is>
          <t>G1</t>
        </is>
      </c>
      <c r="E1924" t="inlineStr">
        <is>
          <t>VENEZUELANOS</t>
        </is>
      </c>
      <c r="F1924" t="inlineStr">
        <is>
          <t>RORAIMA</t>
        </is>
      </c>
      <c r="G1924" t="inlineStr">
        <is>
          <t>EMILY COSTA — BOA VISTA</t>
        </is>
      </c>
      <c r="H1924" t="inlineStr">
        <is>
          <t>ESTUDANTE VENEZUELANO É BALEADO DURANTE TENTATIVA DE ASSALTO E MORRE EM BOA VISTA</t>
        </is>
      </c>
      <c r="I1924" t="inlineStr">
        <is>
          <t>FERIDO NA CABEÇA E NO BRAÇO ESQUERDO, JOVEM DE 22 ANOS FOI LEVADO A HOSPITAL, MAS NÃO RESISTIU AOS FERIMENTOS. SUSPEITOS DO CRIME, TAMBÉM VENEZUELANOS, FUGIRAM APÓS ATIRAR CONTRA VÍTIMA NA NOITE DE SEXTA (28).</t>
        </is>
      </c>
      <c r="J1924" t="inlineStr"/>
      <c r="K1924" t="n">
        <v>0</v>
      </c>
      <c r="L1924" t="n">
        <v>1</v>
      </c>
      <c r="M1924" t="n">
        <v>0</v>
      </c>
      <c r="N1924" t="n">
        <v>0</v>
      </c>
      <c r="O1924" t="n">
        <v>1</v>
      </c>
      <c r="P1924">
        <f>HYPERLINK("https://g1.globo.com/rr/roraima/noticia/2018/09/29/estudante-venezuelano-e-baleado-durante-tentativa-de-assalto-e-morre-em-boa-vista.ghtml", "URL")</f>
        <v/>
      </c>
      <c r="Q1924">
        <f>HYPERLINK("https://raw.githubusercontent.com/marcosmapl/dataset_imigrantes/main/materias_filtered/g1/venezuelanos/2018/08_set/html/g1_610f4e02-2328-11ed-b24f-6dbe51e79fca_4076.html", "HTML")</f>
        <v/>
      </c>
      <c r="R1924">
        <f>HYPERLINK("https://raw.githubusercontent.com/marcosmapl/dataset_imigrantes/main/materias_filtered/g1/venezuelanos/2018/08_set/txt/g1_610f4e02-2328-11ed-b24f-6dbe51e79fca_4076.txt", "TXT")</f>
        <v/>
      </c>
    </row>
    <row r="1925">
      <c r="A1925" s="1" t="n">
        <v>1923</v>
      </c>
      <c r="B1925" t="n">
        <v>2018</v>
      </c>
      <c r="C1925" s="2" t="n">
        <v>43371.74375</v>
      </c>
      <c r="D1925" t="inlineStr">
        <is>
          <t>PORTAL AMAZONIA</t>
        </is>
      </c>
      <c r="E1925" t="inlineStr">
        <is>
          <t>VENEZUELANOS</t>
        </is>
      </c>
      <c r="F1925" t="inlineStr">
        <is>
          <t>CIDADES</t>
        </is>
      </c>
      <c r="G1925" t="inlineStr">
        <is>
          <t>REDAÇÃO</t>
        </is>
      </c>
      <c r="H1925" t="inlineStr">
        <is>
          <t>MAIS DE CEM INDÍGENAS FORAM ASSASSINADOS EM 2017 NO BRASIL, APONTA CONSELHO INDIGENISTA</t>
        </is>
      </c>
      <c r="I1925" t="inlineStr">
        <is>
          <t>CENTO E DEZ INDÍGENAS FORAM ASSASSINADOS EM 2017. É O QUE APONTA RELATÓRIO DIVULGADO NESTA QUINTA-FEIRA PELO CIMI – CONSELHO INDIGENISTA MISSIONÁRIO. O DOCUMENTO TAMBÉM DESTACA QUE OCORRÊNCIAS DE APROPRIAÇÃO INDEVIDA DAS TERRAS TRADICIONAIS, CASOS DE</t>
        </is>
      </c>
      <c r="J1925" t="inlineStr">
        <is>
          <t>ASSASSINATO, CONSELHO INDIGENISTA MISSIONÁRIO, INDÍGENAS, MORTES, RELATÓRIO, VIOLÊNCIA</t>
        </is>
      </c>
      <c r="K1925" t="n">
        <v>6</v>
      </c>
      <c r="L1925" t="n">
        <v>2</v>
      </c>
      <c r="M1925" t="n">
        <v>0</v>
      </c>
      <c r="N1925" t="n">
        <v>0</v>
      </c>
      <c r="O1925" t="n">
        <v>11</v>
      </c>
      <c r="P1925">
        <f>HYPERLINK("https://portalamazonia.com/noticias/cidades/mais-de-cem-indigenas-foram-assassinados-em-2017-no-brasil-aponta-conselho-indigenista", "URL")</f>
        <v/>
      </c>
      <c r="Q1925">
        <f>HYPERLINK("https://raw.githubusercontent.com/marcosmapl/dataset_imigrantes/main/materias_filtered/portal_amazonia/venezuelanos/2018/08_set/html/15826.15826_1554.html", "HTML")</f>
        <v/>
      </c>
      <c r="R1925">
        <f>HYPERLINK("https://raw.githubusercontent.com/marcosmapl/dataset_imigrantes/main/materias_filtered/portal_amazonia/venezuelanos/2018/08_set/txt/15826.15826_1554.txt", "TXT")</f>
        <v/>
      </c>
    </row>
    <row r="1926">
      <c r="A1926" s="1" t="n">
        <v>1924</v>
      </c>
      <c r="B1926" t="n">
        <v>2018</v>
      </c>
      <c r="C1926" s="2" t="n">
        <v>43371.6125</v>
      </c>
      <c r="D1926" t="inlineStr">
        <is>
          <t>PORTAL AMAZONIA</t>
        </is>
      </c>
      <c r="E1926" t="inlineStr">
        <is>
          <t>VENEZUELANOS</t>
        </is>
      </c>
      <c r="F1926" t="inlineStr">
        <is>
          <t>CIDADES</t>
        </is>
      </c>
      <c r="G1926" t="inlineStr">
        <is>
          <t>REDAÇÃO</t>
        </is>
      </c>
      <c r="H1926" t="inlineStr">
        <is>
          <t>GOVERNO DE RORAIMA NEGA ACORDO COM MADURO PARA REPATRIAR VENEZUELANOS</t>
        </is>
      </c>
      <c r="I1926" t="inlineStr">
        <is>
          <t>A PROCURADORIA FEDERAL DOS DIREITOS DO CIDADÃO INFORMOU NESSA QUINTA-FEIRA (27) QUE RECEBEU OFÍCIO DO GOVERNO DO ESTADO DE RORAIMA SOBRE SUPOSTO ACORDO PARA REPATRIAÇÃO DE IMIGRANTES VENEZUELANOS.FOTO:REPRODUÇÃO/REDE AMAZÔNICANO DOCUMENTO, O GOVERNO</t>
        </is>
      </c>
      <c r="J1926" t="inlineStr">
        <is>
          <t>CRISE MIGRATORIA, IMIGRANTES, IMIGRANTES VENEZUELANOS, NICOLÃ¡S MADURO, REPATRIACAO, RORAIMA, VENEZUELANOS</t>
        </is>
      </c>
      <c r="K1926" t="n">
        <v>7</v>
      </c>
      <c r="L1926" t="n">
        <v>2</v>
      </c>
      <c r="M1926" t="n">
        <v>0</v>
      </c>
      <c r="N1926" t="n">
        <v>0</v>
      </c>
      <c r="O1926" t="n">
        <v>12</v>
      </c>
      <c r="P1926">
        <f>HYPERLINK("https://portalamazonia.com/noticias/cidades/governo-de-roraima-nega-acordo-com-maduro-para-repatriar-venezuelanos", "URL")</f>
        <v/>
      </c>
      <c r="Q1926">
        <f>HYPERLINK("https://raw.githubusercontent.com/marcosmapl/dataset_imigrantes/main/materias_filtered/portal_amazonia/venezuelanos/2018/08_set/html/15825.15825_1527.html", "HTML")</f>
        <v/>
      </c>
      <c r="R1926">
        <f>HYPERLINK("https://raw.githubusercontent.com/marcosmapl/dataset_imigrantes/main/materias_filtered/portal_amazonia/venezuelanos/2018/08_set/txt/15825.15825_1527.txt", "TXT")</f>
        <v/>
      </c>
    </row>
    <row r="1927">
      <c r="A1927" s="1" t="n">
        <v>1925</v>
      </c>
      <c r="B1927" t="n">
        <v>2018</v>
      </c>
      <c r="C1927" s="2" t="n">
        <v>43370.99279949074</v>
      </c>
      <c r="D1927" t="inlineStr">
        <is>
          <t>G1</t>
        </is>
      </c>
      <c r="E1927" t="inlineStr">
        <is>
          <t>HAITIANOS</t>
        </is>
      </c>
      <c r="F1927" t="inlineStr">
        <is>
          <t>ESPÍRITO SANTO</t>
        </is>
      </c>
      <c r="G1927" t="inlineStr">
        <is>
          <t>G1 ES</t>
        </is>
      </c>
      <c r="H1927" t="inlineStr">
        <is>
          <t>VOLUNTÁRIOS DE SÃO MATEUS SE PREPARAM PARA LEVAR DOAÇÕES ATÉ CRIANÇAS DO HAITI</t>
        </is>
      </c>
      <c r="I1927" t="inlineStr">
        <is>
          <t>SENSIBILIZADOS COM OS RELATOS DE MISÉRIA VIVIDOS PELOS HAITIANOS, ELES ARRECADARAM ROUPAS, ALIMENTOS E BRINQUEDOS POR CINCO MESES.</t>
        </is>
      </c>
      <c r="J1927" t="inlineStr"/>
      <c r="K1927" t="n">
        <v>0</v>
      </c>
      <c r="L1927" t="n">
        <v>3</v>
      </c>
      <c r="M1927" t="n">
        <v>1</v>
      </c>
      <c r="N1927" t="n">
        <v>0</v>
      </c>
      <c r="O1927" t="n">
        <v>2</v>
      </c>
      <c r="P1927">
        <f>HYPERLINK("https://g1.globo.com/es/espirito-santo/noticia/2018/09/27/voluntarios-de-sao-mateus-se-preparam-para-levar-doacoes-ate-criancas-do-haiti.ghtml", "URL")</f>
        <v/>
      </c>
      <c r="Q1927">
        <f>HYPERLINK("https://raw.githubusercontent.com/marcosmapl/dataset_imigrantes/main/materias_filtered/g1/haitianos/2018/08_set/html/g1_4f20a532-2329-11ed-b24f-6dbe51e79fca_4108.html", "HTML")</f>
        <v/>
      </c>
      <c r="R1927">
        <f>HYPERLINK("https://raw.githubusercontent.com/marcosmapl/dataset_imigrantes/main/materias_filtered/g1/haitianos/2018/08_set/txt/g1_4f20a532-2329-11ed-b24f-6dbe51e79fca_4108.txt", "TXT")</f>
        <v/>
      </c>
    </row>
    <row r="1928">
      <c r="A1928" s="1" t="n">
        <v>1926</v>
      </c>
      <c r="B1928" t="n">
        <v>2018</v>
      </c>
      <c r="C1928" s="2" t="n">
        <v>43370.86736111111</v>
      </c>
      <c r="D1928" t="inlineStr">
        <is>
          <t>PORTAL AMAZONIA</t>
        </is>
      </c>
      <c r="E1928" t="inlineStr">
        <is>
          <t>VENEZUELANOS</t>
        </is>
      </c>
      <c r="F1928" t="inlineStr">
        <is>
          <t>CIDADES</t>
        </is>
      </c>
      <c r="G1928" t="inlineStr">
        <is>
          <t>REDAÇÃO</t>
        </is>
      </c>
      <c r="H1928" t="inlineStr">
        <is>
          <t>MAIS DE 120 IMIGRANTES VENEZUELANOS SÃO TRANSFERIDOS PARA SP E RS</t>
        </is>
      </c>
      <c r="I1928" t="inlineStr">
        <is>
          <t>O ALTO COMISSARIADO DAS NAÇÕES UNIDAS PARA OS REFUGIADOS (ACNUR) INFORMOU QUE 122 PESSOAS FORAM TRANSFERIDAS DE RORAIMA E LEVADAS EM VOOS PARA O RIO GRANDE DO SUL (40 VENEZUELANOS PARA A CIDADE DE CACHOEIRINHA E 52 PARA O MUNICÍPIO DE CHAPADA) E PARA</t>
        </is>
      </c>
      <c r="J1928" t="inlineStr">
        <is>
          <t>CRISE MIGRATORIA, IMIGRANTES VENEZUELANOS, INTERIORIZACAO IMIGRANTES, RORAIMA, VENEZUELANOS</t>
        </is>
      </c>
      <c r="K1928" t="n">
        <v>5</v>
      </c>
      <c r="L1928" t="n">
        <v>2</v>
      </c>
      <c r="M1928" t="n">
        <v>0</v>
      </c>
      <c r="N1928" t="n">
        <v>0</v>
      </c>
      <c r="O1928" t="n">
        <v>10</v>
      </c>
      <c r="P1928">
        <f>HYPERLINK("https://portalamazonia.com/noticias/cidades/mais-de-120-imigrantes-venezuelanos-sao-transferidos-para-sp-e-rs", "URL")</f>
        <v/>
      </c>
      <c r="Q1928">
        <f>HYPERLINK("https://raw.githubusercontent.com/marcosmapl/dataset_imigrantes/main/materias_filtered/portal_amazonia/venezuelanos/2018/08_set/html/15820.15820_1540.html", "HTML")</f>
        <v/>
      </c>
      <c r="R1928">
        <f>HYPERLINK("https://raw.githubusercontent.com/marcosmapl/dataset_imigrantes/main/materias_filtered/portal_amazonia/venezuelanos/2018/08_set/txt/15820.15820_1540.txt", "TXT")</f>
        <v/>
      </c>
    </row>
    <row r="1929">
      <c r="A1929" s="1" t="n">
        <v>1927</v>
      </c>
      <c r="B1929" t="n">
        <v>2018</v>
      </c>
      <c r="C1929" s="2" t="n">
        <v>43368.56498842593</v>
      </c>
      <c r="D1929" t="inlineStr">
        <is>
          <t>A CRITICA</t>
        </is>
      </c>
      <c r="E1929" t="inlineStr">
        <is>
          <t>VENEZUELANOS</t>
        </is>
      </c>
      <c r="F1929" t="inlineStr"/>
      <c r="G1929" t="inlineStr">
        <is>
          <t>PEDRO PEDUZZI (AGÊNCIA BRASIL)</t>
        </is>
      </c>
      <c r="H1929" t="inlineStr">
        <is>
          <t>EM DISCURSO NA ONU, MICHEL TEMER CRITICA UNILATERALISMO E INTOLERÂNCIA</t>
        </is>
      </c>
      <c r="I1929" t="inlineStr">
        <is>
          <t>PARA O PRESIDENTE, ESSAS QUESTÕES COMPROMETEM A ORDEM MUNDIAL. ELE DESTACOU O PAPEL DO BRASIL NA QUESTÃO MIGRATÓRIA NA AMÉRICA DO SUL</t>
        </is>
      </c>
      <c r="J1929" t="inlineStr"/>
      <c r="K1929" t="n">
        <v>0</v>
      </c>
      <c r="L1929" t="n">
        <v>1</v>
      </c>
      <c r="M1929" t="n">
        <v>0</v>
      </c>
      <c r="N1929" t="n">
        <v>0</v>
      </c>
      <c r="O1929" t="n">
        <v>0</v>
      </c>
      <c r="P1929">
        <f>HYPERLINK("https://www.acritica.com/em-discurso-na-onu-michel-temer-critica-unilateralismo-e-intolerancia-1.197951", "URL")</f>
        <v/>
      </c>
      <c r="Q1929">
        <f>HYPERLINK("https://raw.githubusercontent.com/marcosmapl/dataset_imigrantes/main/materias_filtered/a_critica/venezuelanos/2018/08_set/html/1.197951_825.html", "HTML")</f>
        <v/>
      </c>
      <c r="R1929">
        <f>HYPERLINK("https://raw.githubusercontent.com/marcosmapl/dataset_imigrantes/main/materias_filtered/a_critica/venezuelanos/2018/08_set/txt/1.197951_825.txt", "TXT")</f>
        <v/>
      </c>
    </row>
    <row r="1930">
      <c r="A1930" s="1" t="n">
        <v>1928</v>
      </c>
      <c r="B1930" t="n">
        <v>2018</v>
      </c>
      <c r="C1930" s="2" t="n">
        <v>43367.72950166667</v>
      </c>
      <c r="D1930" t="inlineStr">
        <is>
          <t>G1</t>
        </is>
      </c>
      <c r="E1930" t="inlineStr">
        <is>
          <t>HAITIANOS</t>
        </is>
      </c>
      <c r="F1930" t="inlineStr">
        <is>
          <t>MATO GROSSO</t>
        </is>
      </c>
      <c r="G1930" t="inlineStr">
        <is>
          <t>WILLIAN DALAZEM, CENTRO AMÉRICA FM</t>
        </is>
      </c>
      <c r="H1930" t="inlineStr">
        <is>
          <t>HAITIANOS RECEBEM AJUDA DE GRUPO DE MULHERES NEGRAS NA BUSCA POR EMPREGO EM MT</t>
        </is>
      </c>
      <c r="I1930" t="inlineStr">
        <is>
          <t>IMIGRANTES CHEGARAM EM CÁCERES, PELA FRONTEIRA COM A BOLÍVIA, JUNTO COM GRUPO DE HAITIANOS. TRÊS DECIDIRAM CONTINUAR NA CIDADE E OS OUTROS SAÍRAM EM BUSCA DE OPORTUNIDADES EM OUTROS MUNICÍPIOS.</t>
        </is>
      </c>
      <c r="J1930" t="inlineStr"/>
      <c r="K1930" t="n">
        <v>0</v>
      </c>
      <c r="L1930" t="n">
        <v>0</v>
      </c>
      <c r="M1930" t="n">
        <v>0</v>
      </c>
      <c r="N1930" t="n">
        <v>0</v>
      </c>
      <c r="O1930" t="n">
        <v>0</v>
      </c>
      <c r="P1930">
        <f>HYPERLINK("https://g1.globo.com/mt/mato-grosso/noticia/2018/09/24/haitianos-recebem-ajuda-de-grupo-de-mulheres-negras-na-busca-por-emprego-em-mt.ghtml", "URL")</f>
        <v/>
      </c>
      <c r="Q1930">
        <f>HYPERLINK("https://raw.githubusercontent.com/marcosmapl/dataset_imigrantes/main/materias_filtered/g1/haitianos/2018/08_set/html/g1_f657416e-22f5-11ed-b24f-6dbe51e79fca_1983.html", "HTML")</f>
        <v/>
      </c>
      <c r="R1930">
        <f>HYPERLINK("https://raw.githubusercontent.com/marcosmapl/dataset_imigrantes/main/materias_filtered/g1/haitianos/2018/08_set/txt/g1_f657416e-22f5-11ed-b24f-6dbe51e79fca_1983.txt", "TXT")</f>
        <v/>
      </c>
    </row>
    <row r="1931">
      <c r="A1931" s="1" t="n">
        <v>1929</v>
      </c>
      <c r="B1931" t="n">
        <v>2018</v>
      </c>
      <c r="C1931" s="2" t="n">
        <v>43365.87990196759</v>
      </c>
      <c r="D1931" t="inlineStr">
        <is>
          <t>G1</t>
        </is>
      </c>
      <c r="E1931" t="inlineStr">
        <is>
          <t>HAITIANOS</t>
        </is>
      </c>
      <c r="F1931" t="inlineStr">
        <is>
          <t>RIO GRANDE DO SUL</t>
        </is>
      </c>
      <c r="G1931" t="inlineStr">
        <is>
          <t>GREICI MATOS E FÁBIO LEHMEN/RBS TV</t>
        </is>
      </c>
      <c r="H1931" t="inlineStr">
        <is>
          <t>SERRA GAÚCHA RECEBE MAIS DE 2,8 MIL IMIGRANTES EM TRÊS ANOS, SEGUNDO UNIVERSIDADE</t>
        </is>
      </c>
      <c r="I1931" t="inlineStr">
        <is>
          <t>ELES VÊM DOS MAIS DIFERENTES CONTINENTES, DESDE EUROPA, AMÉRICA E ATÉ OCEANIA. OUTRA REGIÃO PROCURADA PELOS IMIGRANTES É O NORTE, E SOMENTE PASSO FUNDO REÚNE PELO MENOS 400 SENEGALESES.</t>
        </is>
      </c>
      <c r="J1931" t="inlineStr"/>
      <c r="K1931" t="n">
        <v>0</v>
      </c>
      <c r="L1931" t="n">
        <v>2</v>
      </c>
      <c r="M1931" t="n">
        <v>1</v>
      </c>
      <c r="N1931" t="n">
        <v>0</v>
      </c>
      <c r="O1931" t="n">
        <v>0</v>
      </c>
      <c r="P1931">
        <f>HYPERLINK("https://g1.globo.com/rs/rio-grande-do-sul/noticia/2018/09/22/serra-gaucha-recebe-mais-de-28-mil-imigrantes-em-tres-anos-segundo-universidade.ghtml", "URL")</f>
        <v/>
      </c>
      <c r="Q1931">
        <f>HYPERLINK("https://raw.githubusercontent.com/marcosmapl/dataset_imigrantes/main/materias_filtered/g1/haitianos/2018/08_set/html/g1_a2be13da-230d-11ed-b24f-6dbe51e79fca_2699.html", "HTML")</f>
        <v/>
      </c>
      <c r="R1931">
        <f>HYPERLINK("https://raw.githubusercontent.com/marcosmapl/dataset_imigrantes/main/materias_filtered/g1/haitianos/2018/08_set/txt/g1_a2be13da-230d-11ed-b24f-6dbe51e79fca_2699.txt", "TXT")</f>
        <v/>
      </c>
    </row>
    <row r="1932">
      <c r="A1932" s="1" t="n">
        <v>1930</v>
      </c>
      <c r="B1932" t="n">
        <v>2018</v>
      </c>
      <c r="C1932" s="2" t="n">
        <v>43364.75577546296</v>
      </c>
      <c r="D1932" t="inlineStr">
        <is>
          <t>A CRITICA</t>
        </is>
      </c>
      <c r="E1932" t="inlineStr">
        <is>
          <t>VENEZUELANOS</t>
        </is>
      </c>
      <c r="F1932" t="inlineStr"/>
      <c r="G1932" t="inlineStr">
        <is>
          <t>AGÊNCIA BRASIL</t>
        </is>
      </c>
      <c r="H1932" t="inlineStr">
        <is>
          <t>MADURO PEDE US$ 500 MILHÕES À ONU PARA REPATRIAR VENEZUELANOS</t>
        </is>
      </c>
      <c r="I1932" t="inlineStr">
        <is>
          <t>FORAM REPATRIADOS 3.039 VENEZUELANOS QUE DISSERAM TER SIDO VÍTIMAS DE DISCRIMINAÇÃO E XENOFOBIA, ENTRE OUTROS MAUS-TRATOS</t>
        </is>
      </c>
      <c r="J1932" t="inlineStr"/>
      <c r="K1932" t="n">
        <v>0</v>
      </c>
      <c r="L1932" t="n">
        <v>1</v>
      </c>
      <c r="M1932" t="n">
        <v>0</v>
      </c>
      <c r="N1932" t="n">
        <v>0</v>
      </c>
      <c r="O1932" t="n">
        <v>0</v>
      </c>
      <c r="P1932">
        <f>HYPERLINK("https://www.acritica.com/maduro-pede-us-500-milh-es-a-onu-para-repatriar-venezuelanos-1.198296", "URL")</f>
        <v/>
      </c>
      <c r="Q1932">
        <f>HYPERLINK("https://raw.githubusercontent.com/marcosmapl/dataset_imigrantes/main/materias_filtered/a_critica/venezuelanos/2018/08_set/html/1.198296_24.html", "HTML")</f>
        <v/>
      </c>
      <c r="R1932">
        <f>HYPERLINK("https://raw.githubusercontent.com/marcosmapl/dataset_imigrantes/main/materias_filtered/a_critica/venezuelanos/2018/08_set/txt/1.198296_24.txt", "TXT")</f>
        <v/>
      </c>
    </row>
    <row r="1933">
      <c r="A1933" s="1" t="n">
        <v>1931</v>
      </c>
      <c r="B1933" t="n">
        <v>2018</v>
      </c>
      <c r="C1933" s="2" t="n">
        <v>43364.73819444444</v>
      </c>
      <c r="D1933" t="inlineStr">
        <is>
          <t>PORTAL AMAZONIA</t>
        </is>
      </c>
      <c r="E1933" t="inlineStr">
        <is>
          <t>VENEZUELANOS</t>
        </is>
      </c>
      <c r="F1933" t="inlineStr">
        <is>
          <t>CIDADES</t>
        </is>
      </c>
      <c r="G1933" t="inlineStr">
        <is>
          <t>REDAÇÃO</t>
        </is>
      </c>
      <c r="H1933" t="inlineStr">
        <is>
          <t>VENEZUELA ANUNCIA AMPLIAÇÃO NO FORNECIMENTO DE ENERGIA ELÉTRICA A RR</t>
        </is>
      </c>
      <c r="I1933" t="inlineStr">
        <is>
          <t>A VENEZUELA NÃO SÓ VAI MANTER, COMO AMPLIARÁ O FORNECIMENTO DE ENERGIA ELÉTRICA PARA RORAIMA. A INFORMAÇÃO FOI DIVULGADA PELO PRESIDENTE VENEZUELANO, NICOLÁS MADURO NESTA QUINTA-FEIRA (20), NO PALÁCIO MIRAFLORES, EM CARACAS. MADURO MANIFESTOU TAMBÉM</t>
        </is>
      </c>
      <c r="J1933" t="inlineStr">
        <is>
          <t>ENERGIA, LINHAO TUCURUI, NICOLÃ¡S MADURO, RORAIMA, VENEZUELA</t>
        </is>
      </c>
      <c r="K1933" t="n">
        <v>5</v>
      </c>
      <c r="L1933" t="n">
        <v>2</v>
      </c>
      <c r="M1933" t="n">
        <v>0</v>
      </c>
      <c r="N1933" t="n">
        <v>0</v>
      </c>
      <c r="O1933" t="n">
        <v>10</v>
      </c>
      <c r="P1933">
        <f>HYPERLINK("https://portalamazonia.com/noticias/cidades/venezuela-anuncia-ampliacao-no-fornecimento-de-energia-eletrica-a-rr", "URL")</f>
        <v/>
      </c>
      <c r="Q1933">
        <f>HYPERLINK("https://raw.githubusercontent.com/marcosmapl/dataset_imigrantes/main/materias_filtered/portal_amazonia/venezuelanos/2018/08_set/html/15762.15762_1451.html", "HTML")</f>
        <v/>
      </c>
      <c r="R1933">
        <f>HYPERLINK("https://raw.githubusercontent.com/marcosmapl/dataset_imigrantes/main/materias_filtered/portal_amazonia/venezuelanos/2018/08_set/txt/15762.15762_1451.txt", "TXT")</f>
        <v/>
      </c>
    </row>
    <row r="1934">
      <c r="A1934" s="1" t="n">
        <v>1932</v>
      </c>
      <c r="B1934" t="n">
        <v>2018</v>
      </c>
      <c r="C1934" s="2" t="n">
        <v>43364.52445601852</v>
      </c>
      <c r="D1934" t="inlineStr">
        <is>
          <t>A CRITICA</t>
        </is>
      </c>
      <c r="E1934" t="inlineStr">
        <is>
          <t>VENEZUELANOS</t>
        </is>
      </c>
      <c r="F1934" t="inlineStr"/>
      <c r="G1934" t="inlineStr">
        <is>
          <t>AFP</t>
        </is>
      </c>
      <c r="H1934" t="inlineStr">
        <is>
          <t>VENEZUELA DESCARTA CORTAR FORNECIMENTO DE ENERGIA PARA RORAIMA</t>
        </is>
      </c>
      <c r="I1934" t="inlineStr">
        <is>
          <t>RORAIMA, AFETADO PELA CRISE MIGRATÓRIA PROVOCADA PELA CHEGADA EM MASSA DE VENEZUELANOS, É O ÚNICO DOS 27 ESTADOS DA UNIÃO NÃO CONECTADO AO SISTEMA ELÉTRICO BRASILEIRO</t>
        </is>
      </c>
      <c r="J1934" t="inlineStr"/>
      <c r="K1934" t="n">
        <v>0</v>
      </c>
      <c r="L1934" t="n">
        <v>1</v>
      </c>
      <c r="M1934" t="n">
        <v>0</v>
      </c>
      <c r="N1934" t="n">
        <v>0</v>
      </c>
      <c r="O1934" t="n">
        <v>0</v>
      </c>
      <c r="P1934">
        <f>HYPERLINK("https://www.acritica.com/venezuela-descarta-cortar-fornecimento-de-energia-para-roraima-1.198269", "URL")</f>
        <v/>
      </c>
      <c r="Q1934">
        <f>HYPERLINK("https://raw.githubusercontent.com/marcosmapl/dataset_imigrantes/main/materias_filtered/a_critica/venezuelanos/2018/08_set/html/1.198269_1294.html", "HTML")</f>
        <v/>
      </c>
      <c r="R1934">
        <f>HYPERLINK("https://raw.githubusercontent.com/marcosmapl/dataset_imigrantes/main/materias_filtered/a_critica/venezuelanos/2018/08_set/txt/1.198269_1294.txt", "TXT")</f>
        <v/>
      </c>
    </row>
    <row r="1935">
      <c r="A1935" s="1" t="n">
        <v>1933</v>
      </c>
      <c r="B1935" t="n">
        <v>2018</v>
      </c>
      <c r="C1935" s="2" t="n">
        <v>43363.73819444444</v>
      </c>
      <c r="D1935" t="inlineStr">
        <is>
          <t>PORTAL AMAZONIA</t>
        </is>
      </c>
      <c r="E1935" t="inlineStr">
        <is>
          <t>VENEZUELANOS</t>
        </is>
      </c>
      <c r="F1935" t="inlineStr">
        <is>
          <t>CIDADES</t>
        </is>
      </c>
      <c r="G1935" t="inlineStr">
        <is>
          <t>REDAÇÃO</t>
        </is>
      </c>
      <c r="H1935" t="inlineStr">
        <is>
          <t>RORAIMA PEDE AO STF TRANSFERÊNCIA DE 500 VENEZUELANOS POR DIA</t>
        </is>
      </c>
      <c r="I1935" t="inlineStr">
        <is>
          <t>EM UMA PROPOSTA ENVIADA AO SUPREMO TRIBUNAL FEDERAL (STF), O GOVERNO DE RORAIMA PEDE A TRANSFERÊNCIA DE, NO MÍNIMO, 500 VENEZUELANOS POR DIA PARA OUTROS ESTADOS, PARA FAZER FACE O FLUXO MIGRATÓRIO. O OBJETIVO É RESOLVER O IMPASSE COM A</t>
        </is>
      </c>
      <c r="J1935" t="inlineStr">
        <is>
          <t>CRISE MIGRATORIA, IMIGRANTES, IMIGRANTES VENEZUELANOS, INTERIORIZACAO IMIGRANTES, RORAIMA, STF, VENEZUELA, VENEZUELANOS</t>
        </is>
      </c>
      <c r="K1935" t="n">
        <v>8</v>
      </c>
      <c r="L1935" t="n">
        <v>2</v>
      </c>
      <c r="M1935" t="n">
        <v>0</v>
      </c>
      <c r="N1935" t="n">
        <v>0</v>
      </c>
      <c r="O1935" t="n">
        <v>13</v>
      </c>
      <c r="P1935">
        <f>HYPERLINK("https://portalamazonia.com/noticias/cidades/roraima-pede-ao-stf-transferencia-de-500-venezuelanos-por-dia", "URL")</f>
        <v/>
      </c>
      <c r="Q1935">
        <f>HYPERLINK("https://raw.githubusercontent.com/marcosmapl/dataset_imigrantes/main/materias_filtered/portal_amazonia/venezuelanos/2018/08_set/html/15753.15753_1539.html", "HTML")</f>
        <v/>
      </c>
      <c r="R1935">
        <f>HYPERLINK("https://raw.githubusercontent.com/marcosmapl/dataset_imigrantes/main/materias_filtered/portal_amazonia/venezuelanos/2018/08_set/txt/15753.15753_1539.txt", "TXT")</f>
        <v/>
      </c>
    </row>
    <row r="1936">
      <c r="A1936" s="1" t="n">
        <v>1934</v>
      </c>
      <c r="B1936" t="n">
        <v>2018</v>
      </c>
      <c r="C1936" s="2" t="n">
        <v>43362.73472222222</v>
      </c>
      <c r="D1936" t="inlineStr">
        <is>
          <t>PORTAL AMAZONIA</t>
        </is>
      </c>
      <c r="E1936" t="inlineStr">
        <is>
          <t>VENEZUELANOS</t>
        </is>
      </c>
      <c r="F1936" t="inlineStr">
        <is>
          <t>CIDADES</t>
        </is>
      </c>
      <c r="G1936" t="inlineStr">
        <is>
          <t>REDAÇÃO</t>
        </is>
      </c>
      <c r="H1936" t="inlineStr">
        <is>
          <t>MANAUS RECEBE MAIS 20 IMIGRANTES VENEZUELANOS TRANSFERIDOS DE RORAIMA</t>
        </is>
      </c>
      <c r="I1936" t="inlineStr">
        <is>
          <t>FOTO:REPRODUÇÃO/REDE AMAZÔNICANA MANHÃ DESTA QUARTA-FEIRA (19), UM GRUPO DE 20 VENEZUELANOS DEIXARAM BOA VISTA, EM RORAIMA, E DESEMBARCARAM EM MANAUS, EM MAIS UMA ETAPA DO PROJETO DE INTERIORIZAÇÃO DE IMIGRANTES PROMOVIDO PELO GOVERNO FEDERAL. OS IMI</t>
        </is>
      </c>
      <c r="J1936" t="inlineStr">
        <is>
          <t>AMAZONAS, BOA VISTA, CRISE MIGRATORIA, IMIGRANTES, IMIGRANTES VENEZUELANOS, INTERIORIZACAO IMIGRANTES, MANAUS, RORAIMA, VENEZUELA, VENEZUELANOS</t>
        </is>
      </c>
      <c r="K1936" t="n">
        <v>10</v>
      </c>
      <c r="L1936" t="n">
        <v>3</v>
      </c>
      <c r="M1936" t="n">
        <v>0</v>
      </c>
      <c r="N1936" t="n">
        <v>0</v>
      </c>
      <c r="O1936" t="n">
        <v>15</v>
      </c>
      <c r="P1936">
        <f>HYPERLINK("https://portalamazonia.com/noticias/cidades/manaus-recebe-mais-20-imigrantes-venezuelanos-transferidos-de-roraima", "URL")</f>
        <v/>
      </c>
      <c r="Q1936">
        <f>HYPERLINK("https://raw.githubusercontent.com/marcosmapl/dataset_imigrantes/main/materias_filtered/portal_amazonia/venezuelanos/2018/08_set/html/15742.15742_1611.html", "HTML")</f>
        <v/>
      </c>
      <c r="R1936">
        <f>HYPERLINK("https://raw.githubusercontent.com/marcosmapl/dataset_imigrantes/main/materias_filtered/portal_amazonia/venezuelanos/2018/08_set/txt/15742.15742_1611.txt", "TXT")</f>
        <v/>
      </c>
    </row>
    <row r="1937">
      <c r="A1937" s="1" t="n">
        <v>1935</v>
      </c>
      <c r="B1937" t="n">
        <v>2018</v>
      </c>
      <c r="C1937" s="2" t="n">
        <v>43362.62679232639</v>
      </c>
      <c r="D1937" t="inlineStr">
        <is>
          <t>G1</t>
        </is>
      </c>
      <c r="E1937" t="inlineStr">
        <is>
          <t>VENEZUELANOS</t>
        </is>
      </c>
      <c r="F1937" t="inlineStr">
        <is>
          <t>MATO GROSSO</t>
        </is>
      </c>
      <c r="G1937" t="inlineStr">
        <is>
          <t>CRISTINA MAYUMI, TV CENTRO AMÉRICA</t>
        </is>
      </c>
      <c r="H1937" t="inlineStr">
        <is>
          <t>PROFESSORA VENEZUELANA PEDE EMPREGO PARA A FAMÍLIA EM MT APÓS SER DIAGNOSTICADA COM CÂNCER</t>
        </is>
      </c>
      <c r="I1937" t="inlineStr">
        <is>
          <t>MARLING TRINITARIO E A FAMÍLIA CHEGARAM NA CAPITAL DEPOIS DE PEGAREM CARONA COM MOTORISTAS NAS ESTRADAS. IMIGRANTES SE MUDARAM PARA MT FUGINDO DA CRISE POLÍTICA E ECONÔMICA NA VENEZUELA.</t>
        </is>
      </c>
      <c r="J1937" t="inlineStr"/>
      <c r="K1937" t="n">
        <v>0</v>
      </c>
      <c r="L1937" t="n">
        <v>2</v>
      </c>
      <c r="M1937" t="n">
        <v>1</v>
      </c>
      <c r="N1937" t="n">
        <v>0</v>
      </c>
      <c r="O1937" t="n">
        <v>0</v>
      </c>
      <c r="P1937">
        <f>HYPERLINK("https://g1.globo.com/mt/mato-grosso/noticia/2018/09/19/professora-venezuelana-pede-ajuda-para-conseguir-emprego-para-a-familia-em-mt-apos-ser-diagnosticada-com-cancer.ghtml", "URL")</f>
        <v/>
      </c>
      <c r="Q1937">
        <f>HYPERLINK("https://raw.githubusercontent.com/marcosmapl/dataset_imigrantes/main/materias_filtered/g1/venezuelanos/2018/08_set/html/g1_f7a747c8-230c-11ed-b24f-6dbe51e79fca_2659.html", "HTML")</f>
        <v/>
      </c>
      <c r="R1937">
        <f>HYPERLINK("https://raw.githubusercontent.com/marcosmapl/dataset_imigrantes/main/materias_filtered/g1/venezuelanos/2018/08_set/txt/g1_f7a747c8-230c-11ed-b24f-6dbe51e79fca_2659.txt", "TXT")</f>
        <v/>
      </c>
    </row>
    <row r="1938">
      <c r="A1938" s="1" t="n">
        <v>1936</v>
      </c>
      <c r="B1938" t="n">
        <v>2018</v>
      </c>
      <c r="C1938" s="2" t="n">
        <v>43361.8949537037</v>
      </c>
      <c r="D1938" t="inlineStr">
        <is>
          <t>A CRITICA</t>
        </is>
      </c>
      <c r="E1938" t="inlineStr">
        <is>
          <t>VENEZUELANOS</t>
        </is>
      </c>
      <c r="F1938" t="inlineStr"/>
      <c r="G1938" t="inlineStr">
        <is>
          <t>REUTERS</t>
        </is>
      </c>
      <c r="H1938" t="inlineStr">
        <is>
          <t>MADURO DIZ QUE CONSPIRAÇÃO CONTRA SEU GOVERNO SE MANTÉM COM APOIO DOS EUA</t>
        </is>
      </c>
      <c r="I1938" t="inlineStr">
        <is>
          <t>MADURO APONTOU PARA UM VENEZUELANO RESIDENTE NO ESTADO DA FLÓRIDA COMO UM DOS ENVOLVIDOS NESSES PLANOS</t>
        </is>
      </c>
      <c r="J1938" t="inlineStr"/>
      <c r="K1938" t="n">
        <v>0</v>
      </c>
      <c r="L1938" t="n">
        <v>1</v>
      </c>
      <c r="M1938" t="n">
        <v>0</v>
      </c>
      <c r="N1938" t="n">
        <v>0</v>
      </c>
      <c r="O1938" t="n">
        <v>0</v>
      </c>
      <c r="P1938">
        <f>HYPERLINK("https://www.acritica.com/maduro-diz-que-conspirac-o-contra-seu-governo-se-mantem-com-apoio-dos-eua-1.198695", "URL")</f>
        <v/>
      </c>
      <c r="Q1938">
        <f>HYPERLINK("https://raw.githubusercontent.com/marcosmapl/dataset_imigrantes/main/materias_filtered/a_critica/venezuelanos/2018/08_set/html/1.198695_140.html", "HTML")</f>
        <v/>
      </c>
      <c r="R1938">
        <f>HYPERLINK("https://raw.githubusercontent.com/marcosmapl/dataset_imigrantes/main/materias_filtered/a_critica/venezuelanos/2018/08_set/txt/1.198695_140.txt", "TXT")</f>
        <v/>
      </c>
    </row>
    <row r="1939">
      <c r="A1939" s="1" t="n">
        <v>1937</v>
      </c>
      <c r="B1939" t="n">
        <v>2018</v>
      </c>
      <c r="C1939" s="2" t="n">
        <v>43356.98903898148</v>
      </c>
      <c r="D1939" t="inlineStr">
        <is>
          <t>G1</t>
        </is>
      </c>
      <c r="E1939" t="inlineStr">
        <is>
          <t>VENEZUELANOS</t>
        </is>
      </c>
      <c r="F1939" t="inlineStr">
        <is>
          <t>RORAIMA</t>
        </is>
      </c>
      <c r="G1939" t="inlineStr">
        <is>
          <t>MARCELO MARQUES, G1 RR — BOA VISTA</t>
        </is>
      </c>
      <c r="H1939" t="inlineStr">
        <is>
          <t>VENEZUELANO É ESPANCADO POR MORADORES APÓS ROUBAR BOLSA DE MULHER EM RORAIMA</t>
        </is>
      </c>
      <c r="I1939" t="inlineStr">
        <is>
          <t>CRIMES OCORRERAM NO MESMO BAIRRO ONDE UM BRASILEIRO E UM VENEZUELANO FORAM ASSASSINADOS NO INÍCIO DO MÊS. VÍTIMA CONTOU À POLÍCIA QUE CAMINHAVA NO BAIRRO JARDIM FLORESTA QUANDO FOI SURPREENDIDA POR DOIS IMIGRANTES. UM DOS SUSPEITOS CONSEGUIU FUGIR.</t>
        </is>
      </c>
      <c r="J1939" t="inlineStr"/>
      <c r="K1939" t="n">
        <v>0</v>
      </c>
      <c r="L1939" t="n">
        <v>1</v>
      </c>
      <c r="M1939" t="n">
        <v>0</v>
      </c>
      <c r="N1939" t="n">
        <v>0</v>
      </c>
      <c r="O1939" t="n">
        <v>1</v>
      </c>
      <c r="P1939">
        <f>HYPERLINK("https://g1.globo.com/rr/roraima/noticia/2018/09/13/venezuelano-e-espancado-por-moradores-apos-roubar-bolsa-de-mulher-em-roraima.ghtml", "URL")</f>
        <v/>
      </c>
      <c r="Q1939">
        <f>HYPERLINK("https://raw.githubusercontent.com/marcosmapl/dataset_imigrantes/main/materias_filtered/g1/venezuelanos/2018/08_set/html/g1_43cf0f78-2321-11ed-b24f-6dbe51e79fca_3689.html", "HTML")</f>
        <v/>
      </c>
      <c r="R1939">
        <f>HYPERLINK("https://raw.githubusercontent.com/marcosmapl/dataset_imigrantes/main/materias_filtered/g1/venezuelanos/2018/08_set/txt/g1_43cf0f78-2321-11ed-b24f-6dbe51e79fca_3689.txt", "TXT")</f>
        <v/>
      </c>
    </row>
    <row r="1940">
      <c r="A1940" s="1" t="n">
        <v>1938</v>
      </c>
      <c r="B1940" t="n">
        <v>2018</v>
      </c>
      <c r="C1940" s="2" t="n">
        <v>43356.96319444444</v>
      </c>
      <c r="D1940" t="inlineStr">
        <is>
          <t>A CRITICA</t>
        </is>
      </c>
      <c r="E1940" t="inlineStr">
        <is>
          <t>VENEZUELANOS</t>
        </is>
      </c>
      <c r="F1940" t="inlineStr">
        <is>
          <t>MANAUS</t>
        </is>
      </c>
      <c r="G1940" t="inlineStr">
        <is>
          <t>REBECA ALMEIDA</t>
        </is>
      </c>
      <c r="H1940" t="inlineStr">
        <is>
          <t>CANDIDATO AO GOVERNO, WILSON LIMA QUER RETOMAR O CONTROLE DOS PRESÍDIOS DO AM</t>
        </is>
      </c>
      <c r="I1940" t="inlineStr">
        <is>
          <t>ALÉM DE TECNOLOGIAS COMO BLOQUEADORES DE CELULAR, O CANDIDATO DO PSC, REDE E PRTB, PROPÕE AFASTAR O REGIME SEMI-ABERTO DO FECHADO</t>
        </is>
      </c>
      <c r="J1940" t="inlineStr"/>
      <c r="K1940" t="n">
        <v>0</v>
      </c>
      <c r="L1940" t="n">
        <v>1</v>
      </c>
      <c r="M1940" t="n">
        <v>0</v>
      </c>
      <c r="N1940" t="n">
        <v>0</v>
      </c>
      <c r="O1940" t="n">
        <v>0</v>
      </c>
      <c r="P1940">
        <f>HYPERLINK("https://www.acritica.com/manaus/candidato-ao-governo-wilson-lima-quer-retomar-o-controle-dos-presidios-do-am-1.199016", "URL")</f>
        <v/>
      </c>
      <c r="Q1940">
        <f>HYPERLINK("https://raw.githubusercontent.com/marcosmapl/dataset_imigrantes/main/materias_filtered/a_critica/venezuelanos/2018/08_set/html/1.199016_99.html", "HTML")</f>
        <v/>
      </c>
      <c r="R1940">
        <f>HYPERLINK("https://raw.githubusercontent.com/marcosmapl/dataset_imigrantes/main/materias_filtered/a_critica/venezuelanos/2018/08_set/txt/1.199016_99.txt", "TXT")</f>
        <v/>
      </c>
    </row>
    <row r="1941">
      <c r="A1941" s="1" t="n">
        <v>1939</v>
      </c>
      <c r="B1941" t="n">
        <v>2018</v>
      </c>
      <c r="C1941" s="2" t="n">
        <v>43356.62644675926</v>
      </c>
      <c r="D1941" t="inlineStr">
        <is>
          <t>A CRITICA</t>
        </is>
      </c>
      <c r="E1941" t="inlineStr">
        <is>
          <t>VENEZUELANOS</t>
        </is>
      </c>
      <c r="F1941" t="inlineStr"/>
      <c r="G1941" t="inlineStr">
        <is>
          <t>ALEX RODRIGUES (AGÊNCIA BRASIL)</t>
        </is>
      </c>
      <c r="H1941" t="inlineStr">
        <is>
          <t>RORAIMA DIZ TER GARANTIAS DE QUE VENEZUELA NÃO CORTARÁ FORNECIMENTO DE ENERGIA</t>
        </is>
      </c>
      <c r="I1941" t="inlineStr">
        <is>
          <t>A POSSIBILIDADE DE DA ESTATAL ENERGÉTICA VENEZUELANA INTERROMPER O SERVIÇO DECORRE DE UMA DÍVIDA DE US$ 30 MILHÕES COM A ELETRONORTE</t>
        </is>
      </c>
      <c r="J1941" t="inlineStr"/>
      <c r="K1941" t="n">
        <v>0</v>
      </c>
      <c r="L1941" t="n">
        <v>1</v>
      </c>
      <c r="M1941" t="n">
        <v>0</v>
      </c>
      <c r="N1941" t="n">
        <v>0</v>
      </c>
      <c r="O1941" t="n">
        <v>0</v>
      </c>
      <c r="P1941">
        <f>HYPERLINK("https://www.acritica.com/roraima-diz-ter-garantias-de-que-venezuela-n-o-cortara-fornecimento-de-energia-1.199020", "URL")</f>
        <v/>
      </c>
      <c r="Q1941">
        <f>HYPERLINK("https://raw.githubusercontent.com/marcosmapl/dataset_imigrantes/main/materias_filtered/a_critica/venezuelanos/2018/08_set/html/1.199020_1076.html", "HTML")</f>
        <v/>
      </c>
      <c r="R1941">
        <f>HYPERLINK("https://raw.githubusercontent.com/marcosmapl/dataset_imigrantes/main/materias_filtered/a_critica/venezuelanos/2018/08_set/txt/1.199020_1076.txt", "TXT")</f>
        <v/>
      </c>
    </row>
    <row r="1942">
      <c r="A1942" s="1" t="n">
        <v>1940</v>
      </c>
      <c r="B1942" t="n">
        <v>2018</v>
      </c>
      <c r="C1942" s="2" t="n">
        <v>43355.55171825232</v>
      </c>
      <c r="D1942" t="inlineStr">
        <is>
          <t>G1</t>
        </is>
      </c>
      <c r="E1942" t="inlineStr">
        <is>
          <t>VENEZUELANOS</t>
        </is>
      </c>
      <c r="F1942" t="inlineStr">
        <is>
          <t>RORAIMA</t>
        </is>
      </c>
      <c r="G1942" t="inlineStr">
        <is>
          <t>MARCELO MARQUES, G1 RR — BOA VISTA</t>
        </is>
      </c>
      <c r="H1942" t="inlineStr">
        <is>
          <t>UNICEF QUER AUMENTAR AÇÕES PARA CRIANÇAS VENEZUELANAS EM ABRIGOS DE RR E COMBATER PROSTITUIÇÃO INFANTIL</t>
        </is>
      </c>
      <c r="I1942" t="inlineStr">
        <is>
          <t>ÓRGÃO TAMBÉM PRETENDE ESTENDER ATIVIDADES PARA CRIANÇAS E ADOLESCENTES EM SITUAÇÃO DE RUA.</t>
        </is>
      </c>
      <c r="J1942" t="inlineStr"/>
      <c r="K1942" t="n">
        <v>0</v>
      </c>
      <c r="L1942" t="n">
        <v>1</v>
      </c>
      <c r="M1942" t="n">
        <v>0</v>
      </c>
      <c r="N1942" t="n">
        <v>0</v>
      </c>
      <c r="O1942" t="n">
        <v>3</v>
      </c>
      <c r="P1942">
        <f>HYPERLINK("https://g1.globo.com/rr/roraima/noticia/2018/09/12/unicef-quer-aumentar-acoes-para-criancas-venezuelanas-em-abrigos-de-rr-e-combater-prostituicao-infantil.ghtml", "URL")</f>
        <v/>
      </c>
      <c r="Q1942">
        <f>HYPERLINK("https://raw.githubusercontent.com/marcosmapl/dataset_imigrantes/main/materias_filtered/g1/venezuelanos/2018/08_set/html/g1_3d75df9a-231b-11ed-b24f-6dbe51e79fca_3373.html", "HTML")</f>
        <v/>
      </c>
      <c r="R1942">
        <f>HYPERLINK("https://raw.githubusercontent.com/marcosmapl/dataset_imigrantes/main/materias_filtered/g1/venezuelanos/2018/08_set/txt/g1_3d75df9a-231b-11ed-b24f-6dbe51e79fca_3373.txt", "TXT")</f>
        <v/>
      </c>
    </row>
    <row r="1943">
      <c r="A1943" s="1" t="n">
        <v>1941</v>
      </c>
      <c r="B1943" t="n">
        <v>2018</v>
      </c>
      <c r="C1943" s="2" t="n">
        <v>43355.42765046296</v>
      </c>
      <c r="D1943" t="inlineStr">
        <is>
          <t>A CRITICA</t>
        </is>
      </c>
      <c r="E1943" t="inlineStr">
        <is>
          <t>AMBOS</t>
        </is>
      </c>
      <c r="F1943" t="inlineStr">
        <is>
          <t>OPINIAO</t>
        </is>
      </c>
      <c r="G1943" t="inlineStr"/>
      <c r="H1943" t="inlineStr">
        <is>
          <t>AJUDAR É SEMPRE MELHOR</t>
        </is>
      </c>
      <c r="I1943" t="inlineStr"/>
      <c r="J1943" t="inlineStr"/>
      <c r="K1943" t="n">
        <v>0</v>
      </c>
      <c r="L1943" t="n">
        <v>1</v>
      </c>
      <c r="M1943" t="n">
        <v>0</v>
      </c>
      <c r="N1943" t="n">
        <v>0</v>
      </c>
      <c r="O1943" t="n">
        <v>0</v>
      </c>
      <c r="P1943">
        <f>HYPERLINK("https://www.acritica.com/opiniao/ajudar-e-sempre-melhor-1.228828", "URL")</f>
        <v/>
      </c>
      <c r="Q1943">
        <f>HYPERLINK("https://raw.githubusercontent.com/marcosmapl/dataset_imigrantes/main/materias_filtered/a_critica/ambos/2018/08_set/html/1.228828_166.html", "HTML")</f>
        <v/>
      </c>
      <c r="R1943">
        <f>HYPERLINK("https://raw.githubusercontent.com/marcosmapl/dataset_imigrantes/main/materias_filtered/a_critica/ambos/2018/08_set/txt/1.228828_166.txt", "TXT")</f>
        <v/>
      </c>
    </row>
    <row r="1944">
      <c r="A1944" s="1" t="n">
        <v>1942</v>
      </c>
      <c r="B1944" t="n">
        <v>2018</v>
      </c>
      <c r="C1944" s="2" t="n">
        <v>43354.96445921296</v>
      </c>
      <c r="D1944" t="inlineStr">
        <is>
          <t>G1</t>
        </is>
      </c>
      <c r="E1944" t="inlineStr">
        <is>
          <t>VENEZUELANOS</t>
        </is>
      </c>
      <c r="F1944" t="inlineStr">
        <is>
          <t>ECONOMIA</t>
        </is>
      </c>
      <c r="G1944" t="inlineStr">
        <is>
          <t>LAÍS LIS, G1 — BRASÍLIA</t>
        </is>
      </c>
      <c r="H1944" t="inlineStr">
        <is>
          <t>GOVERNADORA DE RR PROPÕE À UNIÃO QUE ELETROBRAS ASSUMA MANUTENÇÃO DE LINHA DE TRANSMISSÃO VENEZUELANA</t>
        </is>
      </c>
      <c r="I1944" t="inlineStr">
        <is>
          <t>SUELY CAMPOS (PP) SE REUNIU COM MINISTRO DE MINAS E ENERGIA, MOREIRA FRANCO. RORAIMA É O ÚNICO ESTADO QUE NÃO ESTÁ INTERLIGADO AO SISTEMA NACIONAL E DEPENDE DE ENERGIA DA VENEZUELA.</t>
        </is>
      </c>
      <c r="J1944" t="inlineStr"/>
      <c r="K1944" t="n">
        <v>0</v>
      </c>
      <c r="L1944" t="n">
        <v>1</v>
      </c>
      <c r="M1944" t="n">
        <v>1</v>
      </c>
      <c r="N1944" t="n">
        <v>0</v>
      </c>
      <c r="O1944" t="n">
        <v>0</v>
      </c>
      <c r="P1944">
        <f>HYPERLINK("https://g1.globo.com/economia/noticia/2018/09/11/governadora-de-rr-propoe-a-uniao-que-eletrobras-assuma-manutencao-de-linha-de-transmissao-venezuelana.ghtml", "URL")</f>
        <v/>
      </c>
      <c r="Q1944">
        <f>HYPERLINK("https://raw.githubusercontent.com/marcosmapl/dataset_imigrantes/main/materias_filtered/g1/venezuelanos/2018/08_set/html/g1_8a4536e8-2327-11ed-b24f-6dbe51e79fca_4039.html", "HTML")</f>
        <v/>
      </c>
      <c r="R1944">
        <f>HYPERLINK("https://raw.githubusercontent.com/marcosmapl/dataset_imigrantes/main/materias_filtered/g1/venezuelanos/2018/08_set/txt/g1_8a4536e8-2327-11ed-b24f-6dbe51e79fca_4039.txt", "TXT")</f>
        <v/>
      </c>
    </row>
    <row r="1945">
      <c r="A1945" s="1" t="n">
        <v>1943</v>
      </c>
      <c r="B1945" t="n">
        <v>2018</v>
      </c>
      <c r="C1945" s="2" t="n">
        <v>43354.8125</v>
      </c>
      <c r="D1945" t="inlineStr">
        <is>
          <t>PORTAL AMAZONIA</t>
        </is>
      </c>
      <c r="E1945" t="inlineStr">
        <is>
          <t>VENEZUELANOS</t>
        </is>
      </c>
      <c r="F1945" t="inlineStr">
        <is>
          <t>CIDADES</t>
        </is>
      </c>
      <c r="G1945" t="inlineStr">
        <is>
          <t>REDAÇÃO</t>
        </is>
      </c>
      <c r="H1945" t="inlineStr">
        <is>
          <t>FRANÇA DOA € 200 MIL PARA ACOLHIMENTO DE VENEZUELANOS EM MANAUS</t>
        </is>
      </c>
      <c r="I1945" t="inlineStr">
        <is>
          <t>FOTO:BIANCA PAIVA/AGÊNCIA BRASIL A CIDADE DE MANAUS VAI COMEÇAR A RECEBER, A PARTIR DESTA SEXTA-FEIRA (14), UMA AJUDA FINANCEIRA NO VALOR DE € 200 MIL, EQUIVALENTE A R$ 1 MILHÃO, PARA O ATENDIMENTO A IMIGRANTES VENEZUELANOS. A QUA</t>
        </is>
      </c>
      <c r="J1945" t="inlineStr">
        <is>
          <t>CRISE MIGRATORIA, DOAÇÃO, FRANCA, IMIGRANTES, IMIGRANTES VENEZUELANOS, INTERNACIONAL, MANAUS, UNIAO EUROPEIA</t>
        </is>
      </c>
      <c r="K1945" t="n">
        <v>8</v>
      </c>
      <c r="L1945" t="n">
        <v>2</v>
      </c>
      <c r="M1945" t="n">
        <v>0</v>
      </c>
      <c r="N1945" t="n">
        <v>0</v>
      </c>
      <c r="O1945" t="n">
        <v>13</v>
      </c>
      <c r="P1945">
        <f>HYPERLINK("https://portalamazonia.com/noticias/cidades/franca-doa-200-mil-para-acolhimento-de-venezuelanos-em-manaus", "URL")</f>
        <v/>
      </c>
      <c r="Q1945">
        <f>HYPERLINK("https://raw.githubusercontent.com/marcosmapl/dataset_imigrantes/main/materias_filtered/portal_amazonia/venezuelanos/2018/08_set/html/15667.15667_1387.html", "HTML")</f>
        <v/>
      </c>
      <c r="R1945">
        <f>HYPERLINK("https://raw.githubusercontent.com/marcosmapl/dataset_imigrantes/main/materias_filtered/portal_amazonia/venezuelanos/2018/08_set/txt/15667.15667_1387.txt", "TXT")</f>
        <v/>
      </c>
    </row>
    <row r="1946">
      <c r="A1946" s="1" t="n">
        <v>1944</v>
      </c>
      <c r="B1946" t="n">
        <v>2018</v>
      </c>
      <c r="C1946" s="2" t="n">
        <v>43354.79375</v>
      </c>
      <c r="D1946" t="inlineStr">
        <is>
          <t>A CRITICA</t>
        </is>
      </c>
      <c r="E1946" t="inlineStr">
        <is>
          <t>VENEZUELANOS</t>
        </is>
      </c>
      <c r="F1946" t="inlineStr">
        <is>
          <t>MANAUS</t>
        </is>
      </c>
      <c r="G1946" t="inlineStr">
        <is>
          <t>ACRÍTICA.COM</t>
        </is>
      </c>
      <c r="H1946" t="inlineStr">
        <is>
          <t>UNIVERSITÁRIOS PROMOVEM MUTIRÃO DE SAÚDE PARA VENEZUELANOS EM ABRIGO</t>
        </is>
      </c>
      <c r="I1946" t="inlineStr">
        <is>
          <t>PROGRAMAÇÃO ACONTECERÁ NO SÁBADO (15) COM DIVERSOS SERVIÇOS PARA PESSOAS ACOLHIDAS NO ABRIGO CASA DE ACOLHIDA SANTA CATARINA DE SENA</t>
        </is>
      </c>
      <c r="J1946" t="inlineStr"/>
      <c r="K1946" t="n">
        <v>0</v>
      </c>
      <c r="L1946" t="n">
        <v>1</v>
      </c>
      <c r="M1946" t="n">
        <v>0</v>
      </c>
      <c r="N1946" t="n">
        <v>0</v>
      </c>
      <c r="O1946" t="n">
        <v>1</v>
      </c>
      <c r="P1946">
        <f>HYPERLINK("https://www.acritica.com/manaus/universitarios-promovem-mutir-o-de-saude-para-venezuelanos-em-abrigo-1.82315", "URL")</f>
        <v/>
      </c>
      <c r="Q1946">
        <f>HYPERLINK("https://raw.githubusercontent.com/marcosmapl/dataset_imigrantes/main/materias_filtered/a_critica/venezuelanos/2018/08_set/html/1.82315_148.html", "HTML")</f>
        <v/>
      </c>
      <c r="R1946">
        <f>HYPERLINK("https://raw.githubusercontent.com/marcosmapl/dataset_imigrantes/main/materias_filtered/a_critica/venezuelanos/2018/08_set/txt/1.82315_148.txt", "TXT")</f>
        <v/>
      </c>
    </row>
    <row r="1947">
      <c r="A1947" s="1" t="n">
        <v>1945</v>
      </c>
      <c r="B1947" t="n">
        <v>2018</v>
      </c>
      <c r="C1947" s="2" t="n">
        <v>43354.70438657407</v>
      </c>
      <c r="D1947" t="inlineStr">
        <is>
          <t>A CRITICA</t>
        </is>
      </c>
      <c r="E1947" t="inlineStr">
        <is>
          <t>VENEZUELANOS</t>
        </is>
      </c>
      <c r="F1947" t="inlineStr">
        <is>
          <t>MANAUS</t>
        </is>
      </c>
      <c r="G1947" t="inlineStr">
        <is>
          <t>CAROLINA GONÇALVES (AGÊNCIA BRASIL)</t>
        </is>
      </c>
      <c r="H1947" t="inlineStr">
        <is>
          <t>FRANÇA LIBERA 200 MIL EUROS PARA ACOLHIMENTO DE VENEZUELANOS EM MANAUS</t>
        </is>
      </c>
      <c r="I1947" t="inlineStr">
        <is>
          <t>A AJUDA FINANCEIRA, EQUIVALENTE A R$ 1 MILHÃO, É DESTINADO À CÁRITAS ARQUIEDIOCESANA, QUE TEM PRESTADO ASSISTÊNCIA HUMANITÁRIA AOS IMIGRANTES</t>
        </is>
      </c>
      <c r="J1947" t="inlineStr"/>
      <c r="K1947" t="n">
        <v>0</v>
      </c>
      <c r="L1947" t="n">
        <v>1</v>
      </c>
      <c r="M1947" t="n">
        <v>0</v>
      </c>
      <c r="N1947" t="n">
        <v>0</v>
      </c>
      <c r="O1947" t="n">
        <v>0</v>
      </c>
      <c r="P1947">
        <f>HYPERLINK("https://www.acritica.com/manaus/franca-libera-200-mil-euros-para-acolhimento-de-venezuelanos-em-manaus-1.199183", "URL")</f>
        <v/>
      </c>
      <c r="Q1947">
        <f>HYPERLINK("https://raw.githubusercontent.com/marcosmapl/dataset_imigrantes/main/materias_filtered/a_critica/venezuelanos/2018/08_set/html/1.199183_77.html", "HTML")</f>
        <v/>
      </c>
      <c r="R1947">
        <f>HYPERLINK("https://raw.githubusercontent.com/marcosmapl/dataset_imigrantes/main/materias_filtered/a_critica/venezuelanos/2018/08_set/txt/1.199183_77.txt", "TXT")</f>
        <v/>
      </c>
    </row>
    <row r="1948">
      <c r="A1948" s="1" t="n">
        <v>1946</v>
      </c>
      <c r="B1948" t="n">
        <v>2018</v>
      </c>
      <c r="C1948" s="2" t="n">
        <v>43354.41725947917</v>
      </c>
      <c r="D1948" t="inlineStr">
        <is>
          <t>G1</t>
        </is>
      </c>
      <c r="E1948" t="inlineStr">
        <is>
          <t>VENEZUELANOS</t>
        </is>
      </c>
      <c r="F1948" t="inlineStr">
        <is>
          <t>RIO GRANDE DO NORTE</t>
        </is>
      </c>
      <c r="G1948" t="inlineStr">
        <is>
          <t>IGOR JÁCOME, G1 RN</t>
        </is>
      </c>
      <c r="H1948" t="inlineStr">
        <is>
          <t>APÓS ATRAVESSAR O PAÍS DE CARONA EM CAMINHÕES, IMIGRANTE VENEZUELANO ENCONTRA LAR NO RN: 'É MARAVILHOSO'</t>
        </is>
      </c>
      <c r="I1948" t="inlineStr">
        <is>
          <t>DANIEL OROZCO CHEGOU SOZINHO AO BRASIL E, COM AJUDA DE AMIGOS QUE FEZ NO PAÍS, TROUXE ESPOSA E FILHAS PARA NATAL. FAMÍLIA SONHA COM VISTO PERMANENTE.</t>
        </is>
      </c>
      <c r="J1948" t="inlineStr"/>
      <c r="K1948" t="n">
        <v>0</v>
      </c>
      <c r="L1948" t="n">
        <v>1</v>
      </c>
      <c r="M1948" t="n">
        <v>0</v>
      </c>
      <c r="N1948" t="n">
        <v>0</v>
      </c>
      <c r="O1948" t="n">
        <v>0</v>
      </c>
      <c r="P1948">
        <f>HYPERLINK("https://g1.globo.com/rn/rio-grande-do-norte/noticia/2018/09/11/apos-atravessar-o-pais-de-carona-em-caminhoes-imigrante-venezuelano-encontra-lar-no-rn-e-maravilhoso.ghtml", "URL")</f>
        <v/>
      </c>
      <c r="Q1948">
        <f>HYPERLINK("https://raw.githubusercontent.com/marcosmapl/dataset_imigrantes/main/materias_filtered/g1/venezuelanos/2018/08_set/html/g1_f84234be-2310-11ed-b24f-6dbe51e79fca_2888.html", "HTML")</f>
        <v/>
      </c>
      <c r="R1948">
        <f>HYPERLINK("https://raw.githubusercontent.com/marcosmapl/dataset_imigrantes/main/materias_filtered/g1/venezuelanos/2018/08_set/txt/g1_f84234be-2310-11ed-b24f-6dbe51e79fca_2888.txt", "TXT")</f>
        <v/>
      </c>
    </row>
    <row r="1949">
      <c r="A1949" s="1" t="n">
        <v>1947</v>
      </c>
      <c r="B1949" t="n">
        <v>2018</v>
      </c>
      <c r="C1949" s="2" t="n">
        <v>43352.64288971065</v>
      </c>
      <c r="D1949" t="inlineStr">
        <is>
          <t>G1</t>
        </is>
      </c>
      <c r="E1949" t="inlineStr">
        <is>
          <t>VENEZUELANOS</t>
        </is>
      </c>
      <c r="F1949" t="inlineStr">
        <is>
          <t>RORAIMA</t>
        </is>
      </c>
      <c r="G1949" t="inlineStr">
        <is>
          <t>MARCELO MARQUES, G1 RR</t>
        </is>
      </c>
      <c r="H1949" t="inlineStr">
        <is>
          <t>MAIS 104 IMIGRANTES EM RORAIMA SÃO REPATRIADOS COM APOIO DE IGREJA VENEZUELANA: 'TERÃO COMIDA E EMPREGO'</t>
        </is>
      </c>
      <c r="I1949" t="inlineStr">
        <is>
          <t>IMIGRANTES FORAM LEVADOS EM DOIS ÔNIBUS FRETADOS POR IGREJA CATÓLICA DO PAÍS VIZINHO, AFIRMA REPRESENTANTE.</t>
        </is>
      </c>
      <c r="J1949" t="inlineStr"/>
      <c r="K1949" t="n">
        <v>0</v>
      </c>
      <c r="L1949" t="n">
        <v>2</v>
      </c>
      <c r="M1949" t="n">
        <v>0</v>
      </c>
      <c r="N1949" t="n">
        <v>0</v>
      </c>
      <c r="O1949" t="n">
        <v>25</v>
      </c>
      <c r="P1949">
        <f>HYPERLINK("https://g1.globo.com/rr/roraima/noticia/2018/09/09/mais-104-imigrantes-em-rr-sao-repatriados-com-apoio-de-igreja-venezuelana-terao-comida-e-emprego.ghtml", "URL")</f>
        <v/>
      </c>
      <c r="Q1949">
        <f>HYPERLINK("https://raw.githubusercontent.com/marcosmapl/dataset_imigrantes/main/materias_filtered/g1/venezuelanos/2018/08_set/html/g1_e3eefec4-2311-11ed-b24f-6dbe51e79fca_2939.html", "HTML")</f>
        <v/>
      </c>
      <c r="R1949">
        <f>HYPERLINK("https://raw.githubusercontent.com/marcosmapl/dataset_imigrantes/main/materias_filtered/g1/venezuelanos/2018/08_set/txt/g1_e3eefec4-2311-11ed-b24f-6dbe51e79fca_2939.txt", "TXT")</f>
        <v/>
      </c>
    </row>
    <row r="1950">
      <c r="A1950" s="1" t="n">
        <v>1948</v>
      </c>
      <c r="B1950" t="n">
        <v>2018</v>
      </c>
      <c r="C1950" s="2" t="n">
        <v>43352.01612096064</v>
      </c>
      <c r="D1950" t="inlineStr">
        <is>
          <t>G1</t>
        </is>
      </c>
      <c r="E1950" t="inlineStr">
        <is>
          <t>VENEZUELANOS</t>
        </is>
      </c>
      <c r="F1950" t="inlineStr">
        <is>
          <t>RORAIMA</t>
        </is>
      </c>
      <c r="G1950" t="inlineStr">
        <is>
          <t>INAÊ BRANDÃO E VALÉRIA OLIVEIRA, G1 RR — BOA VISTA</t>
        </is>
      </c>
      <c r="H1950" t="inlineStr">
        <is>
          <t>'VIM PROCURÁ-LO E O ENCONTREI MORTO', DIZ IRMÃ DE VENEZUELANO LINCHADO POR BRASILEIROS EM RORAIMA</t>
        </is>
      </c>
      <c r="I1950" t="inlineStr">
        <is>
          <t>JOSE ANTONIO GONZALEZ, 19, FOI ASSASSINADO NA QUINTA (6), SUSPEITO DE MATAR BRASILEIRO COM FACADA. CORPO FOI LIBERADO NESTE SÁBADO (8), MAS SEGUE NO IML.</t>
        </is>
      </c>
      <c r="J1950" t="inlineStr"/>
      <c r="K1950" t="n">
        <v>0</v>
      </c>
      <c r="L1950" t="n">
        <v>1</v>
      </c>
      <c r="M1950" t="n">
        <v>0</v>
      </c>
      <c r="N1950" t="n">
        <v>0</v>
      </c>
      <c r="O1950" t="n">
        <v>26</v>
      </c>
      <c r="P1950">
        <f>HYPERLINK("https://g1.globo.com/rr/roraima/noticia/2018/09/08/vim-procura-lo-e-o-encontrei-morto-diz-irma-de-venezuelano-linchado-por-brasileiros-em-roraima.ghtml", "URL")</f>
        <v/>
      </c>
      <c r="Q1950">
        <f>HYPERLINK("https://raw.githubusercontent.com/marcosmapl/dataset_imigrantes/main/materias_filtered/g1/venezuelanos/2018/08_set/html/g1_d373970e-2306-11ed-b24f-6dbe51e79fca_2280.html", "HTML")</f>
        <v/>
      </c>
      <c r="R1950">
        <f>HYPERLINK("https://raw.githubusercontent.com/marcosmapl/dataset_imigrantes/main/materias_filtered/g1/venezuelanos/2018/08_set/txt/g1_d373970e-2306-11ed-b24f-6dbe51e79fca_2280.txt", "TXT")</f>
        <v/>
      </c>
    </row>
    <row r="1951">
      <c r="A1951" s="1" t="n">
        <v>1949</v>
      </c>
      <c r="B1951" t="n">
        <v>2018</v>
      </c>
      <c r="C1951" s="2" t="n">
        <v>43351.85903935185</v>
      </c>
      <c r="D1951" t="inlineStr">
        <is>
          <t>A CRITICA</t>
        </is>
      </c>
      <c r="E1951" t="inlineStr">
        <is>
          <t>VENEZUELANOS</t>
        </is>
      </c>
      <c r="F1951" t="inlineStr">
        <is>
          <t>OPINIAO</t>
        </is>
      </c>
      <c r="G1951" t="inlineStr"/>
      <c r="H1951" t="inlineStr">
        <is>
          <t>O RASTRO DA OMISSÃO</t>
        </is>
      </c>
      <c r="I1951" t="inlineStr"/>
      <c r="J1951" t="inlineStr"/>
      <c r="K1951" t="n">
        <v>0</v>
      </c>
      <c r="L1951" t="n">
        <v>1</v>
      </c>
      <c r="M1951" t="n">
        <v>0</v>
      </c>
      <c r="N1951" t="n">
        <v>0</v>
      </c>
      <c r="O1951" t="n">
        <v>0</v>
      </c>
      <c r="P1951">
        <f>HYPERLINK("https://www.acritica.com/opiniao/o-rastro-da-omiss-o-1.228840", "URL")</f>
        <v/>
      </c>
      <c r="Q1951">
        <f>HYPERLINK("https://raw.githubusercontent.com/marcosmapl/dataset_imigrantes/main/materias_filtered/a_critica/venezuelanos/2018/08_set/html/1.228840_992.html", "HTML")</f>
        <v/>
      </c>
      <c r="R1951">
        <f>HYPERLINK("https://raw.githubusercontent.com/marcosmapl/dataset_imigrantes/main/materias_filtered/a_critica/venezuelanos/2018/08_set/txt/1.228840_992.txt", "TXT")</f>
        <v/>
      </c>
    </row>
    <row r="1952">
      <c r="A1952" s="1" t="n">
        <v>1950</v>
      </c>
      <c r="B1952" t="n">
        <v>2018</v>
      </c>
      <c r="C1952" s="2" t="n">
        <v>43351.84929260417</v>
      </c>
      <c r="D1952" t="inlineStr">
        <is>
          <t>G1</t>
        </is>
      </c>
      <c r="E1952" t="inlineStr">
        <is>
          <t>VENEZUELANOS</t>
        </is>
      </c>
      <c r="F1952" t="inlineStr">
        <is>
          <t>RORAIMA</t>
        </is>
      </c>
      <c r="G1952" t="inlineStr">
        <is>
          <t>INAÊ BRANDÃO, VALÉRIA OLIVEIRA E EMILY COSTA, G1 RR — BOA VISTA</t>
        </is>
      </c>
      <c r="H1952" t="inlineStr">
        <is>
          <t>APÓS CORTEJO, CORPO DE BRASILEIRO ESFAQUEADO POR VENEZUELANO DURANTE CONFUSÃO É ENTERRADO EM BOA VISTA</t>
        </is>
      </c>
      <c r="I1952" t="inlineStr">
        <is>
          <t>MANOEL SIQUEIRA DE SOUZA, DE 35 ANOS,  FOI ASSASSINADO NA NOITE DE QUINTA-FEIRA (6). SUSPEITO DO CRIME, O VENEZUELANO JOSÉ ANTONIO GONZALEZ, 19, FOI LINCHADO ATÉ A MORTE POUCO DEPOIS.</t>
        </is>
      </c>
      <c r="J1952" t="inlineStr"/>
      <c r="K1952" t="n">
        <v>0</v>
      </c>
      <c r="L1952" t="n">
        <v>2</v>
      </c>
      <c r="M1952" t="n">
        <v>0</v>
      </c>
      <c r="N1952" t="n">
        <v>0</v>
      </c>
      <c r="O1952" t="n">
        <v>9</v>
      </c>
      <c r="P1952">
        <f>HYPERLINK("https://g1.globo.com/rr/roraima/noticia/2018/09/08/apos-cortejo-brasileiro-esfaqueado-por-venezuelano-durante-confusao-e-enterrado-em-boa-vista.ghtml", "URL")</f>
        <v/>
      </c>
      <c r="Q1952">
        <f>HYPERLINK("https://raw.githubusercontent.com/marcosmapl/dataset_imigrantes/main/materias_filtered/g1/venezuelanos/2018/08_set/html/g1_d97a3da2-2323-11ed-b24f-6dbe51e79fca_3832.html", "HTML")</f>
        <v/>
      </c>
      <c r="R1952">
        <f>HYPERLINK("https://raw.githubusercontent.com/marcosmapl/dataset_imigrantes/main/materias_filtered/g1/venezuelanos/2018/08_set/txt/g1_d97a3da2-2323-11ed-b24f-6dbe51e79fca_3832.txt", "TXT")</f>
        <v/>
      </c>
    </row>
    <row r="1953">
      <c r="A1953" s="1" t="n">
        <v>1951</v>
      </c>
      <c r="B1953" t="n">
        <v>2018</v>
      </c>
      <c r="C1953" s="2" t="n">
        <v>43351.75607638889</v>
      </c>
      <c r="D1953" t="inlineStr">
        <is>
          <t>A CRITICA</t>
        </is>
      </c>
      <c r="E1953" t="inlineStr">
        <is>
          <t>VENEZUELANOS</t>
        </is>
      </c>
      <c r="F1953" t="inlineStr"/>
      <c r="G1953" t="inlineStr">
        <is>
          <t>AFP</t>
        </is>
      </c>
      <c r="H1953" t="inlineStr">
        <is>
          <t>GIGANTE DOS PNEUS, PIRELLI ANUNCIA A VENDA DE SUAS ATIVIDADES NA VENEZUELA</t>
        </is>
      </c>
      <c r="I1953" t="inlineStr">
        <is>
          <t>EMPRESA DEIXA O PAÍS SUL-AMERICANO EM ACORDO COM GRUPO DE EMPRESÁRIOS E A SOMMERS INTERNATIONAL, QUE PREVÊ A MANUTENÇÃO DOS EMPREGOS</t>
        </is>
      </c>
      <c r="J1953" t="inlineStr"/>
      <c r="K1953" t="n">
        <v>0</v>
      </c>
      <c r="L1953" t="n">
        <v>1</v>
      </c>
      <c r="M1953" t="n">
        <v>0</v>
      </c>
      <c r="N1953" t="n">
        <v>0</v>
      </c>
      <c r="O1953" t="n">
        <v>0</v>
      </c>
      <c r="P1953">
        <f>HYPERLINK("https://www.acritica.com/gigante-dos-pneus-pirelli-anuncia-a-venda-de-suas-atividades-na-venezuela-1.93094", "URL")</f>
        <v/>
      </c>
      <c r="Q1953">
        <f>HYPERLINK("https://raw.githubusercontent.com/marcosmapl/dataset_imigrantes/main/materias_filtered/a_critica/venezuelanos/2018/08_set/html/1.93094_904.html", "HTML")</f>
        <v/>
      </c>
      <c r="R1953">
        <f>HYPERLINK("https://raw.githubusercontent.com/marcosmapl/dataset_imigrantes/main/materias_filtered/a_critica/venezuelanos/2018/08_set/txt/1.93094_904.txt", "TXT")</f>
        <v/>
      </c>
    </row>
    <row r="1954">
      <c r="A1954" s="1" t="n">
        <v>1952</v>
      </c>
      <c r="B1954" t="n">
        <v>2018</v>
      </c>
      <c r="C1954" s="2" t="n">
        <v>43351.57619506944</v>
      </c>
      <c r="D1954" t="inlineStr">
        <is>
          <t>G1</t>
        </is>
      </c>
      <c r="E1954" t="inlineStr">
        <is>
          <t>VENEZUELANOS</t>
        </is>
      </c>
      <c r="F1954" t="inlineStr">
        <is>
          <t>RORAIMA</t>
        </is>
      </c>
      <c r="G1954" t="inlineStr">
        <is>
          <t>G1 RR — BOA VISTA</t>
        </is>
      </c>
      <c r="H1954" t="inlineStr">
        <is>
          <t>VOCÊ VIU? SOBRINHO MATA TIO, IMIGRANTES EM ALDEIAS DE RR, MORTES DE BRASILEIRO E VENEZUELANO DURANTE CONFUSÃO E MAIS</t>
        </is>
      </c>
      <c r="I1954" t="inlineStr">
        <is>
          <t>VEJA AS PRINCIPAIS NOTÍCIAS PUBLICADAS ENTRE OS DIAS 2 DE AGOSTO E 7 DE SETEMBRO.</t>
        </is>
      </c>
      <c r="J1954" t="inlineStr"/>
      <c r="K1954" t="n">
        <v>0</v>
      </c>
      <c r="L1954" t="n">
        <v>2</v>
      </c>
      <c r="M1954" t="n">
        <v>0</v>
      </c>
      <c r="N1954" t="n">
        <v>0</v>
      </c>
      <c r="O1954" t="n">
        <v>22</v>
      </c>
      <c r="P1954">
        <f>HYPERLINK("https://g1.globo.com/rr/roraima/noticia/2018/09/08/voce-viu-sobrinho-mata-tio-imigrantes-em-aldeias-de-rr-mortes-de-brasileiro-e-venezuelano-durante-confusao-e-mais.ghtml", "URL")</f>
        <v/>
      </c>
      <c r="Q1954">
        <f>HYPERLINK("https://raw.githubusercontent.com/marcosmapl/dataset_imigrantes/main/materias_filtered/g1/venezuelanos/2018/08_set/html/g1_df0cd942-232c-11ed-b24f-6dbe51e79fca_4331.html", "HTML")</f>
        <v/>
      </c>
      <c r="R1954">
        <f>HYPERLINK("https://raw.githubusercontent.com/marcosmapl/dataset_imigrantes/main/materias_filtered/g1/venezuelanos/2018/08_set/txt/g1_df0cd942-232c-11ed-b24f-6dbe51e79fca_4331.txt", "TXT")</f>
        <v/>
      </c>
    </row>
    <row r="1955">
      <c r="A1955" s="1" t="n">
        <v>1953</v>
      </c>
      <c r="B1955" t="n">
        <v>2018</v>
      </c>
      <c r="C1955" s="2" t="n">
        <v>43351.0137718287</v>
      </c>
      <c r="D1955" t="inlineStr">
        <is>
          <t>G1</t>
        </is>
      </c>
      <c r="E1955" t="inlineStr">
        <is>
          <t>VENEZUELANOS</t>
        </is>
      </c>
      <c r="F1955" t="inlineStr">
        <is>
          <t>RORAIMA</t>
        </is>
      </c>
      <c r="G1955" t="inlineStr">
        <is>
          <t>EMILY COSTA, G1 RR — BOA VISTA</t>
        </is>
      </c>
      <c r="H1955" t="inlineStr">
        <is>
          <t>POLÍCIA CIVIL VAI INVESTIGAR ASSASSINATOS DE BRASILEIRO E VENEZUELANO DURANTE CONFUSÃO EM BOA VISTA</t>
        </is>
      </c>
      <c r="I1955" t="inlineStr">
        <is>
          <t>VENEZUELANO JOSE GONZALEZ, 19, FOI ESPANCADO ATÉ A MORTE DEPOIS DE ESFAQUEAR E MATAR O BRASILEIRO MANOEL SIQUEIRA DE SOUSA, 35, SEGUNDO A POLÍCIA MILITAR. IMIGRANTE TERIA FURTADO MERCADO E NA FUGA FOI CAPTURADO PELO BRASILEIRO; FORÇA NACIONAL E PM ATUAM EM ALERTA.</t>
        </is>
      </c>
      <c r="J1955" t="inlineStr"/>
      <c r="K1955" t="n">
        <v>0</v>
      </c>
      <c r="L1955" t="n">
        <v>2</v>
      </c>
      <c r="M1955" t="n">
        <v>1</v>
      </c>
      <c r="N1955" t="n">
        <v>0</v>
      </c>
      <c r="O1955" t="n">
        <v>10</v>
      </c>
      <c r="P1955">
        <f>HYPERLINK("https://g1.globo.com/rr/roraima/noticia/2018/09/07/policia-civil-vai-investigar-assassinatos-de-brasileiro-e-venezuelano-durante-confusao-em-boa-vista.ghtml", "URL")</f>
        <v/>
      </c>
      <c r="Q1955">
        <f>HYPERLINK("https://raw.githubusercontent.com/marcosmapl/dataset_imigrantes/main/materias_filtered/g1/venezuelanos/2018/08_set/html/g1_4608a3aa-2324-11ed-b24f-6dbe51e79fca_3860.html", "HTML")</f>
        <v/>
      </c>
      <c r="R1955">
        <f>HYPERLINK("https://raw.githubusercontent.com/marcosmapl/dataset_imigrantes/main/materias_filtered/g1/venezuelanos/2018/08_set/txt/g1_4608a3aa-2324-11ed-b24f-6dbe51e79fca_3860.txt", "TXT")</f>
        <v/>
      </c>
    </row>
    <row r="1956">
      <c r="A1956" s="1" t="n">
        <v>1954</v>
      </c>
      <c r="B1956" t="n">
        <v>2018</v>
      </c>
      <c r="C1956" s="2" t="n">
        <v>43350.95318841435</v>
      </c>
      <c r="D1956" t="inlineStr">
        <is>
          <t>G1</t>
        </is>
      </c>
      <c r="E1956" t="inlineStr">
        <is>
          <t>VENEZUELANOS</t>
        </is>
      </c>
      <c r="F1956" t="inlineStr">
        <is>
          <t>RORAIMA</t>
        </is>
      </c>
      <c r="G1956" t="inlineStr">
        <is>
          <t>INAÊ BRANDÃO E VALÉRIA OLIVEIRA, G1 RR — BOA VISTA</t>
        </is>
      </c>
      <c r="H1956" t="inlineStr">
        <is>
          <t>CORPO DE BRASILEIRO MORTO POR VENEZUELANO EM CONFUSÃO É VELADO EM CLIMA DE TENSÃO EM BOA VISTA</t>
        </is>
      </c>
      <c r="I1956" t="inlineStr">
        <is>
          <t>BRASILEIRO FOI MORTO NESTA QUINTA (6) POR VENEZUELANO SUSPEITO DE ROUBAR MERCADO NO JARDIM FLORESTA. IMIGRANTE FOI LINCHADO ATÉ A MORTE POR MORADORES. CLIMA NO BAIRRO É DE TENSÃO E A POLÍCIA CIVIL NÃO INFORMOU SE ABRIU INVESTIGAÇÃO.</t>
        </is>
      </c>
      <c r="J1956" t="inlineStr"/>
      <c r="K1956" t="n">
        <v>0</v>
      </c>
      <c r="L1956" t="n">
        <v>2</v>
      </c>
      <c r="M1956" t="n">
        <v>1</v>
      </c>
      <c r="N1956" t="n">
        <v>0</v>
      </c>
      <c r="O1956" t="n">
        <v>4</v>
      </c>
      <c r="P1956">
        <f>HYPERLINK("https://g1.globo.com/rr/roraima/noticia/2018/09/07/corpo-de-brasileiro-morto-por-venezuelano-em-confusao-e-velado-em-clima-de-tensao-em-boa-vista.ghtml", "URL")</f>
        <v/>
      </c>
      <c r="Q1956">
        <f>HYPERLINK("https://raw.githubusercontent.com/marcosmapl/dataset_imigrantes/main/materias_filtered/g1/venezuelanos/2018/08_set/html/g1_9b7e0e4a-230d-11ed-b24f-6dbe51e79fca_2697.html", "HTML")</f>
        <v/>
      </c>
      <c r="R1956">
        <f>HYPERLINK("https://raw.githubusercontent.com/marcosmapl/dataset_imigrantes/main/materias_filtered/g1/venezuelanos/2018/08_set/txt/g1_9b7e0e4a-230d-11ed-b24f-6dbe51e79fca_2697.txt", "TXT")</f>
        <v/>
      </c>
    </row>
    <row r="1957">
      <c r="A1957" s="1" t="n">
        <v>1955</v>
      </c>
      <c r="B1957" t="n">
        <v>2018</v>
      </c>
      <c r="C1957" s="2" t="n">
        <v>43350.28402777778</v>
      </c>
      <c r="D1957" t="inlineStr">
        <is>
          <t>A CRITICA</t>
        </is>
      </c>
      <c r="E1957" t="inlineStr">
        <is>
          <t>VENEZUELANOS</t>
        </is>
      </c>
      <c r="F1957" t="inlineStr">
        <is>
          <t>MANAUS</t>
        </is>
      </c>
      <c r="G1957" t="inlineStr">
        <is>
          <t>NELSON BRILHANTE</t>
        </is>
      </c>
      <c r="H1957" t="inlineStr">
        <is>
          <t>CÁRITAS DE MANAUS JÁ ATENDEU MAIS DE 3 MIL VENEZUELANOS QUE CRUZARAM A FRONTEIRA</t>
        </is>
      </c>
      <c r="I1957" t="inlineStr">
        <is>
          <t>INSTITUIÇÃO TEM BUSCADO ASSEGURAR APOIO SOCIAL E JURÍDICO PARA VENEZUELANOS QUE SOFRERAM DISCRIMINAÇÃO, EXPLORAÇÃO, ASSÉDIO MORAL E ATÉ SEXUAL DEVIDO CRISE NO PAÍS VIZINHO</t>
        </is>
      </c>
      <c r="J1957" t="inlineStr"/>
      <c r="K1957" t="n">
        <v>0</v>
      </c>
      <c r="L1957" t="n">
        <v>1</v>
      </c>
      <c r="M1957" t="n">
        <v>0</v>
      </c>
      <c r="N1957" t="n">
        <v>0</v>
      </c>
      <c r="O1957" t="n">
        <v>0</v>
      </c>
      <c r="P1957">
        <f>HYPERLINK("https://www.acritica.com/manaus/caritas-de-manaus-ja-atendeu-mais-de-3-mil-venezuelanos-que-cruzaram-a-fronteira-1.199336", "URL")</f>
        <v/>
      </c>
      <c r="Q1957">
        <f>HYPERLINK("https://raw.githubusercontent.com/marcosmapl/dataset_imigrantes/main/materias_filtered/a_critica/venezuelanos/2018/08_set/html/1.199336_795.html", "HTML")</f>
        <v/>
      </c>
      <c r="R1957">
        <f>HYPERLINK("https://raw.githubusercontent.com/marcosmapl/dataset_imigrantes/main/materias_filtered/a_critica/venezuelanos/2018/08_set/txt/1.199336_795.txt", "TXT")</f>
        <v/>
      </c>
    </row>
    <row r="1958">
      <c r="A1958" s="1" t="n">
        <v>1956</v>
      </c>
      <c r="B1958" t="n">
        <v>2018</v>
      </c>
      <c r="C1958" s="2" t="n">
        <v>43350.06300296296</v>
      </c>
      <c r="D1958" t="inlineStr">
        <is>
          <t>G1</t>
        </is>
      </c>
      <c r="E1958" t="inlineStr">
        <is>
          <t>VENEZUELANOS</t>
        </is>
      </c>
      <c r="F1958" t="inlineStr">
        <is>
          <t>RORAIMA</t>
        </is>
      </c>
      <c r="G1958" t="inlineStr">
        <is>
          <t>MARCELO MARQUES E VALÉRIA OLIVEIRA*, G1 RR — BOA VISTA</t>
        </is>
      </c>
      <c r="H1958" t="inlineStr">
        <is>
          <t>BRASILEIRO E VENEZUELANO MORREM APÓS CONFUSÃO POR SUSPEITA DE FURTO A MERCADO EM BOA VISTA</t>
        </is>
      </c>
      <c r="I1958" t="inlineStr">
        <is>
          <t>POLÍCIA MILITAR INFORMOU EM RELATÓRIO QUE CONFUSÃO FOI CAUSADA APÓS UM BRASILEIRO TENTAR EVITAR FURTO A UM MERCADO. VENEZUELANO FOI PERSEGUIDO E AO SER ALCANÇADO POR BRASILEIRO O GOLPEOU NO PESCOÇO COM UMA FACA; ELE TENTOU FUGIR, MAS FOI LINCHADO POR UM GRUPO DE BRASILEIROS, RELATOU A POLÍCIA.</t>
        </is>
      </c>
      <c r="J1958" t="inlineStr"/>
      <c r="K1958" t="n">
        <v>0</v>
      </c>
      <c r="L1958" t="n">
        <v>2</v>
      </c>
      <c r="M1958" t="n">
        <v>0</v>
      </c>
      <c r="N1958" t="n">
        <v>0</v>
      </c>
      <c r="O1958" t="n">
        <v>1</v>
      </c>
      <c r="P1958">
        <f>HYPERLINK("https://g1.globo.com/rr/roraima/noticia/2018/09/06/brasileiro-e-venezuelano-morrem-apos-confusao-em-boa-vista.ghtml", "URL")</f>
        <v/>
      </c>
      <c r="Q1958">
        <f>HYPERLINK("https://raw.githubusercontent.com/marcosmapl/dataset_imigrantes/main/materias_filtered/g1/venezuelanos/2018/08_set/html/g1_1487f550-2307-11ed-b24f-6dbe51e79fca_2296.html", "HTML")</f>
        <v/>
      </c>
      <c r="R1958">
        <f>HYPERLINK("https://raw.githubusercontent.com/marcosmapl/dataset_imigrantes/main/materias_filtered/g1/venezuelanos/2018/08_set/txt/g1_1487f550-2307-11ed-b24f-6dbe51e79fca_2296.txt", "TXT")</f>
        <v/>
      </c>
    </row>
    <row r="1959">
      <c r="A1959" s="1" t="n">
        <v>1957</v>
      </c>
      <c r="B1959" t="n">
        <v>2018</v>
      </c>
      <c r="C1959" s="2" t="n">
        <v>43349.54562395834</v>
      </c>
      <c r="D1959" t="inlineStr">
        <is>
          <t>G1</t>
        </is>
      </c>
      <c r="E1959" t="inlineStr">
        <is>
          <t>VENEZUELANOS</t>
        </is>
      </c>
      <c r="F1959" t="inlineStr">
        <is>
          <t>RIO GRANDE DO SUL</t>
        </is>
      </c>
      <c r="G1959" t="inlineStr">
        <is>
          <t>RBS TV</t>
        </is>
      </c>
      <c r="H1959" t="inlineStr">
        <is>
          <t>'NÃO HÁ PALAVRAS PARA EXPRESSAR O RECEBIMENTO DOS IRMÃOS BRASILEIROS', DIZ VENEZUELANO APÓS CHEGAR A ESTEIO</t>
        </is>
      </c>
      <c r="I1959" t="inlineStr">
        <is>
          <t>PRIMEIRO GRUPO DE IMIGRANTES ENCAMINHADO PELO GOVERNO FEDERAL CHEGOU AO MUNICÍPIO GAÚCHO NA NOITE DE QUARTA (5). ESTADO RECEBERÁ MAIS DE 600 ESTRANGEIROS.</t>
        </is>
      </c>
      <c r="J1959" t="inlineStr"/>
      <c r="K1959" t="n">
        <v>0</v>
      </c>
      <c r="L1959" t="n">
        <v>3</v>
      </c>
      <c r="M1959" t="n">
        <v>2</v>
      </c>
      <c r="N1959" t="n">
        <v>0</v>
      </c>
      <c r="O1959" t="n">
        <v>5</v>
      </c>
      <c r="P1959">
        <f>HYPERLINK("https://g1.globo.com/rs/rio-grande-do-sul/noticia/2018/09/06/nao-ha-palavras-para-expressar-o-recebimento-dos-irmaos-brasileiros-diz-venezuelano-apos-chegar-a-esteio.ghtml", "URL")</f>
        <v/>
      </c>
      <c r="Q1959">
        <f>HYPERLINK("https://raw.githubusercontent.com/marcosmapl/dataset_imigrantes/main/materias_filtered/g1/venezuelanos/2018/08_set/html/g1_f97af7d0-2306-11ed-b24f-6dbe51e79fca_2289.html", "HTML")</f>
        <v/>
      </c>
      <c r="R1959">
        <f>HYPERLINK("https://raw.githubusercontent.com/marcosmapl/dataset_imigrantes/main/materias_filtered/g1/venezuelanos/2018/08_set/txt/g1_f97af7d0-2306-11ed-b24f-6dbe51e79fca_2289.txt", "TXT")</f>
        <v/>
      </c>
    </row>
    <row r="1960">
      <c r="A1960" s="1" t="n">
        <v>1958</v>
      </c>
      <c r="B1960" t="n">
        <v>2018</v>
      </c>
      <c r="C1960" s="2" t="n">
        <v>43349.42804398148</v>
      </c>
      <c r="D1960" t="inlineStr">
        <is>
          <t>A CRITICA</t>
        </is>
      </c>
      <c r="E1960" t="inlineStr">
        <is>
          <t>VENEZUELANOS</t>
        </is>
      </c>
      <c r="F1960" t="inlineStr"/>
      <c r="G1960" t="inlineStr"/>
      <c r="H1960" t="inlineStr">
        <is>
          <t>ENERGIA VAI SUBIR ALÉM DO PREVISTO</t>
        </is>
      </c>
      <c r="I1960" t="inlineStr"/>
      <c r="J1960" t="inlineStr"/>
      <c r="K1960" t="n">
        <v>0</v>
      </c>
      <c r="L1960" t="n">
        <v>1</v>
      </c>
      <c r="M1960" t="n">
        <v>0</v>
      </c>
      <c r="N1960" t="n">
        <v>0</v>
      </c>
      <c r="O1960" t="n">
        <v>0</v>
      </c>
      <c r="P1960">
        <f>HYPERLINK("https://www.acritica.com/energia-vai-subir-alem-do-previsto-1.228859", "URL")</f>
        <v/>
      </c>
      <c r="Q1960">
        <f>HYPERLINK("https://raw.githubusercontent.com/marcosmapl/dataset_imigrantes/main/materias_filtered/a_critica/venezuelanos/2018/08_set/html/1.228859_464.html", "HTML")</f>
        <v/>
      </c>
      <c r="R1960">
        <f>HYPERLINK("https://raw.githubusercontent.com/marcosmapl/dataset_imigrantes/main/materias_filtered/a_critica/venezuelanos/2018/08_set/txt/1.228859_464.txt", "TXT")</f>
        <v/>
      </c>
    </row>
    <row r="1961">
      <c r="A1961" s="1" t="n">
        <v>1959</v>
      </c>
      <c r="B1961" t="n">
        <v>2018</v>
      </c>
      <c r="C1961" s="2" t="n">
        <v>43348.62746793981</v>
      </c>
      <c r="D1961" t="inlineStr">
        <is>
          <t>G1</t>
        </is>
      </c>
      <c r="E1961" t="inlineStr">
        <is>
          <t>VENEZUELANOS</t>
        </is>
      </c>
      <c r="F1961" t="inlineStr">
        <is>
          <t>RORAIMA</t>
        </is>
      </c>
      <c r="G1961" t="inlineStr">
        <is>
          <t>ALAN CHAVES*, G1 RR — BOA VISTA</t>
        </is>
      </c>
      <c r="H1961" t="inlineStr">
        <is>
          <t>VENEZUELANA GRÁVIDA É LEVADA DE RR PARA REENCONTRAR MARIDO EM SP: 'MUITO FELIZ'</t>
        </is>
      </c>
      <c r="I1961" t="inlineStr">
        <is>
          <t>ANAELIS RODULFO, 22, SERIA LEVADA NA SEMANA PASSADA COM O MARIDO, MAS TEVE DE FICAR NA CAPITAL POR NÃO TER FEITO PRÉ-NATAL. NESTA QUARTA (5), APÓS FAZER EXAMES, ELA EMBARCOU COM DESTINO A SÃO PAULO JUNTO COM OUTROS 203 REFUGIADOS.</t>
        </is>
      </c>
      <c r="J1961" t="inlineStr"/>
      <c r="K1961" t="n">
        <v>0</v>
      </c>
      <c r="L1961" t="n">
        <v>2</v>
      </c>
      <c r="M1961" t="n">
        <v>0</v>
      </c>
      <c r="N1961" t="n">
        <v>0</v>
      </c>
      <c r="O1961" t="n">
        <v>5</v>
      </c>
      <c r="P1961">
        <f>HYPERLINK("https://g1.globo.com/rr/roraima/noticia/2018/09/05/venezuelana-gravida-e-levada-de-rr-para-reencontrar-marido-em-sp-muito-feliz.ghtml", "URL")</f>
        <v/>
      </c>
      <c r="Q1961">
        <f>HYPERLINK("https://raw.githubusercontent.com/marcosmapl/dataset_imigrantes/main/materias_filtered/g1/venezuelanos/2018/08_set/html/g1_1798a0e0-231c-11ed-b24f-6dbe51e79fca_3428.html", "HTML")</f>
        <v/>
      </c>
      <c r="R1961">
        <f>HYPERLINK("https://raw.githubusercontent.com/marcosmapl/dataset_imigrantes/main/materias_filtered/g1/venezuelanos/2018/08_set/txt/g1_1798a0e0-231c-11ed-b24f-6dbe51e79fca_3428.txt", "TXT")</f>
        <v/>
      </c>
    </row>
    <row r="1962">
      <c r="A1962" s="1" t="n">
        <v>1960</v>
      </c>
      <c r="B1962" t="n">
        <v>2018</v>
      </c>
      <c r="C1962" s="2" t="n">
        <v>43348.53174768519</v>
      </c>
      <c r="D1962" t="inlineStr">
        <is>
          <t>A CRITICA</t>
        </is>
      </c>
      <c r="E1962" t="inlineStr">
        <is>
          <t>VENEZUELANOS</t>
        </is>
      </c>
      <c r="F1962" t="inlineStr"/>
      <c r="G1962" t="inlineStr">
        <is>
          <t>AFP</t>
        </is>
      </c>
      <c r="H1962" t="inlineStr">
        <is>
          <t>AMÉRICA LATINA PEDE A MADURO QUE ACEITE AJUDA HUMANITÁRIA PARA CONTER ÊXODO</t>
        </is>
      </c>
      <c r="I1962" t="inlineStr">
        <is>
          <t>APESAR DA INSISTÊNCIA DE CARACAS EM NEGAR AS DIMENSÕES DO FENÔMENO, OS DELEGADOS DE ONZE GOVERNOS REUNIDOS EM QUITO ASSINARAM UMA DECLARAÇÃO QUE PEDE QUE MADURO RECEBA A COOPERAÇÃO.</t>
        </is>
      </c>
      <c r="J1962" t="inlineStr"/>
      <c r="K1962" t="n">
        <v>0</v>
      </c>
      <c r="L1962" t="n">
        <v>1</v>
      </c>
      <c r="M1962" t="n">
        <v>0</v>
      </c>
      <c r="N1962" t="n">
        <v>0</v>
      </c>
      <c r="O1962" t="n">
        <v>0</v>
      </c>
      <c r="P1962">
        <f>HYPERLINK("https://www.acritica.com/america-latina-pede-a-maduro-que-aceite-ajuda-humanitaria-para-conter-exodo-1.197311", "URL")</f>
        <v/>
      </c>
      <c r="Q1962">
        <f>HYPERLINK("https://raw.githubusercontent.com/marcosmapl/dataset_imigrantes/main/materias_filtered/a_critica/venezuelanos/2018/08_set/html/1.197311_279.html", "HTML")</f>
        <v/>
      </c>
      <c r="R1962">
        <f>HYPERLINK("https://raw.githubusercontent.com/marcosmapl/dataset_imigrantes/main/materias_filtered/a_critica/venezuelanos/2018/08_set/txt/1.197311_279.txt", "TXT")</f>
        <v/>
      </c>
    </row>
    <row r="1963">
      <c r="A1963" s="1" t="n">
        <v>1961</v>
      </c>
      <c r="B1963" t="n">
        <v>2018</v>
      </c>
      <c r="C1963" s="2" t="n">
        <v>43348.04521148148</v>
      </c>
      <c r="D1963" t="inlineStr">
        <is>
          <t>G1</t>
        </is>
      </c>
      <c r="E1963" t="inlineStr">
        <is>
          <t>HAITIANOS</t>
        </is>
      </c>
      <c r="F1963" t="inlineStr">
        <is>
          <t>RIO GRANDE DO SUL</t>
        </is>
      </c>
      <c r="G1963" t="inlineStr">
        <is>
          <t>GUACIRA MERLIN, RBS TV</t>
        </is>
      </c>
      <c r="H1963" t="inlineStr">
        <is>
          <t>HAITIANOS BUSCAM SOLUÇÕES APÓS PERDEREM MORADIA EM REINTEGRAÇÃO DE POSSE, EM PORTO ALEGRE</t>
        </is>
      </c>
      <c r="I1963" t="inlineStr">
        <is>
          <t>OCUPAÇÃO PROGRESSO FOI DESOCUPADA NA MANHÃ DESTA TERÇA-FEIRA (3), E QUASE 100 FAMÍLIAS FORAM REMOVIDAS. HAITIANOS AFIRMAM TER COMPRADO IMÓVEIS NO LOCAL, SEM SABER QUE ERA IRREGULAR.</t>
        </is>
      </c>
      <c r="J1963" t="inlineStr"/>
      <c r="K1963" t="n">
        <v>0</v>
      </c>
      <c r="L1963" t="n">
        <v>1</v>
      </c>
      <c r="M1963" t="n">
        <v>1</v>
      </c>
      <c r="N1963" t="n">
        <v>0</v>
      </c>
      <c r="O1963" t="n">
        <v>1</v>
      </c>
      <c r="P1963">
        <f>HYPERLINK("https://g1.globo.com/rs/rio-grande-do-sul/noticia/2018/09/04/haitianos-buscam-solucoes-apos-perderem-moradia-em-reintegracao-de-posse-em-porto-alegre.ghtml", "URL")</f>
        <v/>
      </c>
      <c r="Q1963">
        <f>HYPERLINK("https://raw.githubusercontent.com/marcosmapl/dataset_imigrantes/main/materias_filtered/g1/haitianos/2018/08_set/html/g1_e96d8940-22fa-11ed-b24f-6dbe51e79fca_2250.html", "HTML")</f>
        <v/>
      </c>
      <c r="R1963">
        <f>HYPERLINK("https://raw.githubusercontent.com/marcosmapl/dataset_imigrantes/main/materias_filtered/g1/haitianos/2018/08_set/txt/g1_e96d8940-22fa-11ed-b24f-6dbe51e79fca_2250.txt", "TXT")</f>
        <v/>
      </c>
    </row>
    <row r="1964">
      <c r="A1964" s="1" t="n">
        <v>1962</v>
      </c>
      <c r="B1964" t="n">
        <v>2018</v>
      </c>
      <c r="C1964" s="2" t="n">
        <v>43347.84439814815</v>
      </c>
      <c r="D1964" t="inlineStr">
        <is>
          <t>A CRITICA</t>
        </is>
      </c>
      <c r="E1964" t="inlineStr">
        <is>
          <t>VENEZUELANOS</t>
        </is>
      </c>
      <c r="F1964" t="inlineStr">
        <is>
          <t>MANAUS</t>
        </is>
      </c>
      <c r="G1964" t="inlineStr">
        <is>
          <t>IZABEL GUEDES</t>
        </is>
      </c>
      <c r="H1964" t="inlineStr">
        <is>
          <t>VENEZUELANOS VINDOS DE RORAIMA DEVEM FICAR TRÊS MESES EM ABRIGO DE MANAUS</t>
        </is>
      </c>
      <c r="I1964" t="inlineStr">
        <is>
          <t>NO ABRIGO, O GRUPO DE 180 IMIGRANTES RECEBERÁ ASSISTÊNCIA SOCIAL, AULAS DE PORTUGUÊS E CURSOS PROFISSIONALIZANTES</t>
        </is>
      </c>
      <c r="J1964" t="inlineStr"/>
      <c r="K1964" t="n">
        <v>0</v>
      </c>
      <c r="L1964" t="n">
        <v>1</v>
      </c>
      <c r="M1964" t="n">
        <v>0</v>
      </c>
      <c r="N1964" t="n">
        <v>0</v>
      </c>
      <c r="O1964" t="n">
        <v>1</v>
      </c>
      <c r="P1964">
        <f>HYPERLINK("https://www.acritica.com/manaus/venezuelanos-vindos-de-roraima-devem-ficar-tres-meses-em-abrigo-de-manaus-1.197346", "URL")</f>
        <v/>
      </c>
      <c r="Q1964">
        <f>HYPERLINK("https://raw.githubusercontent.com/marcosmapl/dataset_imigrantes/main/materias_filtered/a_critica/venezuelanos/2018/08_set/html/1.197346_278.html", "HTML")</f>
        <v/>
      </c>
      <c r="R1964">
        <f>HYPERLINK("https://raw.githubusercontent.com/marcosmapl/dataset_imigrantes/main/materias_filtered/a_critica/venezuelanos/2018/08_set/txt/1.197346_278.txt", "TXT")</f>
        <v/>
      </c>
    </row>
    <row r="1965">
      <c r="A1965" s="1" t="n">
        <v>1963</v>
      </c>
      <c r="B1965" t="n">
        <v>2018</v>
      </c>
      <c r="C1965" s="2" t="n">
        <v>43347.64033564815</v>
      </c>
      <c r="D1965" t="inlineStr">
        <is>
          <t>A CRITICA</t>
        </is>
      </c>
      <c r="E1965" t="inlineStr">
        <is>
          <t>VENEZUELANOS</t>
        </is>
      </c>
      <c r="F1965" t="inlineStr"/>
      <c r="G1965" t="inlineStr">
        <is>
          <t>MARIETA CAZARRÉ (AGÊNCIA BRASIL)</t>
        </is>
      </c>
      <c r="H1965" t="inlineStr">
        <is>
          <t>VENEZUELANOS MORREM DE FRIO AO TENTAR CRUZAR CORDILHEIRA NA COLÔMBIA</t>
        </is>
      </c>
      <c r="I1965" t="inlineStr">
        <is>
          <t>FUGINDO DA CRISE NO PAÍS DE ORIGEM, OS IMIGRANTES ENFRENTAM NO LOCAL TEMPERATURAS MUITO BAIXAS QUE PODEM CHEGAR AOS 15 GRAUS NEGATIVOS</t>
        </is>
      </c>
      <c r="J1965" t="inlineStr"/>
      <c r="K1965" t="n">
        <v>0</v>
      </c>
      <c r="L1965" t="n">
        <v>1</v>
      </c>
      <c r="M1965" t="n">
        <v>0</v>
      </c>
      <c r="N1965" t="n">
        <v>0</v>
      </c>
      <c r="O1965" t="n">
        <v>0</v>
      </c>
      <c r="P1965">
        <f>HYPERLINK("https://www.acritica.com/venezuelanos-morrem-de-frio-ao-tentar-cruzar-cordilheira-na-colombia-1.197128", "URL")</f>
        <v/>
      </c>
      <c r="Q1965">
        <f>HYPERLINK("https://raw.githubusercontent.com/marcosmapl/dataset_imigrantes/main/materias_filtered/a_critica/venezuelanos/2018/08_set/html/1.197128_478.html", "HTML")</f>
        <v/>
      </c>
      <c r="R1965">
        <f>HYPERLINK("https://raw.githubusercontent.com/marcosmapl/dataset_imigrantes/main/materias_filtered/a_critica/venezuelanos/2018/08_set/txt/1.197128_478.txt", "TXT")</f>
        <v/>
      </c>
    </row>
    <row r="1966">
      <c r="A1966" s="1" t="n">
        <v>1964</v>
      </c>
      <c r="B1966" t="n">
        <v>2018</v>
      </c>
      <c r="C1966" s="2" t="n">
        <v>43347.49027777778</v>
      </c>
      <c r="D1966" t="inlineStr">
        <is>
          <t>PORTAL AMAZONIA</t>
        </is>
      </c>
      <c r="E1966" t="inlineStr">
        <is>
          <t>VENEZUELANOS</t>
        </is>
      </c>
      <c r="F1966" t="inlineStr">
        <is>
          <t>CIDADES</t>
        </is>
      </c>
      <c r="G1966" t="inlineStr">
        <is>
          <t>REDAÇÃO</t>
        </is>
      </c>
      <c r="H1966" t="inlineStr">
        <is>
          <t>NESTA TERÇA-FEIRA 180 IMIGRANTES VENEZUELANOS CHEGAM A MANAUS</t>
        </is>
      </c>
      <c r="I1966" t="inlineStr">
        <is>
          <t>ATENDENDO AO PROCESSO DE INTERIORIZAÇÃO DO GOVERNO FEDERAL, MANAUS RECEBERÁ NESTA TERÇA-FEIRA (4) MAIS 180 IMIGRANTES VENEZUELANOS VINDOS DE BOA VISTA (RR). ESSA É A TERCEIRA LEVA DE IMIGRANTES QUE CHEGA À CAPITAL DO AMAZONAS E A INICIATIVA BUSCA AJU</t>
        </is>
      </c>
      <c r="J1966" t="inlineStr">
        <is>
          <t>ABRIGOS VENEZUELANOS, IMIGRANTES VENEZUELANOS, INTERIORIZACAO IMIGRANTES, MANAUS</t>
        </is>
      </c>
      <c r="K1966" t="n">
        <v>4</v>
      </c>
      <c r="L1966" t="n">
        <v>1</v>
      </c>
      <c r="M1966" t="n">
        <v>0</v>
      </c>
      <c r="N1966" t="n">
        <v>0</v>
      </c>
      <c r="O1966" t="n">
        <v>9</v>
      </c>
      <c r="P1966">
        <f>HYPERLINK("https://portalamazonia.com/noticias/cidades/nesta-terca-feira-180-imigrantes-venezuelanos-chegam-a-manaus", "URL")</f>
        <v/>
      </c>
      <c r="Q1966">
        <f>HYPERLINK("https://raw.githubusercontent.com/marcosmapl/dataset_imigrantes/main/materias_filtered/portal_amazonia/venezuelanos/2018/08_set/html/15606.15606_1463.html", "HTML")</f>
        <v/>
      </c>
      <c r="R1966">
        <f>HYPERLINK("https://raw.githubusercontent.com/marcosmapl/dataset_imigrantes/main/materias_filtered/portal_amazonia/venezuelanos/2018/08_set/txt/15606.15606_1463.txt", "TXT")</f>
        <v/>
      </c>
    </row>
    <row r="1967">
      <c r="A1967" s="1" t="n">
        <v>1965</v>
      </c>
      <c r="B1967" t="n">
        <v>2018</v>
      </c>
      <c r="C1967" s="2" t="n">
        <v>43347.43877707176</v>
      </c>
      <c r="D1967" t="inlineStr">
        <is>
          <t>G1</t>
        </is>
      </c>
      <c r="E1967" t="inlineStr">
        <is>
          <t>HAITIANOS</t>
        </is>
      </c>
      <c r="F1967" t="inlineStr">
        <is>
          <t>RIO GRANDE DO SUL</t>
        </is>
      </c>
      <c r="G1967" t="inlineStr">
        <is>
          <t>G1 RS E RBS TV</t>
        </is>
      </c>
      <c r="H1967" t="inlineStr">
        <is>
          <t>AÇÃO DE REINTEGRAÇÃO DE POSSE RETIRA BRASILEIROS E HAITIANOS DE TERRENO NA ZONA NORTE DE PORTO ALEGRE</t>
        </is>
      </c>
      <c r="I1967" t="inlineStr">
        <is>
          <t>MAIS DE 100 FAMÍLIAS VIVIAM NO LOCAL HÁ QUATRO ANOS. MORADORES RELATAM QUE TENTAVAM NEGOCIAR COM OS PROPRIETÁRIOS DO TERRENO.</t>
        </is>
      </c>
      <c r="J1967" t="inlineStr"/>
      <c r="K1967" t="n">
        <v>0</v>
      </c>
      <c r="L1967" t="n">
        <v>2</v>
      </c>
      <c r="M1967" t="n">
        <v>2</v>
      </c>
      <c r="N1967" t="n">
        <v>0</v>
      </c>
      <c r="O1967" t="n">
        <v>0</v>
      </c>
      <c r="P1967">
        <f>HYPERLINK("https://g1.globo.com/rs/rio-grande-do-sul/noticia/2018/09/04/acao-de-reintegracao-de-posse-retira-brasileiros-e-haitianos-de-terreno-na-zona-norte-de-porto-alegre.ghtml", "URL")</f>
        <v/>
      </c>
      <c r="Q1967">
        <f>HYPERLINK("https://raw.githubusercontent.com/marcosmapl/dataset_imigrantes/main/materias_filtered/g1/haitianos/2018/08_set/html/g1_e0fef88c-22f7-11ed-b24f-6dbe51e79fca_2101.html", "HTML")</f>
        <v/>
      </c>
      <c r="R1967">
        <f>HYPERLINK("https://raw.githubusercontent.com/marcosmapl/dataset_imigrantes/main/materias_filtered/g1/haitianos/2018/08_set/txt/g1_e0fef88c-22f7-11ed-b24f-6dbe51e79fca_2101.txt", "TXT")</f>
        <v/>
      </c>
    </row>
    <row r="1968">
      <c r="A1968" s="1" t="n">
        <v>1966</v>
      </c>
      <c r="B1968" t="n">
        <v>2018</v>
      </c>
      <c r="C1968" s="2" t="n">
        <v>43346.97268892361</v>
      </c>
      <c r="D1968" t="inlineStr">
        <is>
          <t>G1</t>
        </is>
      </c>
      <c r="E1968" t="inlineStr">
        <is>
          <t>VENEZUELANOS</t>
        </is>
      </c>
      <c r="F1968" t="inlineStr">
        <is>
          <t>RORAIMA</t>
        </is>
      </c>
      <c r="G1968" t="inlineStr">
        <is>
          <t>MARCELO MARQUES, G1 RR</t>
        </is>
      </c>
      <c r="H1968" t="inlineStr">
        <is>
          <t>EX-DETENTO É PRESO SUSPEITO DE ROUBAR CELULAR DE VENEZUELANO EM BOA VISTA</t>
        </is>
      </c>
      <c r="I1968" t="inlineStr">
        <is>
          <t>SUSPEITO FOI PRESO APÓS SER RECONHECIDO PELA VÍTIMA. ROUBO DO CELULAR FOI HÁ UM MÊS.</t>
        </is>
      </c>
      <c r="J1968" t="inlineStr"/>
      <c r="K1968" t="n">
        <v>0</v>
      </c>
      <c r="L1968" t="n">
        <v>1</v>
      </c>
      <c r="M1968" t="n">
        <v>0</v>
      </c>
      <c r="N1968" t="n">
        <v>0</v>
      </c>
      <c r="O1968" t="n">
        <v>1</v>
      </c>
      <c r="P1968">
        <f>HYPERLINK("https://g1.globo.com/rr/roraima/noticia/2018/09/03/ex-detento-e-preso-suspeito-de-roubar-celular-de-venezuelano-em-boa-vista.ghtml", "URL")</f>
        <v/>
      </c>
      <c r="Q1968">
        <f>HYPERLINK("https://raw.githubusercontent.com/marcosmapl/dataset_imigrantes/main/materias_filtered/g1/venezuelanos/2018/08_set/html/g1_a4d55bf0-2309-11ed-b24f-6dbe51e79fca_2455.html", "HTML")</f>
        <v/>
      </c>
      <c r="R1968">
        <f>HYPERLINK("https://raw.githubusercontent.com/marcosmapl/dataset_imigrantes/main/materias_filtered/g1/venezuelanos/2018/08_set/txt/g1_a4d55bf0-2309-11ed-b24f-6dbe51e79fca_2455.txt", "TXT")</f>
        <v/>
      </c>
    </row>
    <row r="1969">
      <c r="A1969" s="1" t="n">
        <v>1967</v>
      </c>
      <c r="B1969" t="n">
        <v>2018</v>
      </c>
      <c r="C1969" s="2" t="n">
        <v>43346.93351351852</v>
      </c>
      <c r="D1969" t="inlineStr">
        <is>
          <t>G1</t>
        </is>
      </c>
      <c r="E1969" t="inlineStr">
        <is>
          <t>VENEZUELANOS</t>
        </is>
      </c>
      <c r="F1969" t="inlineStr">
        <is>
          <t>MUNDO</t>
        </is>
      </c>
      <c r="G1969" t="inlineStr">
        <is>
          <t>ERIC SAMSON, RFI — QUITO</t>
        </is>
      </c>
      <c r="H1969" t="inlineStr">
        <is>
          <t>PAÍSES DA AMÉRICA LATINA SE REÚNEM E DISCUTEM SOLUÇÕES PARA MIGRAÇÃO VENEZUELANA</t>
        </is>
      </c>
      <c r="I1969" t="inlineStr">
        <is>
          <t>TREZE PAÍSES DA AMÉRICA DO SUL, DA AMÉRICA CENTRAL E DO CARIBE CONFIRMARAM PRESENÇA PARA REUNIÃO EM QUITO, INCLUSIVE O BRASIL. ENTRE PROPOSTAS A SEREM DISCUTIDAS ESTÁ A CRIAÇÃO DE UM FUNDO E A UNIFICAÇÃO DE MEDIDAS EM RELAÇÃO AO VENEZUELANOS.</t>
        </is>
      </c>
      <c r="J1969" t="inlineStr"/>
      <c r="K1969" t="n">
        <v>0</v>
      </c>
      <c r="L1969" t="n">
        <v>1</v>
      </c>
      <c r="M1969" t="n">
        <v>0</v>
      </c>
      <c r="N1969" t="n">
        <v>0</v>
      </c>
      <c r="O1969" t="n">
        <v>0</v>
      </c>
      <c r="P1969">
        <f>HYPERLINK("https://g1.globo.com/mundo/noticia/2018/09/03/paises-da-america-latina-se-reunem-e-discutem-solucoes-para-migracao-venezuelana.ghtml", "URL")</f>
        <v/>
      </c>
      <c r="Q1969">
        <f>HYPERLINK("https://raw.githubusercontent.com/marcosmapl/dataset_imigrantes/main/materias_filtered/g1/venezuelanos/2018/08_set/html/g1_12fc2610-2308-11ed-b24f-6dbe51e79fca_2363.html", "HTML")</f>
        <v/>
      </c>
      <c r="R1969">
        <f>HYPERLINK("https://raw.githubusercontent.com/marcosmapl/dataset_imigrantes/main/materias_filtered/g1/venezuelanos/2018/08_set/txt/g1_12fc2610-2308-11ed-b24f-6dbe51e79fca_2363.txt", "TXT")</f>
        <v/>
      </c>
    </row>
    <row r="1970">
      <c r="A1970" s="1" t="n">
        <v>1968</v>
      </c>
      <c r="B1970" t="n">
        <v>2018</v>
      </c>
      <c r="C1970" s="2" t="n">
        <v>43346.86127314815</v>
      </c>
      <c r="D1970" t="inlineStr">
        <is>
          <t>A CRITICA</t>
        </is>
      </c>
      <c r="E1970" t="inlineStr">
        <is>
          <t>VENEZUELANOS</t>
        </is>
      </c>
      <c r="F1970" t="inlineStr">
        <is>
          <t>MANAUS</t>
        </is>
      </c>
      <c r="G1970" t="inlineStr">
        <is>
          <t>ACRÍTICA.COM</t>
        </is>
      </c>
      <c r="H1970" t="inlineStr">
        <is>
          <t>MANAUS RECEBE MAIS 180 VENEZUELANOS VINDOS DE RORAIMA NESTA TERÇA-FEIRA</t>
        </is>
      </c>
      <c r="I1970" t="inlineStr">
        <is>
          <t>ESSA É A TERCEIRA LEVA DE IMIGRANTES QUE CHEGA À CAPITAL DO AMAZONAS COMO PARTE DO PROCESSO DE INTERIORIZAÇÃO PROPOSTO PELO GOVERNO FEDERAL EM MEIO À CRISE EM RORAIMA</t>
        </is>
      </c>
      <c r="J1970" t="inlineStr"/>
      <c r="K1970" t="n">
        <v>0</v>
      </c>
      <c r="L1970" t="n">
        <v>1</v>
      </c>
      <c r="M1970" t="n">
        <v>0</v>
      </c>
      <c r="N1970" t="n">
        <v>0</v>
      </c>
      <c r="O1970" t="n">
        <v>0</v>
      </c>
      <c r="P1970">
        <f>HYPERLINK("https://www.acritica.com/manaus/manaus-recebe-mais-180-venezuelanos-vindos-de-roraima-nesta-terca-feira-1.197168", "URL")</f>
        <v/>
      </c>
      <c r="Q1970">
        <f>HYPERLINK("https://raw.githubusercontent.com/marcosmapl/dataset_imigrantes/main/materias_filtered/a_critica/venezuelanos/2018/08_set/html/1.197168_498.html", "HTML")</f>
        <v/>
      </c>
      <c r="R1970">
        <f>HYPERLINK("https://raw.githubusercontent.com/marcosmapl/dataset_imigrantes/main/materias_filtered/a_critica/venezuelanos/2018/08_set/txt/1.197168_498.txt", "TXT")</f>
        <v/>
      </c>
    </row>
    <row r="1971">
      <c r="A1971" s="1" t="n">
        <v>1969</v>
      </c>
      <c r="B1971" t="n">
        <v>2018</v>
      </c>
      <c r="C1971" s="2" t="n">
        <v>43345.89263766204</v>
      </c>
      <c r="D1971" t="inlineStr">
        <is>
          <t>G1</t>
        </is>
      </c>
      <c r="E1971" t="inlineStr">
        <is>
          <t>VENEZUELANOS</t>
        </is>
      </c>
      <c r="F1971" t="inlineStr">
        <is>
          <t>RORAIMA</t>
        </is>
      </c>
      <c r="G1971" t="inlineStr">
        <is>
          <t>EMILY COSTA, G1 RR — BOA VISTA</t>
        </is>
      </c>
      <c r="H1971" t="inlineStr">
        <is>
          <t>BRASILEIRO FURTA BICICLETA EM BOA VISTA, ACUSA VENEZUELANO, MAS ACABA PRESO E CONFESSA CRIME NA DELEGACIA</t>
        </is>
      </c>
      <c r="I1971" t="inlineStr">
        <is>
          <t>FURTO ACONTECEU NA PORTA DE MERCADO NO BAIRRO ALVORADA, ZONA OESTE, NA MANHÃ DESTE DOMINGO (2). SUSPEITO FOI AMARRADO E AGREDIDO POR POPULARES ATÉ A CHEGADA DA PM.</t>
        </is>
      </c>
      <c r="J1971" t="inlineStr"/>
      <c r="K1971" t="n">
        <v>0</v>
      </c>
      <c r="L1971" t="n">
        <v>1</v>
      </c>
      <c r="M1971" t="n">
        <v>0</v>
      </c>
      <c r="N1971" t="n">
        <v>0</v>
      </c>
      <c r="O1971" t="n">
        <v>1</v>
      </c>
      <c r="P1971">
        <f>HYPERLINK("https://g1.globo.com/rr/roraima/noticia/2018/09/02/brasileiro-furta-bicicleta-em-boa-vista-acusa-venezuelano-mas-acaba-preso-e-confessa-crime-na-delegacia.ghtml", "URL")</f>
        <v/>
      </c>
      <c r="Q1971">
        <f>HYPERLINK("https://raw.githubusercontent.com/marcosmapl/dataset_imigrantes/main/materias_filtered/g1/venezuelanos/2018/08_set/html/g1_c2c3f862-232a-11ed-b24f-6dbe51e79fca_4201.html", "HTML")</f>
        <v/>
      </c>
      <c r="R1971">
        <f>HYPERLINK("https://raw.githubusercontent.com/marcosmapl/dataset_imigrantes/main/materias_filtered/g1/venezuelanos/2018/08_set/txt/g1_c2c3f862-232a-11ed-b24f-6dbe51e79fca_4201.txt", "TXT")</f>
        <v/>
      </c>
    </row>
    <row r="1972">
      <c r="A1972" s="1" t="n">
        <v>1970</v>
      </c>
      <c r="B1972" t="n">
        <v>2018</v>
      </c>
      <c r="C1972" s="2" t="n">
        <v>43344.79375</v>
      </c>
      <c r="D1972" t="inlineStr">
        <is>
          <t>A CRITICA</t>
        </is>
      </c>
      <c r="E1972" t="inlineStr">
        <is>
          <t>VENEZUELANOS</t>
        </is>
      </c>
      <c r="F1972" t="inlineStr">
        <is>
          <t>ENTRETENIMENTO</t>
        </is>
      </c>
      <c r="G1972" t="inlineStr">
        <is>
          <t>PAULO ANDRÉ NUNES</t>
        </is>
      </c>
      <c r="H1972" t="inlineStr">
        <is>
          <t>LIVRO VAI MOSTRAR O DRAMA DOS VENEZUELANOS EM BOA VISTA E A SITUAÇÃO DE QUEM OS AJUDA</t>
        </is>
      </c>
      <c r="I1972" t="inlineStr">
        <is>
          <t>“OPERAÇÃO ACOLHIDA - A CRISE DOS REFUGIADOS VENEZUELANOS”, DA AUTORA MARIA LIMA, PRETENDE SER UM COMOVENTE RELATO DO TRABALHO HUMANITÁRIO DESENVOLVIDO PELOS MILITARES E ORGANIZAÇÕES DA SOCIEDADE CIVIL NA CAPITAL RORAIMENSE</t>
        </is>
      </c>
      <c r="J1972" t="inlineStr"/>
      <c r="K1972" t="n">
        <v>0</v>
      </c>
      <c r="L1972" t="n">
        <v>1</v>
      </c>
      <c r="M1972" t="n">
        <v>0</v>
      </c>
      <c r="N1972" t="n">
        <v>0</v>
      </c>
      <c r="O1972" t="n">
        <v>0</v>
      </c>
      <c r="P1972">
        <f>HYPERLINK("https://www.acritica.com/entretenimento/livro-vai-mostrar-o-drama-dos-venezuelanos-em-boa-vista-e-a-situac-o-de-quem-os-ajuda-1.197043", "URL")</f>
        <v/>
      </c>
      <c r="Q1972">
        <f>HYPERLINK("https://raw.githubusercontent.com/marcosmapl/dataset_imigrantes/main/materias_filtered/a_critica/venezuelanos/2018/08_set/html/1.197043_693.html", "HTML")</f>
        <v/>
      </c>
      <c r="R1972">
        <f>HYPERLINK("https://raw.githubusercontent.com/marcosmapl/dataset_imigrantes/main/materias_filtered/a_critica/venezuelanos/2018/08_set/txt/1.197043_693.txt", "TXT")</f>
        <v/>
      </c>
    </row>
    <row r="1973">
      <c r="A1973" s="1" t="n">
        <v>1971</v>
      </c>
      <c r="B1973" t="n">
        <v>2018</v>
      </c>
      <c r="C1973" s="2" t="n">
        <v>43344.7762037963</v>
      </c>
      <c r="D1973" t="inlineStr">
        <is>
          <t>G1</t>
        </is>
      </c>
      <c r="E1973" t="inlineStr">
        <is>
          <t>VENEZUELANOS</t>
        </is>
      </c>
      <c r="F1973" t="inlineStr">
        <is>
          <t>RORAIMA</t>
        </is>
      </c>
      <c r="G1973" t="inlineStr">
        <is>
          <t>MARCELO MARQUES, G1 RR</t>
        </is>
      </c>
      <c r="H1973" t="inlineStr">
        <is>
          <t>VENEZUELANO MORADOR DE RUA É MORTO A TIROS E GOLPES DE FACÃO EM CIDADE NO INTERIOR DE RORAIMA</t>
        </is>
      </c>
      <c r="I1973" t="inlineStr">
        <is>
          <t>VÍTIMA AINDA NÃO FOI IDENTIFICADA. TESTEMUNHAS DISSERAM À PM QUE DOIS HOMENS FORAM VISTOS NO LOCAL DO CRIME; NINGUÉM FOI PRESO.</t>
        </is>
      </c>
      <c r="J1973" t="inlineStr"/>
      <c r="K1973" t="n">
        <v>0</v>
      </c>
      <c r="L1973" t="n">
        <v>1</v>
      </c>
      <c r="M1973" t="n">
        <v>0</v>
      </c>
      <c r="N1973" t="n">
        <v>0</v>
      </c>
      <c r="O1973" t="n">
        <v>1</v>
      </c>
      <c r="P1973">
        <f>HYPERLINK("https://g1.globo.com/rr/roraima/noticia/2018/09/01/venezuelano-morador-de-rua-e-morto-a-tiros-e-golpes-de-facao-em-cidade-no-interior-de-roraima.ghtml", "URL")</f>
        <v/>
      </c>
      <c r="Q1973">
        <f>HYPERLINK("https://raw.githubusercontent.com/marcosmapl/dataset_imigrantes/main/materias_filtered/g1/venezuelanos/2018/08_set/html/g1_d50b9784-231e-11ed-b24f-6dbe51e79fca_3587.html", "HTML")</f>
        <v/>
      </c>
      <c r="R1973">
        <f>HYPERLINK("https://raw.githubusercontent.com/marcosmapl/dataset_imigrantes/main/materias_filtered/g1/venezuelanos/2018/08_set/txt/g1_d50b9784-231e-11ed-b24f-6dbe51e79fca_3587.txt", "TXT")</f>
        <v/>
      </c>
    </row>
    <row r="1974">
      <c r="A1974" s="1" t="n">
        <v>1972</v>
      </c>
      <c r="B1974" t="n">
        <v>2018</v>
      </c>
      <c r="C1974" s="2" t="n">
        <v>43343.49665509259</v>
      </c>
      <c r="D1974" t="inlineStr">
        <is>
          <t>A CRITICA</t>
        </is>
      </c>
      <c r="E1974" t="inlineStr">
        <is>
          <t>VENEZUELANOS</t>
        </is>
      </c>
      <c r="F1974" t="inlineStr">
        <is>
          <t>OPINIAO</t>
        </is>
      </c>
      <c r="G1974" t="inlineStr"/>
      <c r="H1974" t="inlineStr">
        <is>
          <t>DILEMA EM OCUPAÇÃO INDÍGENA NO ‘CEMITÉRIO DE ÍNDIOS’</t>
        </is>
      </c>
      <c r="I1974" t="inlineStr"/>
      <c r="J1974" t="inlineStr"/>
      <c r="K1974" t="n">
        <v>0</v>
      </c>
      <c r="L1974" t="n">
        <v>1</v>
      </c>
      <c r="M1974" t="n">
        <v>0</v>
      </c>
      <c r="N1974" t="n">
        <v>0</v>
      </c>
      <c r="O1974" t="n">
        <v>0</v>
      </c>
      <c r="P1974">
        <f>HYPERLINK("https://www.acritica.com/opiniao/dilema-em-ocupac-o-indigena-no-cemiterio-de-indios-1.228866", "URL")</f>
        <v/>
      </c>
      <c r="Q1974">
        <f>HYPERLINK("https://raw.githubusercontent.com/marcosmapl/dataset_imigrantes/main/materias_filtered/a_critica/venezuelanos/2018/07_ago/html/1.228866_135.html", "HTML")</f>
        <v/>
      </c>
      <c r="R1974">
        <f>HYPERLINK("https://raw.githubusercontent.com/marcosmapl/dataset_imigrantes/main/materias_filtered/a_critica/venezuelanos/2018/07_ago/txt/1.228866_135.txt", "TXT")</f>
        <v/>
      </c>
    </row>
    <row r="1975">
      <c r="A1975" s="1" t="n">
        <v>1973</v>
      </c>
      <c r="B1975" t="n">
        <v>2018</v>
      </c>
      <c r="C1975" s="2" t="n">
        <v>43342.64914351852</v>
      </c>
      <c r="D1975" t="inlineStr">
        <is>
          <t>A CRITICA</t>
        </is>
      </c>
      <c r="E1975" t="inlineStr">
        <is>
          <t>VENEZUELANOS</t>
        </is>
      </c>
      <c r="F1975" t="inlineStr"/>
      <c r="G1975" t="inlineStr">
        <is>
          <t>AGÊNCIA BRASIL</t>
        </is>
      </c>
      <c r="H1975" t="inlineStr">
        <is>
          <t>PAÍSES PEDEM À VENEZUELA QUE FACILITE A SAÍDA DE QUEM QUER DEIXAR O PAÍS</t>
        </is>
      </c>
      <c r="I1975" t="inlineStr">
        <is>
          <t>BOLÍVIA, EQUADOR, COLÔMBIA E PERU APELARAM À VENEZUELA PARA QUE FACILITE A EMISSÃO DE DOCUMENTOS PARA OS CIDADÃOS QUE QUEIRAM DEIXAR O PAÍS</t>
        </is>
      </c>
      <c r="J1975" t="inlineStr"/>
      <c r="K1975" t="n">
        <v>0</v>
      </c>
      <c r="L1975" t="n">
        <v>1</v>
      </c>
      <c r="M1975" t="n">
        <v>0</v>
      </c>
      <c r="N1975" t="n">
        <v>0</v>
      </c>
      <c r="O1975" t="n">
        <v>0</v>
      </c>
      <c r="P1975">
        <f>HYPERLINK("https://www.acritica.com/paises-pedem-a-venezuela-que-facilite-a-saida-de-quem-quer-deixar-o-pais-1.196929", "URL")</f>
        <v/>
      </c>
      <c r="Q1975">
        <f>HYPERLINK("https://raw.githubusercontent.com/marcosmapl/dataset_imigrantes/main/materias_filtered/a_critica/venezuelanos/2018/07_ago/html/1.196929_1255.html", "HTML")</f>
        <v/>
      </c>
      <c r="R1975">
        <f>HYPERLINK("https://raw.githubusercontent.com/marcosmapl/dataset_imigrantes/main/materias_filtered/a_critica/venezuelanos/2018/07_ago/txt/1.196929_1255.txt", "TXT")</f>
        <v/>
      </c>
    </row>
    <row r="1976">
      <c r="A1976" s="1" t="n">
        <v>1974</v>
      </c>
      <c r="B1976" t="n">
        <v>2018</v>
      </c>
      <c r="C1976" s="2" t="n">
        <v>43342.42978009259</v>
      </c>
      <c r="D1976" t="inlineStr">
        <is>
          <t>A CRITICA</t>
        </is>
      </c>
      <c r="E1976" t="inlineStr">
        <is>
          <t>VENEZUELANOS</t>
        </is>
      </c>
      <c r="F1976" t="inlineStr"/>
      <c r="G1976" t="inlineStr"/>
      <c r="H1976" t="inlineStr">
        <is>
          <t>NUNCA ANTES NA HISTÓRIA DO SENADO...</t>
        </is>
      </c>
      <c r="I1976" t="inlineStr"/>
      <c r="J1976" t="inlineStr"/>
      <c r="K1976" t="n">
        <v>0</v>
      </c>
      <c r="L1976" t="n">
        <v>1</v>
      </c>
      <c r="M1976" t="n">
        <v>0</v>
      </c>
      <c r="N1976" t="n">
        <v>0</v>
      </c>
      <c r="O1976" t="n">
        <v>0</v>
      </c>
      <c r="P1976">
        <f>HYPERLINK("https://www.acritica.com/nunca-antes-na-historia-do-senado-1.228874", "URL")</f>
        <v/>
      </c>
      <c r="Q1976">
        <f>HYPERLINK("https://raw.githubusercontent.com/marcosmapl/dataset_imigrantes/main/materias_filtered/a_critica/venezuelanos/2018/07_ago/html/1.228874_300.html", "HTML")</f>
        <v/>
      </c>
      <c r="R1976">
        <f>HYPERLINK("https://raw.githubusercontent.com/marcosmapl/dataset_imigrantes/main/materias_filtered/a_critica/venezuelanos/2018/07_ago/txt/1.228874_300.txt", "TXT")</f>
        <v/>
      </c>
    </row>
    <row r="1977">
      <c r="A1977" s="1" t="n">
        <v>1975</v>
      </c>
      <c r="B1977" t="n">
        <v>2018</v>
      </c>
      <c r="C1977" s="2" t="n">
        <v>43342.06750847222</v>
      </c>
      <c r="D1977" t="inlineStr">
        <is>
          <t>G1</t>
        </is>
      </c>
      <c r="E1977" t="inlineStr">
        <is>
          <t>VENEZUELANOS</t>
        </is>
      </c>
      <c r="F1977" t="inlineStr">
        <is>
          <t>PARAÍBA</t>
        </is>
      </c>
      <c r="G1977" t="inlineStr">
        <is>
          <t>PLÍNIO ALMEIDA, TV CABO BRANCO</t>
        </is>
      </c>
      <c r="H1977" t="inlineStr">
        <is>
          <t>'ESTAMOS AQUI PARA MELHORAR NOSSAS VIDAS', DIZ VENEZUELANA EM JOÃO PESSOA</t>
        </is>
      </c>
      <c r="I1977" t="inlineStr">
        <is>
          <t>AO TODO, 69 VENEZUELANOS CHEGARAM A JOÃO PESSOA NA TERÇA-FEIRA (28), VINDOS DE RORAIMA.</t>
        </is>
      </c>
      <c r="J1977" t="inlineStr"/>
      <c r="K1977" t="n">
        <v>0</v>
      </c>
      <c r="L1977" t="n">
        <v>2</v>
      </c>
      <c r="M1977" t="n">
        <v>1</v>
      </c>
      <c r="N1977" t="n">
        <v>0</v>
      </c>
      <c r="O1977" t="n">
        <v>2</v>
      </c>
      <c r="P1977">
        <f>HYPERLINK("https://g1.globo.com/pb/paraiba/noticia/2018/08/29/estamos-aqui-para-melhorar-nossas-vidas-diz-venezuelana-em-joao-pessoa.ghtml", "URL")</f>
        <v/>
      </c>
      <c r="Q1977">
        <f>HYPERLINK("https://raw.githubusercontent.com/marcosmapl/dataset_imigrantes/main/materias_filtered/g1/venezuelanos/2018/07_ago/html/g1_330b1b7c-232c-11ed-b24f-6dbe51e79fca_4291.html", "HTML")</f>
        <v/>
      </c>
      <c r="R1977">
        <f>HYPERLINK("https://raw.githubusercontent.com/marcosmapl/dataset_imigrantes/main/materias_filtered/g1/venezuelanos/2018/07_ago/txt/g1_330b1b7c-232c-11ed-b24f-6dbe51e79fca_4291.txt", "TXT")</f>
        <v/>
      </c>
    </row>
    <row r="1978">
      <c r="A1978" s="1" t="n">
        <v>1976</v>
      </c>
      <c r="B1978" t="n">
        <v>2018</v>
      </c>
      <c r="C1978" s="2" t="n">
        <v>43341.88637731481</v>
      </c>
      <c r="D1978" t="inlineStr">
        <is>
          <t>A CRITICA</t>
        </is>
      </c>
      <c r="E1978" t="inlineStr">
        <is>
          <t>VENEZUELANOS</t>
        </is>
      </c>
      <c r="F1978" t="inlineStr"/>
      <c r="G1978" t="inlineStr">
        <is>
          <t>AFP</t>
        </is>
      </c>
      <c r="H1978" t="inlineStr">
        <is>
          <t>OEA CONVOCA SESSÃO EXTRAORDINÁRIA SOBRE CRISE MIGRATÓRIA GERADA PELA VENEZUELA</t>
        </is>
      </c>
      <c r="I1978" t="inlineStr">
        <is>
          <t>A VENEZUELA, AFUNDADA EM UMA GRAVÍSSIMA CRISE ECONÔMICA COM HIPERINFLAÇÃO E ESCASSEZ DE TODOS OS TIPOS DE BENS E SERVIÇOS, VIU NOS ÚLTIMOS MESES UM ÊXODO MACIÇO DE SUA POPULAÇÃO</t>
        </is>
      </c>
      <c r="J1978" t="inlineStr"/>
      <c r="K1978" t="n">
        <v>0</v>
      </c>
      <c r="L1978" t="n">
        <v>1</v>
      </c>
      <c r="M1978" t="n">
        <v>0</v>
      </c>
      <c r="N1978" t="n">
        <v>0</v>
      </c>
      <c r="O1978" t="n">
        <v>0</v>
      </c>
      <c r="P1978">
        <f>HYPERLINK("https://www.acritica.com/oea-convoca-sess-o-extraordinaria-sobre-crise-migratoria-gerada-pela-venezuela-1.196714", "URL")</f>
        <v/>
      </c>
      <c r="Q1978">
        <f>HYPERLINK("https://raw.githubusercontent.com/marcosmapl/dataset_imigrantes/main/materias_filtered/a_critica/venezuelanos/2018/07_ago/html/1.196714_541.html", "HTML")</f>
        <v/>
      </c>
      <c r="R1978">
        <f>HYPERLINK("https://raw.githubusercontent.com/marcosmapl/dataset_imigrantes/main/materias_filtered/a_critica/venezuelanos/2018/07_ago/txt/1.196714_541.txt", "TXT")</f>
        <v/>
      </c>
    </row>
    <row r="1979">
      <c r="A1979" s="1" t="n">
        <v>1977</v>
      </c>
      <c r="B1979" t="n">
        <v>2018</v>
      </c>
      <c r="C1979" s="2" t="n">
        <v>43341.87708333333</v>
      </c>
      <c r="D1979" t="inlineStr">
        <is>
          <t>PORTAL AMAZONIA</t>
        </is>
      </c>
      <c r="E1979" t="inlineStr">
        <is>
          <t>VENEZUELANOS</t>
        </is>
      </c>
      <c r="F1979" t="inlineStr">
        <is>
          <t>CIDADES</t>
        </is>
      </c>
      <c r="G1979" t="inlineStr">
        <is>
          <t>REDAÇÃO</t>
        </is>
      </c>
      <c r="H1979" t="inlineStr">
        <is>
          <t>GOVERNO DESCARTA USO DE SENHAS NA FRONTEIRA COM A VENEZUELA</t>
        </is>
      </c>
      <c r="I1979" t="inlineStr">
        <is>
          <t>A PRESIDÊNCIA DA REPÚBLICA INFORMOU NESTA QUARTA-FEIRA (29) QUE O GOVERNO NÃO PRETENDE LIMITAR O INGRESSO DE VENEZUELANOS, POR RORAIMA, A PARTIR DA DISTRIBUIÇÃO DE SENHAS. TAMBÉM NEGOU A POSSIBILIDADE DE FECHAMENTO DA FR</t>
        </is>
      </c>
      <c r="J1979" t="inlineStr">
        <is>
          <t>CRISE MIGRATORIA, IMIGRANTES, IMIGRANTES VENEZUELANOS, INTERNACIONAL, MICHEL TEMER, PACARAIMA, PRESIDENTE, VENEZUELA</t>
        </is>
      </c>
      <c r="K1979" t="n">
        <v>8</v>
      </c>
      <c r="L1979" t="n">
        <v>2</v>
      </c>
      <c r="M1979" t="n">
        <v>0</v>
      </c>
      <c r="N1979" t="n">
        <v>0</v>
      </c>
      <c r="O1979" t="n">
        <v>13</v>
      </c>
      <c r="P1979">
        <f>HYPERLINK("https://portalamazonia.com/noticias/cidades/governo-descarta-uso-de-senhas-na-fronteira-com-a-venezuela", "URL")</f>
        <v/>
      </c>
      <c r="Q1979">
        <f>HYPERLINK("https://raw.githubusercontent.com/marcosmapl/dataset_imigrantes/main/materias_filtered/portal_amazonia/venezuelanos/2018/07_ago/html/15572.15572_1563.html", "HTML")</f>
        <v/>
      </c>
      <c r="R1979">
        <f>HYPERLINK("https://raw.githubusercontent.com/marcosmapl/dataset_imigrantes/main/materias_filtered/portal_amazonia/venezuelanos/2018/07_ago/txt/15572.15572_1563.txt", "TXT")</f>
        <v/>
      </c>
    </row>
    <row r="1980">
      <c r="A1980" s="1" t="n">
        <v>1978</v>
      </c>
      <c r="B1980" t="n">
        <v>2018</v>
      </c>
      <c r="C1980" s="2" t="n">
        <v>43341.86458333334</v>
      </c>
      <c r="D1980" t="inlineStr">
        <is>
          <t>PORTAL AMAZONIA</t>
        </is>
      </c>
      <c r="E1980" t="inlineStr">
        <is>
          <t>VENEZUELANOS</t>
        </is>
      </c>
      <c r="F1980" t="inlineStr">
        <is>
          <t>CIDADES</t>
        </is>
      </c>
      <c r="G1980" t="inlineStr">
        <is>
          <t>REDAÇÃO</t>
        </is>
      </c>
      <c r="H1980" t="inlineStr">
        <is>
          <t>GOVERNO ESTUDA ADOTAR SENHAS PARA LIMITAR ENTRADA DE VENEZUELANOS</t>
        </is>
      </c>
      <c r="I1980" t="inlineStr">
        <is>
          <t>O GOVERNO BRASILEIRO PODERÁ ADOTAR O USO DE SENHAS PARA LIMITAR A ENTRADA DE IMIGRANTES VENEZUELANOS NO PAÍS. A INFORMAÇÃO FOI DADA PELO PRESIDENTE MICHEL TEMER NA MANHÃ DESTA QUARTA-FEIRA (29), EM EN</t>
        </is>
      </c>
      <c r="J1980" t="inlineStr">
        <is>
          <t>AMAZÔNIA INTERNACIONAL, CRISE MIGRATORIA, IMIGRANTES, IMIGRANTES VENEZUELANOS, INTERNACIONAL, MICHEL TEMER, PACARAIMA, RORAIMA, VENEZUELA, VENEZUELANOS</t>
        </is>
      </c>
      <c r="K1980" t="n">
        <v>10</v>
      </c>
      <c r="L1980" t="n">
        <v>2</v>
      </c>
      <c r="M1980" t="n">
        <v>0</v>
      </c>
      <c r="N1980" t="n">
        <v>0</v>
      </c>
      <c r="O1980" t="n">
        <v>15</v>
      </c>
      <c r="P1980">
        <f>HYPERLINK("https://portalamazonia.com/noticias/cidades/governo-estuda-adotar-senhas-para-limitar-entrada-de-venezuelanos", "URL")</f>
        <v/>
      </c>
      <c r="Q1980">
        <f>HYPERLINK("https://raw.githubusercontent.com/marcosmapl/dataset_imigrantes/main/materias_filtered/portal_amazonia/venezuelanos/2018/07_ago/html/15571.15571_1486.html", "HTML")</f>
        <v/>
      </c>
      <c r="R1980">
        <f>HYPERLINK("https://raw.githubusercontent.com/marcosmapl/dataset_imigrantes/main/materias_filtered/portal_amazonia/venezuelanos/2018/07_ago/txt/15571.15571_1486.txt", "TXT")</f>
        <v/>
      </c>
    </row>
    <row r="1981">
      <c r="A1981" s="1" t="n">
        <v>1979</v>
      </c>
      <c r="B1981" t="n">
        <v>2018</v>
      </c>
      <c r="C1981" s="2" t="n">
        <v>43341.71716435185</v>
      </c>
      <c r="D1981" t="inlineStr">
        <is>
          <t>A CRITICA</t>
        </is>
      </c>
      <c r="E1981" t="inlineStr">
        <is>
          <t>VENEZUELANOS</t>
        </is>
      </c>
      <c r="F1981" t="inlineStr"/>
      <c r="G1981" t="inlineStr">
        <is>
          <t>PEDRO PEDUZZI (AGÊNCIA BRASIL)</t>
        </is>
      </c>
      <c r="H1981" t="inlineStr">
        <is>
          <t>GOVERNO COGITA LIMITAR A ENTRADA DE VENEZUELANOS NO BRASIL POR RORAIMA</t>
        </is>
      </c>
      <c r="I1981" t="inlineStr">
        <is>
          <t>HÁ A POSSIBILIDADE DE ADOTAR O USO DE SENHAS PARA ORGANIZAR A ENTRADA DOS IMIGRANTES NO PAÍS</t>
        </is>
      </c>
      <c r="J1981" t="inlineStr"/>
      <c r="K1981" t="n">
        <v>0</v>
      </c>
      <c r="L1981" t="n">
        <v>1</v>
      </c>
      <c r="M1981" t="n">
        <v>0</v>
      </c>
      <c r="N1981" t="n">
        <v>0</v>
      </c>
      <c r="O1981" t="n">
        <v>0</v>
      </c>
      <c r="P1981">
        <f>HYPERLINK("https://www.acritica.com/governo-cogita-limitar-a-entrada-de-venezuelanos-no-brasil-por-roraima-1.199427", "URL")</f>
        <v/>
      </c>
      <c r="Q1981">
        <f>HYPERLINK("https://raw.githubusercontent.com/marcosmapl/dataset_imigrantes/main/materias_filtered/a_critica/venezuelanos/2018/07_ago/html/1.199427_853.html", "HTML")</f>
        <v/>
      </c>
      <c r="R1981">
        <f>HYPERLINK("https://raw.githubusercontent.com/marcosmapl/dataset_imigrantes/main/materias_filtered/a_critica/venezuelanos/2018/07_ago/txt/1.199427_853.txt", "TXT")</f>
        <v/>
      </c>
    </row>
    <row r="1982">
      <c r="A1982" s="1" t="n">
        <v>1980</v>
      </c>
      <c r="B1982" t="n">
        <v>2018</v>
      </c>
      <c r="C1982" s="2" t="n">
        <v>43341.58224537037</v>
      </c>
      <c r="D1982" t="inlineStr">
        <is>
          <t>A CRITICA</t>
        </is>
      </c>
      <c r="E1982" t="inlineStr">
        <is>
          <t>VENEZUELANOS</t>
        </is>
      </c>
      <c r="F1982" t="inlineStr"/>
      <c r="G1982" t="inlineStr">
        <is>
          <t>NIELMAR OLIVEIRA (AGÊNCIA BRASIL)</t>
        </is>
      </c>
      <c r="H1982" t="inlineStr">
        <is>
          <t>POPULAÇÃO BRASILEIRA PASSA DE 208,4 MILHÕES DE PESSOAS, MOSTRA IBGE</t>
        </is>
      </c>
      <c r="I1982" t="inlineStr">
        <is>
          <t>HOUVE CRESCIMENTO POPULACIONAL DE 0,82% DE 2017 PARA 2018. SÃO PAULO CONTINUA SENDO O MUNICÍPIO MAIS POPULOSO, COM 12,2 MILHÕES DE HABITANTES</t>
        </is>
      </c>
      <c r="J1982" t="inlineStr"/>
      <c r="K1982" t="n">
        <v>0</v>
      </c>
      <c r="L1982" t="n">
        <v>1</v>
      </c>
      <c r="M1982" t="n">
        <v>0</v>
      </c>
      <c r="N1982" t="n">
        <v>0</v>
      </c>
      <c r="O1982" t="n">
        <v>0</v>
      </c>
      <c r="P1982">
        <f>HYPERLINK("https://www.acritica.com/populac-o-brasileira-passa-de-208-4-milh-es-de-pessoas-mostra-ibge-1.199452", "URL")</f>
        <v/>
      </c>
      <c r="Q1982">
        <f>HYPERLINK("https://raw.githubusercontent.com/marcosmapl/dataset_imigrantes/main/materias_filtered/a_critica/venezuelanos/2018/07_ago/html/1.199452_251.html", "HTML")</f>
        <v/>
      </c>
      <c r="R1982">
        <f>HYPERLINK("https://raw.githubusercontent.com/marcosmapl/dataset_imigrantes/main/materias_filtered/a_critica/venezuelanos/2018/07_ago/txt/1.199452_251.txt", "TXT")</f>
        <v/>
      </c>
    </row>
    <row r="1983">
      <c r="A1983" s="1" t="n">
        <v>1981</v>
      </c>
      <c r="B1983" t="n">
        <v>2018</v>
      </c>
      <c r="C1983" s="2" t="n">
        <v>43341.54217592593</v>
      </c>
      <c r="D1983" t="inlineStr">
        <is>
          <t>A CRITICA</t>
        </is>
      </c>
      <c r="E1983" t="inlineStr">
        <is>
          <t>VENEZUELANOS</t>
        </is>
      </c>
      <c r="F1983" t="inlineStr"/>
      <c r="G1983" t="inlineStr">
        <is>
          <t>MARCELO BRANDÃO (AGÊNCIA BRASIL)</t>
        </is>
      </c>
      <c r="H1983" t="inlineStr">
        <is>
          <t>GOVERNO AFASTA POSSIBILIDADE DE INTERVENÇÃO FEDERAL EM RORAIMA</t>
        </is>
      </c>
      <c r="I1983" t="inlineStr">
        <is>
          <t>“NÃO SE COGITOU INTERVENÇÃO. ATÉ PORQUE VAMOS TRATANDO COM OS REMÉDIOS QUE TEMOS, DE FORMA GRADUAL”, DISSE O MINISTRO DO GABINETE DE SEGURANÇA INSTITUCIONAL</t>
        </is>
      </c>
      <c r="J1983" t="inlineStr"/>
      <c r="K1983" t="n">
        <v>0</v>
      </c>
      <c r="L1983" t="n">
        <v>1</v>
      </c>
      <c r="M1983" t="n">
        <v>0</v>
      </c>
      <c r="N1983" t="n">
        <v>0</v>
      </c>
      <c r="O1983" t="n">
        <v>0</v>
      </c>
      <c r="P1983">
        <f>HYPERLINK("https://www.acritica.com/governo-afasta-possibilidade-de-intervenc-o-federal-em-roraima-1.199461", "URL")</f>
        <v/>
      </c>
      <c r="Q1983">
        <f>HYPERLINK("https://raw.githubusercontent.com/marcosmapl/dataset_imigrantes/main/materias_filtered/a_critica/venezuelanos/2018/07_ago/html/1.199461_58.html", "HTML")</f>
        <v/>
      </c>
      <c r="R1983">
        <f>HYPERLINK("https://raw.githubusercontent.com/marcosmapl/dataset_imigrantes/main/materias_filtered/a_critica/venezuelanos/2018/07_ago/txt/1.199461_58.txt", "TXT")</f>
        <v/>
      </c>
    </row>
    <row r="1984">
      <c r="A1984" s="1" t="n">
        <v>1982</v>
      </c>
      <c r="B1984" t="n">
        <v>2018</v>
      </c>
      <c r="C1984" s="2" t="n">
        <v>43341.42483796296</v>
      </c>
      <c r="D1984" t="inlineStr">
        <is>
          <t>A CRITICA</t>
        </is>
      </c>
      <c r="E1984" t="inlineStr">
        <is>
          <t>AMBOS</t>
        </is>
      </c>
      <c r="F1984" t="inlineStr">
        <is>
          <t>OPINIAO</t>
        </is>
      </c>
      <c r="G1984" t="inlineStr"/>
      <c r="H1984" t="inlineStr">
        <is>
          <t>PRECISAMOS DE SOLIDARIEDADE REAL</t>
        </is>
      </c>
      <c r="I1984" t="inlineStr"/>
      <c r="J1984" t="inlineStr"/>
      <c r="K1984" t="n">
        <v>0</v>
      </c>
      <c r="L1984" t="n">
        <v>1</v>
      </c>
      <c r="M1984" t="n">
        <v>0</v>
      </c>
      <c r="N1984" t="n">
        <v>0</v>
      </c>
      <c r="O1984" t="n">
        <v>0</v>
      </c>
      <c r="P1984">
        <f>HYPERLINK("https://www.acritica.com/opiniao/precisamos-de-solidariedade-real-1.223847", "URL")</f>
        <v/>
      </c>
      <c r="Q1984">
        <f>HYPERLINK("https://raw.githubusercontent.com/marcosmapl/dataset_imigrantes/main/materias_filtered/a_critica/ambos/2018/07_ago/html/1.223847_513.html", "HTML")</f>
        <v/>
      </c>
      <c r="R1984">
        <f>HYPERLINK("https://raw.githubusercontent.com/marcosmapl/dataset_imigrantes/main/materias_filtered/a_critica/ambos/2018/07_ago/txt/1.223847_513.txt", "TXT")</f>
        <v/>
      </c>
    </row>
    <row r="1985">
      <c r="A1985" s="1" t="n">
        <v>1983</v>
      </c>
      <c r="B1985" t="n">
        <v>2018</v>
      </c>
      <c r="C1985" s="2" t="n">
        <v>43341.41942226852</v>
      </c>
      <c r="D1985" t="inlineStr">
        <is>
          <t>G1</t>
        </is>
      </c>
      <c r="E1985" t="inlineStr">
        <is>
          <t>HAITIANOS</t>
        </is>
      </c>
      <c r="F1985" t="inlineStr">
        <is>
          <t>RIO GRANDE DO SUL</t>
        </is>
      </c>
      <c r="G1985" t="inlineStr">
        <is>
          <t>G1 RS</t>
        </is>
      </c>
      <c r="H1985" t="inlineStr">
        <is>
          <t>HOMENS QUE ABORDARAM HAITIANOS EM POSTO DE COMBUSTÍVEL EM CANOAS SÃO CONDENADOS POR DISCRIMINAÇÃO</t>
        </is>
      </c>
      <c r="I1985" t="inlineStr">
        <is>
          <t>HOMEM QUE ABORDOU ESTRANGEIRO FOI CONDENADO A SEIS ANOS DE RECLUSÃO EM REGIME SEMIABERTO, E O RESPONSÁVEL PELAS IMAGENS TEVE PENA REVERTIDA EM SERVIÇOS COMUNITÁRIOS. AINDA CABE RECURSO. O ADVOGADO DE DANIEL BARBOSA DE AMORIM DISSE QUE VAI RECORRER DA DECISÃO.</t>
        </is>
      </c>
      <c r="J1985" t="inlineStr"/>
      <c r="K1985" t="n">
        <v>0</v>
      </c>
      <c r="L1985" t="n">
        <v>1</v>
      </c>
      <c r="M1985" t="n">
        <v>0</v>
      </c>
      <c r="N1985" t="n">
        <v>0</v>
      </c>
      <c r="O1985" t="n">
        <v>2</v>
      </c>
      <c r="P1985">
        <f>HYPERLINK("https://g1.globo.com/rs/rio-grande-do-sul/noticia/2018/08/29/homens-que-abordaram-haitianos-em-posto-de-combustivel-em-canoas-sao-condenados-por-discriminacao.ghtml", "URL")</f>
        <v/>
      </c>
      <c r="Q1985">
        <f>HYPERLINK("https://raw.githubusercontent.com/marcosmapl/dataset_imigrantes/main/materias_filtered/g1/haitianos/2018/07_ago/html/g1_dbfe9ec8-22f2-11ed-b24f-6dbe51e79fca_1816.html", "HTML")</f>
        <v/>
      </c>
      <c r="R1985">
        <f>HYPERLINK("https://raw.githubusercontent.com/marcosmapl/dataset_imigrantes/main/materias_filtered/g1/haitianos/2018/07_ago/txt/g1_dbfe9ec8-22f2-11ed-b24f-6dbe51e79fca_1816.txt", "TXT")</f>
        <v/>
      </c>
    </row>
    <row r="1986">
      <c r="A1986" s="1" t="n">
        <v>1984</v>
      </c>
      <c r="B1986" t="n">
        <v>2018</v>
      </c>
      <c r="C1986" s="2" t="n">
        <v>43340.94513888889</v>
      </c>
      <c r="D1986" t="inlineStr">
        <is>
          <t>A CRITICA</t>
        </is>
      </c>
      <c r="E1986" t="inlineStr">
        <is>
          <t>VENEZUELANOS</t>
        </is>
      </c>
      <c r="F1986" t="inlineStr"/>
      <c r="G1986" t="inlineStr">
        <is>
          <t>MARCELO BRANDÃO (AGÊNCIA BRASIL)</t>
        </is>
      </c>
      <c r="H1986" t="inlineStr">
        <is>
          <t>TEMER DECRETA USO DAS FORÇAS ARMADAS EM RORAIMA PARA GARANTIR SEGURANÇA</t>
        </is>
      </c>
      <c r="I1986" t="inlineStr">
        <is>
          <t>OBJETIVO É ASSEGURAR A ORDEM PARA BRASILEIROS QUE VIVEM NA REGIÃO E AOS VENEZUELANOS QUE ENTRAM NO PAÍS FUGINDO DA CRISE NO PAÍS VIZINHO</t>
        </is>
      </c>
      <c r="J1986" t="inlineStr"/>
      <c r="K1986" t="n">
        <v>0</v>
      </c>
      <c r="L1986" t="n">
        <v>1</v>
      </c>
      <c r="M1986" t="n">
        <v>0</v>
      </c>
      <c r="N1986" t="n">
        <v>0</v>
      </c>
      <c r="O1986" t="n">
        <v>0</v>
      </c>
      <c r="P1986">
        <f>HYPERLINK("https://www.acritica.com/temer-decreta-uso-das-forcas-armadas-em-roraima-para-garantir-seguranca-1.199492", "URL")</f>
        <v/>
      </c>
      <c r="Q1986">
        <f>HYPERLINK("https://raw.githubusercontent.com/marcosmapl/dataset_imigrantes/main/materias_filtered/a_critica/venezuelanos/2018/07_ago/html/1.199492_963.html", "HTML")</f>
        <v/>
      </c>
      <c r="R1986">
        <f>HYPERLINK("https://raw.githubusercontent.com/marcosmapl/dataset_imigrantes/main/materias_filtered/a_critica/venezuelanos/2018/07_ago/txt/1.199492_963.txt", "TXT")</f>
        <v/>
      </c>
    </row>
    <row r="1987">
      <c r="A1987" s="1" t="n">
        <v>1985</v>
      </c>
      <c r="B1987" t="n">
        <v>2018</v>
      </c>
      <c r="C1987" s="2" t="n">
        <v>43340.83695601852</v>
      </c>
      <c r="D1987" t="inlineStr">
        <is>
          <t>A CRITICA</t>
        </is>
      </c>
      <c r="E1987" t="inlineStr">
        <is>
          <t>VENEZUELANOS</t>
        </is>
      </c>
      <c r="F1987" t="inlineStr"/>
      <c r="G1987" t="inlineStr">
        <is>
          <t>AGÊNCIA EFE</t>
        </is>
      </c>
      <c r="H1987" t="inlineStr">
        <is>
          <t>GOVERNO DO PERU DECLARA EMERGÊNCIA SANITÁRIA POR MIGRAÇÃO DA VENEZUELA</t>
        </is>
      </c>
      <c r="I1987" t="inlineStr">
        <is>
          <t>DISTRITOS DA FRONTEIRA COM O EQUADOR ESTÃO EM PERIGO IMINENTE DIANTE DO AUMENTO DO NÚMERO DE IMIGRANTES VENEZUELANOS QUE ENTRAM AO PAÍS</t>
        </is>
      </c>
      <c r="J1987" t="inlineStr"/>
      <c r="K1987" t="n">
        <v>0</v>
      </c>
      <c r="L1987" t="n">
        <v>1</v>
      </c>
      <c r="M1987" t="n">
        <v>0</v>
      </c>
      <c r="N1987" t="n">
        <v>0</v>
      </c>
      <c r="O1987" t="n">
        <v>0</v>
      </c>
      <c r="P1987">
        <f>HYPERLINK("https://www.acritica.com/governo-do-peru-declara-emergencia-sanitaria-por-migrac-o-da-venezuela-1.199439", "URL")</f>
        <v/>
      </c>
      <c r="Q1987">
        <f>HYPERLINK("https://raw.githubusercontent.com/marcosmapl/dataset_imigrantes/main/materias_filtered/a_critica/venezuelanos/2018/07_ago/html/1.199439_586.html", "HTML")</f>
        <v/>
      </c>
      <c r="R1987">
        <f>HYPERLINK("https://raw.githubusercontent.com/marcosmapl/dataset_imigrantes/main/materias_filtered/a_critica/venezuelanos/2018/07_ago/txt/1.199439_586.txt", "TXT")</f>
        <v/>
      </c>
    </row>
    <row r="1988">
      <c r="A1988" s="1" t="n">
        <v>1986</v>
      </c>
      <c r="B1988" t="n">
        <v>2018</v>
      </c>
      <c r="C1988" s="2" t="n">
        <v>43340.83173611111</v>
      </c>
      <c r="D1988" t="inlineStr">
        <is>
          <t>A CRITICA</t>
        </is>
      </c>
      <c r="E1988" t="inlineStr">
        <is>
          <t>VENEZUELANOS</t>
        </is>
      </c>
      <c r="F1988" t="inlineStr"/>
      <c r="G1988" t="inlineStr">
        <is>
          <t>YARA AQUINO (AGÊNCIA BRASIL)</t>
        </is>
      </c>
      <c r="H1988" t="inlineStr">
        <is>
          <t>DINHEIRO NÃO RESOLVE PROBLEMA DE RORAIMA COM VENEZUELANOS, DIZ MINISTRO PADILHA</t>
        </is>
      </c>
      <c r="I1988" t="inlineStr">
        <is>
          <t>PARA O MINISTRO-CHEFE DA CASA CIVIL, A INTERIORIZAÇÃO DE IMIGRANTES PARA OUTROS ESTADOS É O QUE VAI RESOLVER OS PROBLEMAS ENFRENTADOS EM RORAIMA</t>
        </is>
      </c>
      <c r="J1988" t="inlineStr"/>
      <c r="K1988" t="n">
        <v>0</v>
      </c>
      <c r="L1988" t="n">
        <v>1</v>
      </c>
      <c r="M1988" t="n">
        <v>0</v>
      </c>
      <c r="N1988" t="n">
        <v>0</v>
      </c>
      <c r="O1988" t="n">
        <v>0</v>
      </c>
      <c r="P1988">
        <f>HYPERLINK("https://www.acritica.com/dinheiro-n-o-resolve-problema-de-roraima-com-venezuelanos-diz-ministro-padilha-1.199484", "URL")</f>
        <v/>
      </c>
      <c r="Q1988">
        <f>HYPERLINK("https://raw.githubusercontent.com/marcosmapl/dataset_imigrantes/main/materias_filtered/a_critica/venezuelanos/2018/07_ago/html/1.199484_36.html", "HTML")</f>
        <v/>
      </c>
      <c r="R1988">
        <f>HYPERLINK("https://raw.githubusercontent.com/marcosmapl/dataset_imigrantes/main/materias_filtered/a_critica/venezuelanos/2018/07_ago/txt/1.199484_36.txt", "TXT")</f>
        <v/>
      </c>
    </row>
    <row r="1989">
      <c r="A1989" s="1" t="n">
        <v>1987</v>
      </c>
      <c r="B1989" t="n">
        <v>2018</v>
      </c>
      <c r="C1989" s="2" t="n">
        <v>43340.77361111111</v>
      </c>
      <c r="D1989" t="inlineStr">
        <is>
          <t>PORTAL AMAZONIA</t>
        </is>
      </c>
      <c r="E1989" t="inlineStr">
        <is>
          <t>VENEZUELANOS</t>
        </is>
      </c>
      <c r="F1989" t="inlineStr">
        <is>
          <t>CIDADES</t>
        </is>
      </c>
      <c r="G1989" t="inlineStr">
        <is>
          <t>REDAÇÃO</t>
        </is>
      </c>
      <c r="H1989" t="inlineStr">
        <is>
          <t>VENEZUELANOS TRANSFERIDOS DE RORAIMA CHEGAM A MANAUS</t>
        </is>
      </c>
      <c r="I1989" t="inlineStr">
        <is>
          <t>SESSENTA E CINCO VENEZUELANOS DEIXARAM A CAPITAL DE RORAIMA, BOA VISTA, NESTA SEGUNDA-FEIRA (28) COM DESTINO A MANAUS EM BUSCA DE NOVAS OPORTUNIDADES. AO TODO, 187 VENEZUELANOS FORAM TRANSFERIDOS PELA FORÇA AÉR</t>
        </is>
      </c>
      <c r="J1989" t="inlineStr">
        <is>
          <t>BOA VISTA, CRISE MIGRATORIA, FRONTEIRA, IMIGRANTES VENEZUELANOS, INTERIORIZACAO IMIGRANTES, MANAUS, RORAIMA, VENEZUELA, VENEZUELANOS</t>
        </is>
      </c>
      <c r="K1989" t="n">
        <v>9</v>
      </c>
      <c r="L1989" t="n">
        <v>1</v>
      </c>
      <c r="M1989" t="n">
        <v>0</v>
      </c>
      <c r="N1989" t="n">
        <v>0</v>
      </c>
      <c r="O1989" t="n">
        <v>14</v>
      </c>
      <c r="P1989">
        <f>HYPERLINK("https://portalamazonia.com/noticias/cidades/venezuelanos-transferidos-de-roraima-chegam-a-manaus", "URL")</f>
        <v/>
      </c>
      <c r="Q1989">
        <f>HYPERLINK("https://raw.githubusercontent.com/marcosmapl/dataset_imigrantes/main/materias_filtered/portal_amazonia/venezuelanos/2018/07_ago/html/15559.15559_1526.html", "HTML")</f>
        <v/>
      </c>
      <c r="R1989">
        <f>HYPERLINK("https://raw.githubusercontent.com/marcosmapl/dataset_imigrantes/main/materias_filtered/portal_amazonia/venezuelanos/2018/07_ago/txt/15559.15559_1526.txt", "TXT")</f>
        <v/>
      </c>
    </row>
    <row r="1990">
      <c r="A1990" s="1" t="n">
        <v>1988</v>
      </c>
      <c r="B1990" t="n">
        <v>2018</v>
      </c>
      <c r="C1990" s="2" t="n">
        <v>43340.66313657408</v>
      </c>
      <c r="D1990" t="inlineStr">
        <is>
          <t>A CRITICA</t>
        </is>
      </c>
      <c r="E1990" t="inlineStr">
        <is>
          <t>VENEZUELANOS</t>
        </is>
      </c>
      <c r="F1990" t="inlineStr">
        <is>
          <t>MANAUS</t>
        </is>
      </c>
      <c r="G1990" t="inlineStr">
        <is>
          <t>PAULO ANDRÉ NUNES</t>
        </is>
      </c>
      <c r="H1990" t="inlineStr">
        <is>
          <t>VENEZUELANOS SÃO RECEBIDOS EM ABRIGO DE MANAUS E TERÃO CURSOS PROFISSIONALIZANTES</t>
        </is>
      </c>
      <c r="I1990" t="inlineStr">
        <is>
          <t>IMIGRANTES TRAZIDOS DE RORAIMA PELA FAB PASSARÃO UM MÊS NO ESPAÇO EM PERÍODO DE INTEGRAÇÃO, QUANDO RECEBERÃO QUALIFICAÇÃO PROFISSIONAL PARA BUSCAR NOVO HORIZONTE</t>
        </is>
      </c>
      <c r="J1990" t="inlineStr"/>
      <c r="K1990" t="n">
        <v>0</v>
      </c>
      <c r="L1990" t="n">
        <v>1</v>
      </c>
      <c r="M1990" t="n">
        <v>0</v>
      </c>
      <c r="N1990" t="n">
        <v>0</v>
      </c>
      <c r="O1990" t="n">
        <v>1</v>
      </c>
      <c r="P1990">
        <f>HYPERLINK("https://www.acritica.com/manaus/venezuelanos-s-o-recebidos-em-abrigo-de-manaus-e-ter-o-cursos-profissionalizantes-1.196748", "URL")</f>
        <v/>
      </c>
      <c r="Q1990">
        <f>HYPERLINK("https://raw.githubusercontent.com/marcosmapl/dataset_imigrantes/main/materias_filtered/a_critica/venezuelanos/2018/07_ago/html/1.196748_618.html", "HTML")</f>
        <v/>
      </c>
      <c r="R1990">
        <f>HYPERLINK("https://raw.githubusercontent.com/marcosmapl/dataset_imigrantes/main/materias_filtered/a_critica/venezuelanos/2018/07_ago/txt/1.196748_618.txt", "TXT")</f>
        <v/>
      </c>
    </row>
    <row r="1991">
      <c r="A1991" s="1" t="n">
        <v>1989</v>
      </c>
      <c r="B1991" t="n">
        <v>2018</v>
      </c>
      <c r="C1991" s="2" t="n">
        <v>43340.65533994213</v>
      </c>
      <c r="D1991" t="inlineStr">
        <is>
          <t>G1</t>
        </is>
      </c>
      <c r="E1991" t="inlineStr">
        <is>
          <t>VENEZUELANOS</t>
        </is>
      </c>
      <c r="F1991" t="inlineStr">
        <is>
          <t>RORAIMA</t>
        </is>
      </c>
      <c r="G1991" t="inlineStr">
        <is>
          <t>ALAN CHAVES, G1 RR</t>
        </is>
      </c>
      <c r="H1991" t="inlineStr">
        <is>
          <t>'ABREM-SE PORTAS PARA UMA NOVA VIDA', DIZ FAMÍLIA VENEZUELANA LEVADA DE BOA VISTA A JOÃO PESSOA</t>
        </is>
      </c>
      <c r="I1991" t="inlineStr">
        <is>
          <t>SEGUNDO A CASA CIVIL, MAIS DE MIL VENEZUELANOS FORAM LEVADOS PARA OUTROS ESTADOS DO PAÍS DESDE ABRIL. PRÓXIMO PROCESSO DE INTERIORIZAÇÃO ESTÁ PREVISTO PARA QUINTA-FEIRA (30)</t>
        </is>
      </c>
      <c r="J1991" t="inlineStr"/>
      <c r="K1991" t="n">
        <v>0</v>
      </c>
      <c r="L1991" t="n">
        <v>3</v>
      </c>
      <c r="M1991" t="n">
        <v>1</v>
      </c>
      <c r="N1991" t="n">
        <v>0</v>
      </c>
      <c r="O1991" t="n">
        <v>7</v>
      </c>
      <c r="P1991">
        <f>HYPERLINK("https://g1.globo.com/rr/roraima/noticia/2018/08/28/abrem-se-portas-para-uma-nova-vida-diz-familia-venezuelana-levada-de-boa-vista-a-joao-pessoa.ghtml", "URL")</f>
        <v/>
      </c>
      <c r="Q1991">
        <f>HYPERLINK("https://raw.githubusercontent.com/marcosmapl/dataset_imigrantes/main/materias_filtered/g1/venezuelanos/2018/07_ago/html/g1_7d428a26-2328-11ed-b24f-6dbe51e79fca_4081.html", "HTML")</f>
        <v/>
      </c>
      <c r="R1991">
        <f>HYPERLINK("https://raw.githubusercontent.com/marcosmapl/dataset_imigrantes/main/materias_filtered/g1/venezuelanos/2018/07_ago/txt/g1_7d428a26-2328-11ed-b24f-6dbe51e79fca_4081.txt", "TXT")</f>
        <v/>
      </c>
    </row>
    <row r="1992">
      <c r="A1992" s="1" t="n">
        <v>1990</v>
      </c>
      <c r="B1992" t="n">
        <v>2018</v>
      </c>
      <c r="C1992" s="2" t="n">
        <v>43340.59383101852</v>
      </c>
      <c r="D1992" t="inlineStr">
        <is>
          <t>A CRITICA</t>
        </is>
      </c>
      <c r="E1992" t="inlineStr">
        <is>
          <t>VENEZUELANOS</t>
        </is>
      </c>
      <c r="F1992" t="inlineStr"/>
      <c r="G1992" t="inlineStr">
        <is>
          <t>AFP</t>
        </is>
      </c>
      <c r="H1992" t="inlineStr">
        <is>
          <t>COLÔMBIA DEIXA UNASUL POR 'CUMPLICIDADE COM DITADURA' NA VENEZUELA</t>
        </is>
      </c>
      <c r="I1992" t="inlineStr">
        <is>
          <t>O PRESIDENTE SUSTENTA QUE O BLOCO REGIONAL, CRIADO POR INCIATIVA DE LULA E HUGO CHÁVEZ, "NUNCA DENUNCIOU ATROPELOS", COMO TAMPOUCO GARANTIU AS LIBERDADES DOS VENEZUELANOS.</t>
        </is>
      </c>
      <c r="J1992" t="inlineStr"/>
      <c r="K1992" t="n">
        <v>0</v>
      </c>
      <c r="L1992" t="n">
        <v>1</v>
      </c>
      <c r="M1992" t="n">
        <v>0</v>
      </c>
      <c r="N1992" t="n">
        <v>0</v>
      </c>
      <c r="O1992" t="n">
        <v>0</v>
      </c>
      <c r="P1992">
        <f>HYPERLINK("https://www.acritica.com/colombia-deixa-unasul-por-cumplicidade-com-ditadura-na-venezuela-1.199571", "URL")</f>
        <v/>
      </c>
      <c r="Q1992">
        <f>HYPERLINK("https://raw.githubusercontent.com/marcosmapl/dataset_imigrantes/main/materias_filtered/a_critica/venezuelanos/2018/07_ago/html/1.199571_746.html", "HTML")</f>
        <v/>
      </c>
      <c r="R1992">
        <f>HYPERLINK("https://raw.githubusercontent.com/marcosmapl/dataset_imigrantes/main/materias_filtered/a_critica/venezuelanos/2018/07_ago/txt/1.199571_746.txt", "TXT")</f>
        <v/>
      </c>
    </row>
    <row r="1993">
      <c r="A1993" s="1" t="n">
        <v>1991</v>
      </c>
      <c r="B1993" t="n">
        <v>2018</v>
      </c>
      <c r="C1993" s="2" t="n">
        <v>43340.54944358797</v>
      </c>
      <c r="D1993" t="inlineStr">
        <is>
          <t>G1</t>
        </is>
      </c>
      <c r="E1993" t="inlineStr">
        <is>
          <t>VENEZUELANOS</t>
        </is>
      </c>
      <c r="F1993" t="inlineStr">
        <is>
          <t>AMAPÁ</t>
        </is>
      </c>
      <c r="G1993" t="inlineStr">
        <is>
          <t>CARLOS ALBERTO JR, G1 AP — MACAPÁ</t>
        </is>
      </c>
      <c r="H1993" t="inlineStr">
        <is>
          <t>VENEZUELANO PRESO NO AP COM 1 QUILO DE COCAÍNA NO ESTÔMAGO MORRE EM HOSPITAL</t>
        </is>
      </c>
      <c r="I1993" t="inlineStr">
        <is>
          <t>ESTRANGEIRO PRETENDIA IR PARA A EUROPA, MAS PASSOU MAL E DECIDIU PARAR EM MACAPÁ EM BUSCA DE AJUDA MÉDICA. ELE ESTAVA INTERNADO DESDE O DIA 8 DE AGOSTO NO HOSPITAL DE EMERGÊNCIAS.</t>
        </is>
      </c>
      <c r="J1993" t="inlineStr"/>
      <c r="K1993" t="n">
        <v>0</v>
      </c>
      <c r="L1993" t="n">
        <v>1</v>
      </c>
      <c r="M1993" t="n">
        <v>0</v>
      </c>
      <c r="N1993" t="n">
        <v>0</v>
      </c>
      <c r="O1993" t="n">
        <v>7</v>
      </c>
      <c r="P1993">
        <f>HYPERLINK("https://g1.globo.com/ap/amapa/noticia/2018/08/28/venezuelano-preso-no-ap-com-1-quilo-de-cocaina-no-estomago-morre-em-hospital.ghtml", "URL")</f>
        <v/>
      </c>
      <c r="Q1993">
        <f>HYPERLINK("https://raw.githubusercontent.com/marcosmapl/dataset_imigrantes/main/materias_filtered/g1/venezuelanos/2018/07_ago/html/g1_e35ea420-230f-11ed-b24f-6dbe51e79fca_2825.html", "HTML")</f>
        <v/>
      </c>
      <c r="R1993">
        <f>HYPERLINK("https://raw.githubusercontent.com/marcosmapl/dataset_imigrantes/main/materias_filtered/g1/venezuelanos/2018/07_ago/txt/g1_e35ea420-230f-11ed-b24f-6dbe51e79fca_2825.txt", "TXT")</f>
        <v/>
      </c>
    </row>
    <row r="1994">
      <c r="A1994" s="1" t="n">
        <v>1992</v>
      </c>
      <c r="B1994" t="n">
        <v>2018</v>
      </c>
      <c r="C1994" s="2" t="n">
        <v>43340.51944444444</v>
      </c>
      <c r="D1994" t="inlineStr">
        <is>
          <t>A CRITICA</t>
        </is>
      </c>
      <c r="E1994" t="inlineStr">
        <is>
          <t>VENEZUELANOS</t>
        </is>
      </c>
      <c r="F1994" t="inlineStr">
        <is>
          <t>MANAUS</t>
        </is>
      </c>
      <c r="G1994" t="inlineStr">
        <is>
          <t>CAROLINA GONÇALVES - REPÓRTER DA AGÊNCIA BRASIL</t>
        </is>
      </c>
      <c r="H1994" t="inlineStr">
        <is>
          <t>INTERIORIZAÇÃO: MANAUS RECEBE 65 VENEZUELANOS QUE VIVIAM EM RORAIMA</t>
        </is>
      </c>
      <c r="I1994" t="inlineStr">
        <is>
          <t>GRUPO FOI TRAZIDO PARA A CAPITAL AMAZONENSE NESTA MANHÃ EM AVIÃO DA FORÇA AÉREA BRASILEIRA; 69 VÃO PARA PARAÍBA E OUTROS 53 PARA SÃO PAULO</t>
        </is>
      </c>
      <c r="J1994" t="inlineStr"/>
      <c r="K1994" t="n">
        <v>0</v>
      </c>
      <c r="L1994" t="n">
        <v>1</v>
      </c>
      <c r="M1994" t="n">
        <v>0</v>
      </c>
      <c r="N1994" t="n">
        <v>0</v>
      </c>
      <c r="O1994" t="n">
        <v>1</v>
      </c>
      <c r="P1994">
        <f>HYPERLINK("https://www.acritica.com/manaus/interiorizac-o-manaus-recebe-65-venezuelanos-que-viviam-em-roraima-1.199588", "URL")</f>
        <v/>
      </c>
      <c r="Q1994">
        <f>HYPERLINK("https://raw.githubusercontent.com/marcosmapl/dataset_imigrantes/main/materias_filtered/a_critica/venezuelanos/2018/07_ago/html/1.199588_671.html", "HTML")</f>
        <v/>
      </c>
      <c r="R1994">
        <f>HYPERLINK("https://raw.githubusercontent.com/marcosmapl/dataset_imigrantes/main/materias_filtered/a_critica/venezuelanos/2018/07_ago/txt/1.199588_671.txt", "TXT")</f>
        <v/>
      </c>
    </row>
    <row r="1995">
      <c r="A1995" s="1" t="n">
        <v>1993</v>
      </c>
      <c r="B1995" t="n">
        <v>2018</v>
      </c>
      <c r="C1995" s="2" t="n">
        <v>43340.46111111111</v>
      </c>
      <c r="D1995" t="inlineStr">
        <is>
          <t>PORTAL AMAZONIA</t>
        </is>
      </c>
      <c r="E1995" t="inlineStr">
        <is>
          <t>VENEZUELANOS</t>
        </is>
      </c>
      <c r="F1995" t="inlineStr">
        <is>
          <t>CIDADES</t>
        </is>
      </c>
      <c r="G1995" t="inlineStr">
        <is>
          <t>REDAÇÃO</t>
        </is>
      </c>
      <c r="H1995" t="inlineStr">
        <is>
          <t>MAIS DE 270 VENEZUELANOS SÃO TRANSFERIDOS DE RORAIMA; 63 SÓ PARA MANAUS</t>
        </is>
      </c>
      <c r="I1995" t="inlineStr">
        <is>
          <t>SEIS CIDADES BRASILEIRAS RECEBERÃO NESTA SEMANA VENEZUELANOS QUE VIVEM EM RORAIMA E SE VOLUNTARIARAM PARA PARTICIPAR DO PROCESSO DE INTERIORIZAÇÃO. NA TERÇA-FEIRA (28), 63 PESSOAS IRÃO VIAJAR DE BOA VISTA PARA MANAUS (AM), 71 PARA JOÃO PESSOA (PB) E</t>
        </is>
      </c>
      <c r="J1995" t="inlineStr">
        <is>
          <t>AMAZONAS, INTERIORIZACAO IMIGRANTES, MANAUS, VENEZUELANOS</t>
        </is>
      </c>
      <c r="K1995" t="n">
        <v>4</v>
      </c>
      <c r="L1995" t="n">
        <v>2</v>
      </c>
      <c r="M1995" t="n">
        <v>0</v>
      </c>
      <c r="N1995" t="n">
        <v>0</v>
      </c>
      <c r="O1995" t="n">
        <v>9</v>
      </c>
      <c r="P1995">
        <f>HYPERLINK("https://portalamazonia.com/noticias/cidades/mais-de-270-venezuelanos-sao-transferidos-de-roraima-63-so-para-manaus", "URL")</f>
        <v/>
      </c>
      <c r="Q1995">
        <f>HYPERLINK("https://raw.githubusercontent.com/marcosmapl/dataset_imigrantes/main/materias_filtered/portal_amazonia/venezuelanos/2018/07_ago/html/15554.15554_1488.html", "HTML")</f>
        <v/>
      </c>
      <c r="R1995">
        <f>HYPERLINK("https://raw.githubusercontent.com/marcosmapl/dataset_imigrantes/main/materias_filtered/portal_amazonia/venezuelanos/2018/07_ago/txt/15554.15554_1488.txt", "TXT")</f>
        <v/>
      </c>
    </row>
    <row r="1996">
      <c r="A1996" s="1" t="n">
        <v>1994</v>
      </c>
      <c r="B1996" t="n">
        <v>2018</v>
      </c>
      <c r="C1996" s="2" t="n">
        <v>43340.37576914352</v>
      </c>
      <c r="D1996" t="inlineStr">
        <is>
          <t>G1</t>
        </is>
      </c>
      <c r="E1996" t="inlineStr">
        <is>
          <t>HAITIANOS</t>
        </is>
      </c>
      <c r="F1996" t="inlineStr">
        <is>
          <t>SANTA CATARINA</t>
        </is>
      </c>
      <c r="G1996" t="inlineStr">
        <is>
          <t>JULIANO ZANOTELLI, ESPECIAL G1 SC</t>
        </is>
      </c>
      <c r="H1996" t="inlineStr">
        <is>
          <t>IMIGRANTES E REFUGIADAS DESENVOLVEM COLEÇÕES COM TECIDOS E AVIAMENTOS QUE IRIAM PARA O LIXO, EM SC</t>
        </is>
      </c>
      <c r="I1996" t="inlineStr">
        <is>
          <t>ELES PARTICIPAM DO PROJETO TRÈS DEYÓ, QUE PROMOVE INCLUSÃO SOCIAL ATRAVÉS DA MODA EM SÃO JOSÉ.</t>
        </is>
      </c>
      <c r="J1996" t="inlineStr"/>
      <c r="K1996" t="n">
        <v>0</v>
      </c>
      <c r="L1996" t="n">
        <v>2</v>
      </c>
      <c r="M1996" t="n">
        <v>0</v>
      </c>
      <c r="N1996" t="n">
        <v>0</v>
      </c>
      <c r="O1996" t="n">
        <v>1</v>
      </c>
      <c r="P1996">
        <f>HYPERLINK("https://g1.globo.com/sc/santa-catarina/sc-mais/noticia/2018/08/28/imigrantes-e-refugiadas-desenvolvem-colecoes-com-tecidos-e-aviamentos-que-iriam-para-o-lixo-em-sc.ghtml", "URL")</f>
        <v/>
      </c>
      <c r="Q1996">
        <f>HYPERLINK("https://raw.githubusercontent.com/marcosmapl/dataset_imigrantes/main/materias_filtered/g1/haitianos/2018/07_ago/html/g1_969fb012-232c-11ed-b24f-6dbe51e79fca_4315.html", "HTML")</f>
        <v/>
      </c>
      <c r="R1996">
        <f>HYPERLINK("https://raw.githubusercontent.com/marcosmapl/dataset_imigrantes/main/materias_filtered/g1/haitianos/2018/07_ago/txt/g1_969fb012-232c-11ed-b24f-6dbe51e79fca_4315.txt", "TXT")</f>
        <v/>
      </c>
    </row>
    <row r="1997">
      <c r="A1997" s="1" t="n">
        <v>1995</v>
      </c>
      <c r="B1997" t="n">
        <v>2018</v>
      </c>
      <c r="C1997" s="2" t="n">
        <v>43339.96359953703</v>
      </c>
      <c r="D1997" t="inlineStr">
        <is>
          <t>A CRITICA</t>
        </is>
      </c>
      <c r="E1997" t="inlineStr">
        <is>
          <t>VENEZUELANOS</t>
        </is>
      </c>
      <c r="F1997" t="inlineStr"/>
      <c r="G1997" t="inlineStr">
        <is>
          <t>AFP</t>
        </is>
      </c>
      <c r="H1997" t="inlineStr">
        <is>
          <t>EMIGRANTES VENEZUELANOS REGRESSAM AO PAÍS EM AVIÃO ENVIADO POR MADURO</t>
        </is>
      </c>
      <c r="I1997" t="inlineStr">
        <is>
          <t>GRUPO DE 97 VENEZUELANOS, INCLUINDO 22 CRIANÇAS, QUE ENFRENTAVA DIFICULDADES NO PERU ADERIRAM A UM PLANO DO GOVERNO MADURO E RETORNARAM PARA A TERRA NATAL</t>
        </is>
      </c>
      <c r="J1997" t="inlineStr"/>
      <c r="K1997" t="n">
        <v>0</v>
      </c>
      <c r="L1997" t="n">
        <v>1</v>
      </c>
      <c r="M1997" t="n">
        <v>0</v>
      </c>
      <c r="N1997" t="n">
        <v>0</v>
      </c>
      <c r="O1997" t="n">
        <v>0</v>
      </c>
      <c r="P1997">
        <f>HYPERLINK("https://www.acritica.com/emigrantes-venezuelanos-regressam-ao-pais-em-avi-o-enviado-por-maduro-1.199633", "URL")</f>
        <v/>
      </c>
      <c r="Q1997">
        <f>HYPERLINK("https://raw.githubusercontent.com/marcosmapl/dataset_imigrantes/main/materias_filtered/a_critica/venezuelanos/2018/07_ago/html/1.199633_473.html", "HTML")</f>
        <v/>
      </c>
      <c r="R1997">
        <f>HYPERLINK("https://raw.githubusercontent.com/marcosmapl/dataset_imigrantes/main/materias_filtered/a_critica/venezuelanos/2018/07_ago/txt/1.199633_473.txt", "TXT")</f>
        <v/>
      </c>
    </row>
    <row r="1998">
      <c r="A1998" s="1" t="n">
        <v>1996</v>
      </c>
      <c r="B1998" t="n">
        <v>2018</v>
      </c>
      <c r="C1998" s="2" t="n">
        <v>43339.91246527778</v>
      </c>
      <c r="D1998" t="inlineStr">
        <is>
          <t>A CRITICA</t>
        </is>
      </c>
      <c r="E1998" t="inlineStr">
        <is>
          <t>VENEZUELANOS</t>
        </is>
      </c>
      <c r="F1998" t="inlineStr">
        <is>
          <t>MANAUS</t>
        </is>
      </c>
      <c r="G1998" t="inlineStr">
        <is>
          <t>DÉBORA BRITO E PAULO VICTOR CHAGAS - REPÓRTERES DA AGÊNCIA BRASIL</t>
        </is>
      </c>
      <c r="H1998" t="inlineStr">
        <is>
          <t>AMAZONAS VAI RECEBER PARTE DE IMIGRANTES VENEZUELANOS NESTA TERÇA-FEIRA</t>
        </is>
      </c>
      <c r="I1998" t="inlineStr">
        <is>
          <t>PROGRAMA DE INTERIORIZAÇÃO DOS REFUGIADOS QUE ATUALMENTE VIVEM EM RORAIMA COMEÇA NESTA TERÇA-FEIRA E TEM A CAPITAL AMAZONENSE COMO UM DOS DESTINOS DOS IMIGRANTES</t>
        </is>
      </c>
      <c r="J1998" t="inlineStr"/>
      <c r="K1998" t="n">
        <v>0</v>
      </c>
      <c r="L1998" t="n">
        <v>1</v>
      </c>
      <c r="M1998" t="n">
        <v>0</v>
      </c>
      <c r="N1998" t="n">
        <v>0</v>
      </c>
      <c r="O1998" t="n">
        <v>0</v>
      </c>
      <c r="P1998">
        <f>HYPERLINK("https://www.acritica.com/manaus/amazonas-vai-receber-parte-de-imigrantes-venezuelanos-nesta-terca-feira-1.199659", "URL")</f>
        <v/>
      </c>
      <c r="Q1998">
        <f>HYPERLINK("https://raw.githubusercontent.com/marcosmapl/dataset_imigrantes/main/materias_filtered/a_critica/venezuelanos/2018/07_ago/html/1.199659_769.html", "HTML")</f>
        <v/>
      </c>
      <c r="R1998">
        <f>HYPERLINK("https://raw.githubusercontent.com/marcosmapl/dataset_imigrantes/main/materias_filtered/a_critica/venezuelanos/2018/07_ago/txt/1.199659_769.txt", "TXT")</f>
        <v/>
      </c>
    </row>
    <row r="1999">
      <c r="A1999" s="1" t="n">
        <v>1997</v>
      </c>
      <c r="B1999" t="n">
        <v>2018</v>
      </c>
      <c r="C1999" s="2" t="n">
        <v>43338.62377988426</v>
      </c>
      <c r="D1999" t="inlineStr">
        <is>
          <t>G1</t>
        </is>
      </c>
      <c r="E1999" t="inlineStr">
        <is>
          <t>VENEZUELANOS</t>
        </is>
      </c>
      <c r="F1999" t="inlineStr">
        <is>
          <t>MUNDO</t>
        </is>
      </c>
      <c r="G1999" t="inlineStr">
        <is>
          <t>FRANCE PRESSE</t>
        </is>
      </c>
      <c r="H1999" t="inlineStr">
        <is>
          <t>QUAIS SÃO EFEITOS DA CRISE MIGRATÓRIA DA VENEZUELA NA AMÉRICA DO SUL?</t>
        </is>
      </c>
      <c r="I1999" t="inlineStr">
        <is>
          <t>ENTENDA QUAL A MAGNITUDE DA MIGRAÇÃO VENEZUELANA, COMO SE CHEGOU A ESTA SITUAÇÃO E QUAIS OS SEUS REFLEXOS.</t>
        </is>
      </c>
      <c r="J1999" t="inlineStr"/>
      <c r="K1999" t="n">
        <v>0</v>
      </c>
      <c r="L1999" t="n">
        <v>1</v>
      </c>
      <c r="M1999" t="n">
        <v>0</v>
      </c>
      <c r="N1999" t="n">
        <v>0</v>
      </c>
      <c r="O1999" t="n">
        <v>2</v>
      </c>
      <c r="P1999">
        <f>HYPERLINK("https://g1.globo.com/mundo/noticia/2018/08/26/quais-sao-efeitos-da-crise-migratoria-da-venezuela-na-america-do-sul.ghtml", "URL")</f>
        <v/>
      </c>
      <c r="Q1999">
        <f>HYPERLINK("https://raw.githubusercontent.com/marcosmapl/dataset_imigrantes/main/materias_filtered/g1/venezuelanos/2018/07_ago/html/g1_33e820b4-2320-11ed-b24f-6dbe51e79fca_3669.html", "HTML")</f>
        <v/>
      </c>
      <c r="R1999">
        <f>HYPERLINK("https://raw.githubusercontent.com/marcosmapl/dataset_imigrantes/main/materias_filtered/g1/venezuelanos/2018/07_ago/txt/g1_33e820b4-2320-11ed-b24f-6dbe51e79fca_3669.txt", "TXT")</f>
        <v/>
      </c>
    </row>
    <row r="2000">
      <c r="A2000" s="1" t="n">
        <v>1998</v>
      </c>
      <c r="B2000" t="n">
        <v>2018</v>
      </c>
      <c r="C2000" s="2" t="n">
        <v>43338.43680555555</v>
      </c>
      <c r="D2000" t="inlineStr">
        <is>
          <t>A CRITICA</t>
        </is>
      </c>
      <c r="E2000" t="inlineStr">
        <is>
          <t>VENEZUELANOS</t>
        </is>
      </c>
      <c r="F2000" t="inlineStr"/>
      <c r="G2000" t="inlineStr"/>
      <c r="H2000" t="inlineStr">
        <is>
          <t>BUROCRACIA GERA ATRASO NA CAMPANHA</t>
        </is>
      </c>
      <c r="I2000" t="inlineStr"/>
      <c r="J2000" t="inlineStr"/>
      <c r="K2000" t="n">
        <v>0</v>
      </c>
      <c r="L2000" t="n">
        <v>1</v>
      </c>
      <c r="M2000" t="n">
        <v>0</v>
      </c>
      <c r="N2000" t="n">
        <v>0</v>
      </c>
      <c r="O2000" t="n">
        <v>0</v>
      </c>
      <c r="P2000">
        <f>HYPERLINK("https://www.acritica.com/burocracia-gera-atraso-na-campanha-1.230140", "URL")</f>
        <v/>
      </c>
      <c r="Q2000">
        <f>HYPERLINK("https://raw.githubusercontent.com/marcosmapl/dataset_imigrantes/main/materias_filtered/a_critica/venezuelanos/2018/07_ago/html/1.230140_863.html", "HTML")</f>
        <v/>
      </c>
      <c r="R2000">
        <f>HYPERLINK("https://raw.githubusercontent.com/marcosmapl/dataset_imigrantes/main/materias_filtered/a_critica/venezuelanos/2018/07_ago/txt/1.230140_863.txt", "TXT")</f>
        <v/>
      </c>
    </row>
    <row r="2001">
      <c r="A2001" s="1" t="n">
        <v>1999</v>
      </c>
      <c r="B2001" t="n">
        <v>2018</v>
      </c>
      <c r="C2001" s="2" t="n">
        <v>43337.89371527778</v>
      </c>
      <c r="D2001" t="inlineStr">
        <is>
          <t>A CRITICA</t>
        </is>
      </c>
      <c r="E2001" t="inlineStr">
        <is>
          <t>VENEZUELANOS</t>
        </is>
      </c>
      <c r="F2001" t="inlineStr"/>
      <c r="G2001" t="inlineStr">
        <is>
          <t>ACRÍTICA.COM</t>
        </is>
      </c>
      <c r="H2001" t="inlineStr">
        <is>
          <t>GOVERNO FEDERAL PROMOVE ATENDIMENTO A VENEZUELANOS EM RORAIMA</t>
        </is>
      </c>
      <c r="I2001" t="inlineStr">
        <is>
          <t>VOLUNTÁRIOS DA AÇÃO MÉDICO-HUMANITÁRIA DESTINADA AO ATENDIMENTO DE IMIGRANTES VENEZUELANOS QUE CHEGAM A RORAIMA A PARTIR DESTE DOMINGO (26)</t>
        </is>
      </c>
      <c r="J2001" t="inlineStr"/>
      <c r="K2001" t="n">
        <v>0</v>
      </c>
      <c r="L2001" t="n">
        <v>1</v>
      </c>
      <c r="M2001" t="n">
        <v>0</v>
      </c>
      <c r="N2001" t="n">
        <v>0</v>
      </c>
      <c r="O2001" t="n">
        <v>0</v>
      </c>
      <c r="P2001">
        <f>HYPERLINK("https://www.acritica.com/governo-federal-promove-atendimento-a-venezuelanos-em-roraima-1.199674", "URL")</f>
        <v/>
      </c>
      <c r="Q2001">
        <f>HYPERLINK("https://raw.githubusercontent.com/marcosmapl/dataset_imigrantes/main/materias_filtered/a_critica/venezuelanos/2018/07_ago/html/1.199674_980.html", "HTML")</f>
        <v/>
      </c>
      <c r="R2001">
        <f>HYPERLINK("https://raw.githubusercontent.com/marcosmapl/dataset_imigrantes/main/materias_filtered/a_critica/venezuelanos/2018/07_ago/txt/1.199674_980.txt", "TXT")</f>
        <v/>
      </c>
    </row>
    <row r="2002">
      <c r="A2002" s="1" t="n">
        <v>2000</v>
      </c>
      <c r="B2002" t="n">
        <v>2018</v>
      </c>
      <c r="C2002" s="2" t="n">
        <v>43337.81947916667</v>
      </c>
      <c r="D2002" t="inlineStr">
        <is>
          <t>A CRITICA</t>
        </is>
      </c>
      <c r="E2002" t="inlineStr">
        <is>
          <t>VENEZUELANOS</t>
        </is>
      </c>
      <c r="F2002" t="inlineStr"/>
      <c r="G2002" t="inlineStr">
        <is>
          <t>PAULO VICTOR CHAGAS – REPÓRTER DA AGÊNCIA BRASIL</t>
        </is>
      </c>
      <c r="H2002" t="inlineStr">
        <is>
          <t>GOVERNO NÃO VOLTARÁ A FECHAR FRONTEIRA COM VENEZUELA, DIZ PRESIDENTE TEMER</t>
        </is>
      </c>
      <c r="I2002" t="inlineStr">
        <is>
          <t>NOS ÚLTIMOS DIAS, O PALÁCIO DO PLANALTO HAVIA NEGADO A HIPÓTESE DE RESTRINGIR A FRONTEIRA DEVIDO AO ALTO FLUXO DE VENEZUELANOS, EM ESPECIAL APÓS OS CONFLITOS COM BRASILEIROS NO ÚLTIMO FIM DE SEMANA.</t>
        </is>
      </c>
      <c r="J2002" t="inlineStr"/>
      <c r="K2002" t="n">
        <v>0</v>
      </c>
      <c r="L2002" t="n">
        <v>1</v>
      </c>
      <c r="M2002" t="n">
        <v>0</v>
      </c>
      <c r="N2002" t="n">
        <v>0</v>
      </c>
      <c r="O2002" t="n">
        <v>0</v>
      </c>
      <c r="P2002">
        <f>HYPERLINK("https://www.acritica.com/governo-n-o-voltara-a-fechar-fronteira-com-venezuela-diz-presidente-temer-1.196105", "URL")</f>
        <v/>
      </c>
      <c r="Q2002">
        <f>HYPERLINK("https://raw.githubusercontent.com/marcosmapl/dataset_imigrantes/main/materias_filtered/a_critica/venezuelanos/2018/07_ago/html/1.196105_579.html", "HTML")</f>
        <v/>
      </c>
      <c r="R2002">
        <f>HYPERLINK("https://raw.githubusercontent.com/marcosmapl/dataset_imigrantes/main/materias_filtered/a_critica/venezuelanos/2018/07_ago/txt/1.196105_579.txt", "TXT")</f>
        <v/>
      </c>
    </row>
    <row r="2003">
      <c r="A2003" s="1" t="n">
        <v>2001</v>
      </c>
      <c r="B2003" t="n">
        <v>2018</v>
      </c>
      <c r="C2003" s="2" t="n">
        <v>43337.62406746528</v>
      </c>
      <c r="D2003" t="inlineStr">
        <is>
          <t>G1</t>
        </is>
      </c>
      <c r="E2003" t="inlineStr">
        <is>
          <t>VENEZUELANOS</t>
        </is>
      </c>
      <c r="F2003" t="inlineStr">
        <is>
          <t>PARÁ</t>
        </is>
      </c>
      <c r="G2003" t="inlineStr">
        <is>
          <t>G1 PA — BELÉM</t>
        </is>
      </c>
      <c r="H2003" t="inlineStr">
        <is>
          <t>MORRE CRIANÇA VENEZUELANA DE QUATRO MESES COM SARAMPO NO PARÁ</t>
        </is>
      </c>
      <c r="I2003" t="inlineStr">
        <is>
          <t>HOSPITAL BARROS BARRETO CONFIRMOU A MORTE COM SARAMPO NESTE SÁBADO (25). ESTE FOI O PRIMEIRO CASO DE MORTE DE UMA CRIANÇA DA ETNIA WARAO COM SARAMPO EM 2018 NO ESTADO.</t>
        </is>
      </c>
      <c r="J2003" t="inlineStr"/>
      <c r="K2003" t="n">
        <v>0</v>
      </c>
      <c r="L2003" t="n">
        <v>1</v>
      </c>
      <c r="M2003" t="n">
        <v>0</v>
      </c>
      <c r="N2003" t="n">
        <v>0</v>
      </c>
      <c r="O2003" t="n">
        <v>2</v>
      </c>
      <c r="P2003">
        <f>HYPERLINK("https://g1.globo.com/pa/para/noticia/2018/08/25/morre-crianca-venezuelana-de-quatro-meses-com-sarampo-no-para.ghtml", "URL")</f>
        <v/>
      </c>
      <c r="Q2003">
        <f>HYPERLINK("https://raw.githubusercontent.com/marcosmapl/dataset_imigrantes/main/materias_filtered/g1/venezuelanos/2018/07_ago/html/g1_f61c6bf8-2308-11ed-b24f-6dbe51e79fca_2416.html", "HTML")</f>
        <v/>
      </c>
      <c r="R2003">
        <f>HYPERLINK("https://raw.githubusercontent.com/marcosmapl/dataset_imigrantes/main/materias_filtered/g1/venezuelanos/2018/07_ago/txt/g1_f61c6bf8-2308-11ed-b24f-6dbe51e79fca_2416.txt", "TXT")</f>
        <v/>
      </c>
    </row>
    <row r="2004">
      <c r="A2004" s="1" t="n">
        <v>2002</v>
      </c>
      <c r="B2004" t="n">
        <v>2018</v>
      </c>
      <c r="C2004" s="2" t="n">
        <v>43337.46547453704</v>
      </c>
      <c r="D2004" t="inlineStr">
        <is>
          <t>A CRITICA</t>
        </is>
      </c>
      <c r="E2004" t="inlineStr">
        <is>
          <t>VENEZUELANOS</t>
        </is>
      </c>
      <c r="F2004" t="inlineStr"/>
      <c r="G2004" t="inlineStr"/>
      <c r="H2004" t="inlineStr">
        <is>
          <t>FORTALEZA É A PREFERIDA DO MANAUARA</t>
        </is>
      </c>
      <c r="I2004" t="inlineStr"/>
      <c r="J2004" t="inlineStr"/>
      <c r="K2004" t="n">
        <v>0</v>
      </c>
      <c r="L2004" t="n">
        <v>1</v>
      </c>
      <c r="M2004" t="n">
        <v>0</v>
      </c>
      <c r="N2004" t="n">
        <v>0</v>
      </c>
      <c r="O2004" t="n">
        <v>0</v>
      </c>
      <c r="P2004">
        <f>HYPERLINK("https://www.acritica.com/fortaleza-e-a-preferida-do-manauara-1.230770", "URL")</f>
        <v/>
      </c>
      <c r="Q2004">
        <f>HYPERLINK("https://raw.githubusercontent.com/marcosmapl/dataset_imigrantes/main/materias_filtered/a_critica/venezuelanos/2018/07_ago/html/1.230770_207.html", "HTML")</f>
        <v/>
      </c>
      <c r="R2004">
        <f>HYPERLINK("https://raw.githubusercontent.com/marcosmapl/dataset_imigrantes/main/materias_filtered/a_critica/venezuelanos/2018/07_ago/txt/1.230770_207.txt", "TXT")</f>
        <v/>
      </c>
    </row>
    <row r="2005">
      <c r="A2005" s="1" t="n">
        <v>2003</v>
      </c>
      <c r="B2005" t="n">
        <v>2018</v>
      </c>
      <c r="C2005" s="2" t="n">
        <v>43337.04745488426</v>
      </c>
      <c r="D2005" t="inlineStr">
        <is>
          <t>G1</t>
        </is>
      </c>
      <c r="E2005" t="inlineStr">
        <is>
          <t>VENEZUELANOS</t>
        </is>
      </c>
      <c r="F2005" t="inlineStr">
        <is>
          <t>JORNAL NACIONAL</t>
        </is>
      </c>
      <c r="G2005" t="inlineStr">
        <is>
          <t>JORNAL NACIONAL</t>
        </is>
      </c>
      <c r="H2005" t="inlineStr">
        <is>
          <t>VENEZUELANAS DEIXAM FILHOS NO PAÍS PARA TENTAR UMA VIDA MELHOR EM SP</t>
        </is>
      </c>
      <c r="I2005" t="inlineStr">
        <is>
          <t>ANDREA, JOANA E YARELLIS SUSTENTAM AS FAMÍLIAS NA VENEZUELA E QUEREM TRAZER OS FILHOS PARA O BRASIL. MORAM JUNTAS NUMA CASA ALUGADA E TÊM NA PROPRIETÁRIA UMA GRANDE AMIGA.</t>
        </is>
      </c>
      <c r="J2005" t="inlineStr"/>
      <c r="K2005" t="n">
        <v>0</v>
      </c>
      <c r="L2005" t="n">
        <v>1</v>
      </c>
      <c r="M2005" t="n">
        <v>1</v>
      </c>
      <c r="N2005" t="n">
        <v>0</v>
      </c>
      <c r="O2005" t="n">
        <v>0</v>
      </c>
      <c r="P2005">
        <f>HYPERLINK("https://g1.globo.com/jornal-nacional/noticia/2018/08/24/venezuelanas-deixam-filhos-no-pais-para-tentar-uma-vida-melhor-em-sp.ghtml", "URL")</f>
        <v/>
      </c>
      <c r="Q2005">
        <f>HYPERLINK("https://raw.githubusercontent.com/marcosmapl/dataset_imigrantes/main/materias_filtered/g1/venezuelanos/2018/07_ago/html/g1_0a495660-2307-11ed-b24f-6dbe51e79fca_2293.html", "HTML")</f>
        <v/>
      </c>
      <c r="R2005">
        <f>HYPERLINK("https://raw.githubusercontent.com/marcosmapl/dataset_imigrantes/main/materias_filtered/g1/venezuelanos/2018/07_ago/txt/g1_0a495660-2307-11ed-b24f-6dbe51e79fca_2293.txt", "TXT")</f>
        <v/>
      </c>
    </row>
    <row r="2006">
      <c r="A2006" s="1" t="n">
        <v>2004</v>
      </c>
      <c r="B2006" t="n">
        <v>2018</v>
      </c>
      <c r="C2006" s="2" t="n">
        <v>43337.0101264699</v>
      </c>
      <c r="D2006" t="inlineStr">
        <is>
          <t>G1</t>
        </is>
      </c>
      <c r="E2006" t="inlineStr">
        <is>
          <t>VENEZUELANOS</t>
        </is>
      </c>
      <c r="F2006" t="inlineStr">
        <is>
          <t>SÃO PAULO</t>
        </is>
      </c>
      <c r="G2006" t="inlineStr">
        <is>
          <t>ROBERTO KOVALICK, JORNAL NACIONAL</t>
        </is>
      </c>
      <c r="H2006" t="inlineStr">
        <is>
          <t>IDOSA GANHA 'NOVA FAMÍLIA' COM CHEGADA DE VENEZUELANAS A SÃO PAULO</t>
        </is>
      </c>
      <c r="I2006" t="inlineStr">
        <is>
          <t>CRISE NA VENEZUELA TRAZ CERCA DE 800 IMIGRANTES POR DIA AO BRASIL.</t>
        </is>
      </c>
      <c r="J2006" t="inlineStr"/>
      <c r="K2006" t="n">
        <v>0</v>
      </c>
      <c r="L2006" t="n">
        <v>1</v>
      </c>
      <c r="M2006" t="n">
        <v>0</v>
      </c>
      <c r="N2006" t="n">
        <v>0</v>
      </c>
      <c r="O2006" t="n">
        <v>19</v>
      </c>
      <c r="P2006">
        <f>HYPERLINK("https://g1.globo.com/sp/sao-paulo/noticia/2018/08/24/idosa-ganha-nova-familia-com-chegada-de-venezuelanas-a-sao-paulo.ghtml", "URL")</f>
        <v/>
      </c>
      <c r="Q2006">
        <f>HYPERLINK("https://raw.githubusercontent.com/marcosmapl/dataset_imigrantes/main/materias_filtered/g1/venezuelanos/2018/07_ago/html/g1_762abb98-2312-11ed-b24f-6dbe51e79fca_2967.html", "HTML")</f>
        <v/>
      </c>
      <c r="R2006">
        <f>HYPERLINK("https://raw.githubusercontent.com/marcosmapl/dataset_imigrantes/main/materias_filtered/g1/venezuelanos/2018/07_ago/txt/g1_762abb98-2312-11ed-b24f-6dbe51e79fca_2967.txt", "TXT")</f>
        <v/>
      </c>
    </row>
    <row r="2007">
      <c r="A2007" s="1" t="n">
        <v>2005</v>
      </c>
      <c r="B2007" t="n">
        <v>2018</v>
      </c>
      <c r="C2007" s="2" t="n">
        <v>43336.8546677662</v>
      </c>
      <c r="D2007" t="inlineStr">
        <is>
          <t>G1</t>
        </is>
      </c>
      <c r="E2007" t="inlineStr">
        <is>
          <t>VENEZUELANOS</t>
        </is>
      </c>
      <c r="F2007" t="inlineStr">
        <is>
          <t>PARÁ</t>
        </is>
      </c>
      <c r="G2007" t="inlineStr">
        <is>
          <t>G1 PA — BELÉM</t>
        </is>
      </c>
      <c r="H2007" t="inlineStr">
        <is>
          <t>EXAME REVELA QUE BEBÊ INDÍGENA VENEZUELANO NÃO MORREU POR SARAMPO; SESMA CONTINUA INVESTIGANDO O CASO</t>
        </is>
      </c>
      <c r="I2007" t="inlineStr">
        <is>
          <t>A CRIANÇA DE CINCO MESES FOI INTERNADA NO PRONTO SOCORRO MUNICIPAL MÁRIO PINOTTI, EM BELÉM, NA ÚLTIMA SEXTA-FEIRA (17). SECRETARIA INFORMOU QUE TODOS OS INDÍGENAS DA ETNIA WARAO FORAM VACINADOS EM BELÉM.</t>
        </is>
      </c>
      <c r="J2007" t="inlineStr"/>
      <c r="K2007" t="n">
        <v>0</v>
      </c>
      <c r="L2007" t="n">
        <v>1</v>
      </c>
      <c r="M2007" t="n">
        <v>1</v>
      </c>
      <c r="N2007" t="n">
        <v>0</v>
      </c>
      <c r="O2007" t="n">
        <v>1</v>
      </c>
      <c r="P2007">
        <f>HYPERLINK("https://g1.globo.com/pa/para/noticia/2018/08/24/exame-revela-que-bebe-indigena-venezuelano-nao-morreu-por-sarampo-sesma-continua-investigando-o-caso.ghtml", "URL")</f>
        <v/>
      </c>
      <c r="Q2007">
        <f>HYPERLINK("https://raw.githubusercontent.com/marcosmapl/dataset_imigrantes/main/materias_filtered/g1/venezuelanos/2018/07_ago/html/g1_d602e2b0-2318-11ed-b24f-6dbe51e79fca_3283.html", "HTML")</f>
        <v/>
      </c>
      <c r="R2007">
        <f>HYPERLINK("https://raw.githubusercontent.com/marcosmapl/dataset_imigrantes/main/materias_filtered/g1/venezuelanos/2018/07_ago/txt/g1_d602e2b0-2318-11ed-b24f-6dbe51e79fca_3283.txt", "TXT")</f>
        <v/>
      </c>
    </row>
    <row r="2008">
      <c r="A2008" s="1" t="n">
        <v>2006</v>
      </c>
      <c r="B2008" t="n">
        <v>2018</v>
      </c>
      <c r="C2008" s="2" t="n">
        <v>43336.75758084491</v>
      </c>
      <c r="D2008" t="inlineStr">
        <is>
          <t>G1</t>
        </is>
      </c>
      <c r="E2008" t="inlineStr">
        <is>
          <t>VENEZUELANOS</t>
        </is>
      </c>
      <c r="F2008" t="inlineStr">
        <is>
          <t>PARÁ</t>
        </is>
      </c>
      <c r="G2008" t="inlineStr">
        <is>
          <t>G1 PA — BELÉM</t>
        </is>
      </c>
      <c r="H2008" t="inlineStr">
        <is>
          <t>BEBÊ INDÍGENA VENEZUELANO MORRE COM SUSPEITA DE SARAMPO, EM BELÉM</t>
        </is>
      </c>
      <c r="I2008" t="inlineStr">
        <is>
          <t>A CRIANÇA DE CINCO MESES FOI INTERNADA NO PRONTO SOCORRO MUNICIPAL MÁRIO PINOTTI, EM BELÉM, NA ÚLTIMA SEXTA-FEIRA (17). PREFEITURA AINDA NÃO CONFIRMA QUE MORTE FOI POR SARAMPO. SECRETARIA INFORMOU QUE TODOS OS INDÍGENAS DA ETNIA WARAO FORAM VACINADOS EM BELÉM.</t>
        </is>
      </c>
      <c r="J2008" t="inlineStr"/>
      <c r="K2008" t="n">
        <v>0</v>
      </c>
      <c r="L2008" t="n">
        <v>1</v>
      </c>
      <c r="M2008" t="n">
        <v>1</v>
      </c>
      <c r="N2008" t="n">
        <v>0</v>
      </c>
      <c r="O2008" t="n">
        <v>0</v>
      </c>
      <c r="P2008">
        <f>HYPERLINK("https://g1.globo.com/pa/para/noticia/2018/08/24/bebe-indigena-venezuelano-morre-com-suspeita-de-sarampo-em-belem.ghtml", "URL")</f>
        <v/>
      </c>
      <c r="Q2008">
        <f>HYPERLINK("https://raw.githubusercontent.com/marcosmapl/dataset_imigrantes/main/materias_filtered/g1/venezuelanos/2018/07_ago/html/g1_41f63570-2315-11ed-b24f-6dbe51e79fca_3075.html", "HTML")</f>
        <v/>
      </c>
      <c r="R2008">
        <f>HYPERLINK("https://raw.githubusercontent.com/marcosmapl/dataset_imigrantes/main/materias_filtered/g1/venezuelanos/2018/07_ago/txt/g1_41f63570-2315-11ed-b24f-6dbe51e79fca_3075.txt", "TXT")</f>
        <v/>
      </c>
    </row>
    <row r="2009">
      <c r="A2009" s="1" t="n">
        <v>2007</v>
      </c>
      <c r="B2009" t="n">
        <v>2018</v>
      </c>
      <c r="C2009" s="2" t="n">
        <v>43336.50866898148</v>
      </c>
      <c r="D2009" t="inlineStr">
        <is>
          <t>A CRITICA</t>
        </is>
      </c>
      <c r="E2009" t="inlineStr">
        <is>
          <t>VENEZUELANOS</t>
        </is>
      </c>
      <c r="F2009" t="inlineStr"/>
      <c r="G2009" t="inlineStr">
        <is>
          <t>AGÊNCIA BRASIL*</t>
        </is>
      </c>
      <c r="H2009" t="inlineStr">
        <is>
          <t>VENEZUELANOS ENFRENTAM LONGAS CAMINHADAS E CORREM CONTRA O TEMPO PARA OBTER REFÚGIO</t>
        </is>
      </c>
      <c r="I2009" t="inlineStr">
        <is>
          <t>A PARTIR DE SÁBADO (25), ALGUNS PAÍSES COMO PERU E EQUADOR PASSARÃO A EXIGIR PASSAPORTE – E NÃO APENAS CARTEIRA DE IDENTIDADE – PARA PERMITIR A ENTRADA DOS IMIGRANTES</t>
        </is>
      </c>
      <c r="J2009" t="inlineStr"/>
      <c r="K2009" t="n">
        <v>0</v>
      </c>
      <c r="L2009" t="n">
        <v>1</v>
      </c>
      <c r="M2009" t="n">
        <v>0</v>
      </c>
      <c r="N2009" t="n">
        <v>0</v>
      </c>
      <c r="O2009" t="n">
        <v>0</v>
      </c>
      <c r="P2009">
        <f>HYPERLINK("https://www.acritica.com/venezuelanos-enfrentam-longas-caminhadas-e-correm-contra-o-tempo-para-obter-refugio-1.195823", "URL")</f>
        <v/>
      </c>
      <c r="Q2009">
        <f>HYPERLINK("https://raw.githubusercontent.com/marcosmapl/dataset_imigrantes/main/materias_filtered/a_critica/venezuelanos/2018/07_ago/html/1.195823_125.html", "HTML")</f>
        <v/>
      </c>
      <c r="R2009">
        <f>HYPERLINK("https://raw.githubusercontent.com/marcosmapl/dataset_imigrantes/main/materias_filtered/a_critica/venezuelanos/2018/07_ago/txt/1.195823_125.txt", "TXT")</f>
        <v/>
      </c>
    </row>
    <row r="2010">
      <c r="A2010" s="1" t="n">
        <v>2008</v>
      </c>
      <c r="B2010" t="n">
        <v>2018</v>
      </c>
      <c r="C2010" s="2" t="n">
        <v>43335.94847222222</v>
      </c>
      <c r="D2010" t="inlineStr">
        <is>
          <t>A CRITICA</t>
        </is>
      </c>
      <c r="E2010" t="inlineStr">
        <is>
          <t>VENEZUELANOS</t>
        </is>
      </c>
      <c r="F2010" t="inlineStr"/>
      <c r="G2010" t="inlineStr">
        <is>
          <t>POR DÉBORA BRITO - AGÊNCIA BRASIL</t>
        </is>
      </c>
      <c r="H2010" t="inlineStr">
        <is>
          <t>MINISTRO JUNGMANN NEGA OMISSÃO EM RELAÇÃO A VENEZUELANOS EM RORAIMA</t>
        </is>
      </c>
      <c r="I2010" t="inlineStr">
        <is>
          <t>QUESTIONADO SE O GOVERNO NÃO TERIA SIDO OMISSO EM DEIXAR MAIS DE MIL IMIGRANTES SEM ASSISTÊNCIA NAS RUAS DE PACARAIMA, JUNGMANN REBATEU QUE A RESPONSÁVEL PELOS CONFLITOS É A PRÓPRIA CRISE NO PAÍS VIZINHO</t>
        </is>
      </c>
      <c r="J2010" t="inlineStr"/>
      <c r="K2010" t="n">
        <v>0</v>
      </c>
      <c r="L2010" t="n">
        <v>1</v>
      </c>
      <c r="M2010" t="n">
        <v>0</v>
      </c>
      <c r="N2010" t="n">
        <v>0</v>
      </c>
      <c r="O2010" t="n">
        <v>0</v>
      </c>
      <c r="P2010">
        <f>HYPERLINK("https://www.acritica.com/ministro-jungmann-nega-omiss-o-em-relac-o-a-venezuelanos-em-roraima-1.195861", "URL")</f>
        <v/>
      </c>
      <c r="Q2010">
        <f>HYPERLINK("https://raw.githubusercontent.com/marcosmapl/dataset_imigrantes/main/materias_filtered/a_critica/venezuelanos/2018/07_ago/html/1.195861_1130.html", "HTML")</f>
        <v/>
      </c>
      <c r="R2010">
        <f>HYPERLINK("https://raw.githubusercontent.com/marcosmapl/dataset_imigrantes/main/materias_filtered/a_critica/venezuelanos/2018/07_ago/txt/1.195861_1130.txt", "TXT")</f>
        <v/>
      </c>
    </row>
    <row r="2011">
      <c r="A2011" s="1" t="n">
        <v>2009</v>
      </c>
      <c r="B2011" t="n">
        <v>2018</v>
      </c>
      <c r="C2011" s="2" t="n">
        <v>43335.84930555556</v>
      </c>
      <c r="D2011" t="inlineStr">
        <is>
          <t>PORTAL AMAZONIA</t>
        </is>
      </c>
      <c r="E2011" t="inlineStr">
        <is>
          <t>VENEZUELANOS</t>
        </is>
      </c>
      <c r="F2011" t="inlineStr">
        <is>
          <t>CIDADES</t>
        </is>
      </c>
      <c r="G2011" t="inlineStr">
        <is>
          <t>REDAÇÃO</t>
        </is>
      </c>
      <c r="H2011" t="inlineStr">
        <is>
          <t>MINISTÉRIO DESCARTA LIBERAÇÃO DE RECURSOS PARA RORAIMA</t>
        </is>
      </c>
      <c r="I2011" t="inlineStr">
        <is>
          <t>FOTO:REPRODUÇÃO/PORTAL BRASILEM VISITA A PACARAIMA, MUNICÍPIO DE FRONTEIRA QUE TEM RECEBIDO CENTENAS DE IMIGRANTES VENEZUELANOS, O MINISTRO DA SEGURANÇA PÚBLICA, RAUL JUNGMANN, AFIRMOU QUE, NO MOMENTO, NÃO HÁ POSSIBILIDADE DE LIBE</t>
        </is>
      </c>
      <c r="J2011" t="inlineStr">
        <is>
          <t>AMAZÔNIA INTERNACIONAL, CRISE MIGRATORIA, IMIGRANTES VENEZUELANOS, INTERNACIONAL, MINISTERIO DA SEGURANCA PUBLICA, PACARAIMA, RAUL JUNGMANN, RORAIMA, VENEZUELA</t>
        </is>
      </c>
      <c r="K2011" t="n">
        <v>9</v>
      </c>
      <c r="L2011" t="n">
        <v>2</v>
      </c>
      <c r="M2011" t="n">
        <v>0</v>
      </c>
      <c r="N2011" t="n">
        <v>0</v>
      </c>
      <c r="O2011" t="n">
        <v>14</v>
      </c>
      <c r="P2011">
        <f>HYPERLINK("https://portalamazonia.com/noticias/cidades/ministerio-descarta-liberacao-de-recursos-para-roraima", "URL")</f>
        <v/>
      </c>
      <c r="Q2011">
        <f>HYPERLINK("https://raw.githubusercontent.com/marcosmapl/dataset_imigrantes/main/materias_filtered/portal_amazonia/venezuelanos/2018/07_ago/html/15527.15527_1455.html", "HTML")</f>
        <v/>
      </c>
      <c r="R2011">
        <f>HYPERLINK("https://raw.githubusercontent.com/marcosmapl/dataset_imigrantes/main/materias_filtered/portal_amazonia/venezuelanos/2018/07_ago/txt/15527.15527_1455.txt", "TXT")</f>
        <v/>
      </c>
    </row>
    <row r="2012">
      <c r="A2012" s="1" t="n">
        <v>2010</v>
      </c>
      <c r="B2012" t="n">
        <v>2018</v>
      </c>
      <c r="C2012" s="2" t="n">
        <v>43335.76246527778</v>
      </c>
      <c r="D2012" t="inlineStr">
        <is>
          <t>A CRITICA</t>
        </is>
      </c>
      <c r="E2012" t="inlineStr">
        <is>
          <t>VENEZUELANOS</t>
        </is>
      </c>
      <c r="F2012" t="inlineStr"/>
      <c r="G2012" t="inlineStr">
        <is>
          <t>AGÊNCIA EFE</t>
        </is>
      </c>
      <c r="H2012" t="inlineStr">
        <is>
          <t>PERU ESPERA CHEGADA DE 20 MIL IMIGRANTES VENEZUELANOS NAS PRÓXIMAS 48 HORAS</t>
        </is>
      </c>
      <c r="I2012" t="inlineStr">
        <is>
          <t>A PARTIR DA MEIA-NOITE DE SÁBADO (25), O GOVERNO PERUANO IMPEDIRÁ A ENTRADA DE VENEZUELANOS QUE NÃO ESTEJAM DE POSSE DO PASSAPORTE</t>
        </is>
      </c>
      <c r="J2012" t="inlineStr"/>
      <c r="K2012" t="n">
        <v>0</v>
      </c>
      <c r="L2012" t="n">
        <v>1</v>
      </c>
      <c r="M2012" t="n">
        <v>0</v>
      </c>
      <c r="N2012" t="n">
        <v>0</v>
      </c>
      <c r="O2012" t="n">
        <v>0</v>
      </c>
      <c r="P2012">
        <f>HYPERLINK("https://www.acritica.com/peru-espera-chegada-de-20-mil-imigrantes-venezuelanos-nas-proximas-48-horas-1.195678", "URL")</f>
        <v/>
      </c>
      <c r="Q2012">
        <f>HYPERLINK("https://raw.githubusercontent.com/marcosmapl/dataset_imigrantes/main/materias_filtered/a_critica/venezuelanos/2018/07_ago/html/1.195678_460.html", "HTML")</f>
        <v/>
      </c>
      <c r="R2012">
        <f>HYPERLINK("https://raw.githubusercontent.com/marcosmapl/dataset_imigrantes/main/materias_filtered/a_critica/venezuelanos/2018/07_ago/txt/1.195678_460.txt", "TXT")</f>
        <v/>
      </c>
    </row>
    <row r="2013">
      <c r="A2013" s="1" t="n">
        <v>2011</v>
      </c>
      <c r="B2013" t="n">
        <v>2018</v>
      </c>
      <c r="C2013" s="2" t="n">
        <v>43335.52569444444</v>
      </c>
      <c r="D2013" t="inlineStr">
        <is>
          <t>A CRITICA</t>
        </is>
      </c>
      <c r="E2013" t="inlineStr">
        <is>
          <t>VENEZUELANOS</t>
        </is>
      </c>
      <c r="F2013" t="inlineStr"/>
      <c r="G2013" t="inlineStr">
        <is>
          <t>PAULA LABOISSIÈRE (AGÊNCIA BRASIL)</t>
        </is>
      </c>
      <c r="H2013" t="inlineStr">
        <is>
          <t>ONU PEDE APOIO INTERNACIONAL A PAÍSES QUE RECEBEM IMIGRANTES VENEZUELANOS</t>
        </is>
      </c>
      <c r="I2013" t="inlineStr">
        <is>
          <t>ENTIDADES ESTIMAM QUE 2,3 MILHÕES DE VENEZUELANOS VIVAM FORA DO PAÍS ATUALMENTE, SENDO QUE MAIS DE 1,6 MILHÃO DEIXARAM A VENEZUELA DESDE 2015</t>
        </is>
      </c>
      <c r="J2013" t="inlineStr"/>
      <c r="K2013" t="n">
        <v>0</v>
      </c>
      <c r="L2013" t="n">
        <v>1</v>
      </c>
      <c r="M2013" t="n">
        <v>0</v>
      </c>
      <c r="N2013" t="n">
        <v>0</v>
      </c>
      <c r="O2013" t="n">
        <v>0</v>
      </c>
      <c r="P2013">
        <f>HYPERLINK("https://www.acritica.com/onu-pede-apoio-internacional-a-paises-que-recebem-imigrantes-venezuelanos-1.195754", "URL")</f>
        <v/>
      </c>
      <c r="Q2013">
        <f>HYPERLINK("https://raw.githubusercontent.com/marcosmapl/dataset_imigrantes/main/materias_filtered/a_critica/venezuelanos/2018/07_ago/html/1.195754_1009.html", "HTML")</f>
        <v/>
      </c>
      <c r="R2013">
        <f>HYPERLINK("https://raw.githubusercontent.com/marcosmapl/dataset_imigrantes/main/materias_filtered/a_critica/venezuelanos/2018/07_ago/txt/1.195754_1009.txt", "TXT")</f>
        <v/>
      </c>
    </row>
    <row r="2014">
      <c r="A2014" s="1" t="n">
        <v>2012</v>
      </c>
      <c r="B2014" t="n">
        <v>2018</v>
      </c>
      <c r="C2014" s="2" t="n">
        <v>43335.51534778935</v>
      </c>
      <c r="D2014" t="inlineStr">
        <is>
          <t>G1</t>
        </is>
      </c>
      <c r="E2014" t="inlineStr">
        <is>
          <t>VENEZUELANOS</t>
        </is>
      </c>
      <c r="F2014" t="inlineStr">
        <is>
          <t>MUNDO</t>
        </is>
      </c>
      <c r="G2014" t="inlineStr">
        <is>
          <t>BBC</t>
        </is>
      </c>
      <c r="H2014" t="inlineStr">
        <is>
          <t>A PONTE QUE SIMBOLIZA O DESESPERO DO ÊXODO VENEZUELANO</t>
        </is>
      </c>
      <c r="I2014" t="inlineStr">
        <is>
          <t>CRISE NA VENEZUELA TEM PROVOCADO UMA DAS MAIORES MIGRAÇÕES EM MASSA DA HISTÓRIA DO CONTINENTE; PONTE NA FRONTEIRA COM COLÔMBIA SE TORNOU SÍMBOLO DO ÊXODO DE PESSOAS EM BUSCA DE TRABALHO, COMIDA E ATENDIMENTO MÉDICO.</t>
        </is>
      </c>
      <c r="J2014" t="inlineStr"/>
      <c r="K2014" t="n">
        <v>0</v>
      </c>
      <c r="L2014" t="n">
        <v>1</v>
      </c>
      <c r="M2014" t="n">
        <v>0</v>
      </c>
      <c r="N2014" t="n">
        <v>0</v>
      </c>
      <c r="O2014" t="n">
        <v>2</v>
      </c>
      <c r="P2014">
        <f>HYPERLINK("https://g1.globo.com/mundo/noticia/2018/08/23/a-ponte-que-simboliza-o-desespero-do-exodo-venezuelano.ghtml", "URL")</f>
        <v/>
      </c>
      <c r="Q2014">
        <f>HYPERLINK("https://raw.githubusercontent.com/marcosmapl/dataset_imigrantes/main/materias_filtered/g1/venezuelanos/2018/07_ago/html/g1_e64b12b4-232c-11ed-b24f-6dbe51e79fca_4333.html", "HTML")</f>
        <v/>
      </c>
      <c r="R2014">
        <f>HYPERLINK("https://raw.githubusercontent.com/marcosmapl/dataset_imigrantes/main/materias_filtered/g1/venezuelanos/2018/07_ago/txt/g1_e64b12b4-232c-11ed-b24f-6dbe51e79fca_4333.txt", "TXT")</f>
        <v/>
      </c>
    </row>
    <row r="2015">
      <c r="A2015" s="1" t="n">
        <v>2013</v>
      </c>
      <c r="B2015" t="n">
        <v>2018</v>
      </c>
      <c r="C2015" s="2" t="n">
        <v>43335.51180555556</v>
      </c>
      <c r="D2015" t="inlineStr">
        <is>
          <t>PORTAL AMAZONIA</t>
        </is>
      </c>
      <c r="E2015" t="inlineStr">
        <is>
          <t>VENEZUELANOS</t>
        </is>
      </c>
      <c r="F2015" t="inlineStr">
        <is>
          <t>CIDADES</t>
        </is>
      </c>
      <c r="G2015" t="inlineStr">
        <is>
          <t>REDAÇÃO</t>
        </is>
      </c>
      <c r="H2015" t="inlineStr">
        <is>
          <t>APÓS CONFLITOS EM PACARAIMA, RUAS E COMÉRCIO ESTÃO VAZIOS</t>
        </is>
      </c>
      <c r="I2015" t="inlineStr">
        <is>
          <t>APÓS OS CONFLITOS DO ÚLTIMO SÁBADO (18) EM PACARAIMA (RR), EM QUE VENEZUELANOS FORAM ATACADOS, TIVERAM BARRACAS E PERTENCES QUEIMADOS POR MORADORES, CAIU O MOVIMENTO DE IMIGRANTES NA FRONTEIRA ENTRE RORAIMA E SANTA ELENA DE UAIREN, NA VENEZUELA.</t>
        </is>
      </c>
      <c r="J2015" t="inlineStr">
        <is>
          <t>FRONTEIRA, PACARAIMA, RORAIMA, VENEZUELA, VENEZUELANOS</t>
        </is>
      </c>
      <c r="K2015" t="n">
        <v>5</v>
      </c>
      <c r="L2015" t="n">
        <v>3</v>
      </c>
      <c r="M2015" t="n">
        <v>0</v>
      </c>
      <c r="N2015" t="n">
        <v>0</v>
      </c>
      <c r="O2015" t="n">
        <v>10</v>
      </c>
      <c r="P2015">
        <f>HYPERLINK("https://portalamazonia.com/noticias/cidades/apos-conflitos-em-pacaraima-ruas-e-comercio-estao-vazios", "URL")</f>
        <v/>
      </c>
      <c r="Q2015">
        <f>HYPERLINK("https://raw.githubusercontent.com/marcosmapl/dataset_imigrantes/main/materias_filtered/portal_amazonia/venezuelanos/2018/07_ago/html/15520.15520_1421.html", "HTML")</f>
        <v/>
      </c>
      <c r="R2015">
        <f>HYPERLINK("https://raw.githubusercontent.com/marcosmapl/dataset_imigrantes/main/materias_filtered/portal_amazonia/venezuelanos/2018/07_ago/txt/15520.15520_1421.txt", "TXT")</f>
        <v/>
      </c>
    </row>
    <row r="2016">
      <c r="A2016" s="1" t="n">
        <v>2014</v>
      </c>
      <c r="B2016" t="n">
        <v>2018</v>
      </c>
      <c r="C2016" s="2" t="n">
        <v>43335.4353125</v>
      </c>
      <c r="D2016" t="inlineStr">
        <is>
          <t>A CRITICA</t>
        </is>
      </c>
      <c r="E2016" t="inlineStr">
        <is>
          <t>VENEZUELANOS</t>
        </is>
      </c>
      <c r="F2016" t="inlineStr"/>
      <c r="G2016" t="inlineStr"/>
      <c r="H2016" t="inlineStr">
        <is>
          <t>AMAZONAS COMANDA A FORÇA-TAREFA</t>
        </is>
      </c>
      <c r="I2016" t="inlineStr"/>
      <c r="J2016" t="inlineStr"/>
      <c r="K2016" t="n">
        <v>0</v>
      </c>
      <c r="L2016" t="n">
        <v>1</v>
      </c>
      <c r="M2016" t="n">
        <v>0</v>
      </c>
      <c r="N2016" t="n">
        <v>0</v>
      </c>
      <c r="O2016" t="n">
        <v>0</v>
      </c>
      <c r="P2016">
        <f>HYPERLINK("https://www.acritica.com/amazonas-comanda-a-forca-tarefa-1.230789", "URL")</f>
        <v/>
      </c>
      <c r="Q2016">
        <f>HYPERLINK("https://raw.githubusercontent.com/marcosmapl/dataset_imigrantes/main/materias_filtered/a_critica/venezuelanos/2018/07_ago/html/1.230789_656.html", "HTML")</f>
        <v/>
      </c>
      <c r="R2016">
        <f>HYPERLINK("https://raw.githubusercontent.com/marcosmapl/dataset_imigrantes/main/materias_filtered/a_critica/venezuelanos/2018/07_ago/txt/1.230789_656.txt", "TXT")</f>
        <v/>
      </c>
    </row>
    <row r="2017">
      <c r="A2017" s="1" t="n">
        <v>2015</v>
      </c>
      <c r="B2017" t="n">
        <v>2018</v>
      </c>
      <c r="C2017" s="2" t="n">
        <v>43334.84591615741</v>
      </c>
      <c r="D2017" t="inlineStr">
        <is>
          <t>G1</t>
        </is>
      </c>
      <c r="E2017" t="inlineStr">
        <is>
          <t>VENEZUELANOS</t>
        </is>
      </c>
      <c r="F2017" t="inlineStr">
        <is>
          <t>RORAIMA</t>
        </is>
      </c>
      <c r="G2017" t="inlineStr">
        <is>
          <t>EMILY COSTA E ALAN CHAVES*, G1 RR — BOA VISTA</t>
        </is>
      </c>
      <c r="H2017" t="inlineStr">
        <is>
          <t>CRIANÇAS VENEZUELANAS BUSCAM COMIDA NO LIXO NA FRONTEIRA DO BRASIL EM MEIO À TENSÃO APÓS ATAQUES</t>
        </is>
      </c>
      <c r="I2017" t="inlineStr">
        <is>
          <t>CRIANÇAS REVIRAM LIXO E PEDEM COMIDA NAS RUAS DE PACARAIMA, NA FRONTEIRA COM A VENEZUELA. NO ÚLTIMO SÁBADO (18), MORADORES SE REVOLTARAM COM ASSALTO E AGRESSÃO DE BRASILEIRO E EXPULSARAM VENEZUELANOS DAS RUAS: ‘TEMOS ROTINA DE INSEGURANÇA E PRECISAMOS DE AJUDA’, DIZ PREFEITO.</t>
        </is>
      </c>
      <c r="J2017" t="inlineStr"/>
      <c r="K2017" t="n">
        <v>0</v>
      </c>
      <c r="L2017" t="n">
        <v>2</v>
      </c>
      <c r="M2017" t="n">
        <v>0</v>
      </c>
      <c r="N2017" t="n">
        <v>0</v>
      </c>
      <c r="O2017" t="n">
        <v>3</v>
      </c>
      <c r="P2017">
        <f>HYPERLINK("https://g1.globo.com/rr/roraima/noticia/2018/08/22/criancas-venezuelanas-buscam-comida-no-lixo-na-fronteira-do-brasil-em-meio-a-tensao-apos-ataques.ghtml", "URL")</f>
        <v/>
      </c>
      <c r="Q2017">
        <f>HYPERLINK("https://raw.githubusercontent.com/marcosmapl/dataset_imigrantes/main/materias_filtered/g1/venezuelanos/2018/07_ago/html/g1_7f38d976-231d-11ed-b24f-6dbe51e79fca_3504.html", "HTML")</f>
        <v/>
      </c>
      <c r="R2017">
        <f>HYPERLINK("https://raw.githubusercontent.com/marcosmapl/dataset_imigrantes/main/materias_filtered/g1/venezuelanos/2018/07_ago/txt/g1_7f38d976-231d-11ed-b24f-6dbe51e79fca_3504.txt", "TXT")</f>
        <v/>
      </c>
    </row>
    <row r="2018">
      <c r="A2018" s="1" t="n">
        <v>2016</v>
      </c>
      <c r="B2018" t="n">
        <v>2018</v>
      </c>
      <c r="C2018" s="2" t="n">
        <v>43334.74166666667</v>
      </c>
      <c r="D2018" t="inlineStr">
        <is>
          <t>A CRITICA</t>
        </is>
      </c>
      <c r="E2018" t="inlineStr">
        <is>
          <t>VENEZUELANOS</t>
        </is>
      </c>
      <c r="F2018" t="inlineStr"/>
      <c r="G2018" t="inlineStr">
        <is>
          <t>AFP</t>
        </is>
      </c>
      <c r="H2018" t="inlineStr">
        <is>
          <t>MIL  VENEZUELANOS SERÃO DISTRIBUÍDOS PELO BRASIL APÓS CRISE NA FRONTEIRA</t>
        </is>
      </c>
      <c r="I2018" t="inlineStr">
        <is>
          <t>EM RORAIMA, REPRESENTANTE DA CASA CIVIL, EXPLICOU QUE O 'PROCESSO DE INTERIORIZAÇÃO' DOS IMIGRANTES VENEZUELANOS COMEÇARÁ NO FINAL DE AGOSTO, SEM PRECISAR AS CIDADES DE DESTINO.</t>
        </is>
      </c>
      <c r="J2018" t="inlineStr"/>
      <c r="K2018" t="n">
        <v>0</v>
      </c>
      <c r="L2018" t="n">
        <v>1</v>
      </c>
      <c r="M2018" t="n">
        <v>0</v>
      </c>
      <c r="N2018" t="n">
        <v>0</v>
      </c>
      <c r="O2018" t="n">
        <v>0</v>
      </c>
      <c r="P2018">
        <f>HYPERLINK("https://www.acritica.com/mil-venezuelanos-ser-o-distribuidos-pelo-brasil-apos-crise-na-fronteira-1.194779", "URL")</f>
        <v/>
      </c>
      <c r="Q2018">
        <f>HYPERLINK("https://raw.githubusercontent.com/marcosmapl/dataset_imigrantes/main/materias_filtered/a_critica/venezuelanos/2018/07_ago/html/1.194779_245.html", "HTML")</f>
        <v/>
      </c>
      <c r="R2018">
        <f>HYPERLINK("https://raw.githubusercontent.com/marcosmapl/dataset_imigrantes/main/materias_filtered/a_critica/venezuelanos/2018/07_ago/txt/1.194779_245.txt", "TXT")</f>
        <v/>
      </c>
    </row>
    <row r="2019">
      <c r="A2019" s="1" t="n">
        <v>2017</v>
      </c>
      <c r="B2019" t="n">
        <v>2018</v>
      </c>
      <c r="C2019" s="2" t="n">
        <v>43334.58670138889</v>
      </c>
      <c r="D2019" t="inlineStr">
        <is>
          <t>A CRITICA</t>
        </is>
      </c>
      <c r="E2019" t="inlineStr">
        <is>
          <t>VENEZUELANOS</t>
        </is>
      </c>
      <c r="F2019" t="inlineStr"/>
      <c r="G2019" t="inlineStr">
        <is>
          <t>LEANDRO MELITO (AGÊNCIA BRASIL)</t>
        </is>
      </c>
      <c r="H2019" t="inlineStr">
        <is>
          <t>ESCOLAS DE PACARAIMA FICAM SUPERLOTADAS COM AUMENTO DO FLUXO DE VENEZUELANOS</t>
        </is>
      </c>
      <c r="I2019" t="inlineStr">
        <is>
          <t>SECRETARIA DE EDUCAÇÃO DIZ QUE PEDIU AJUDA AO MEC EM MARÇO. EM 2017, O NÚMERO DE ALUNOS NA CIDADE FOI DE 1.338. ESTE ANO, CHEGOU A 2.030</t>
        </is>
      </c>
      <c r="J2019" t="inlineStr"/>
      <c r="K2019" t="n">
        <v>0</v>
      </c>
      <c r="L2019" t="n">
        <v>1</v>
      </c>
      <c r="M2019" t="n">
        <v>0</v>
      </c>
      <c r="N2019" t="n">
        <v>0</v>
      </c>
      <c r="O2019" t="n">
        <v>0</v>
      </c>
      <c r="P2019">
        <f>HYPERLINK("https://www.acritica.com/escolas-de-pacaraima-ficam-superlotadas-com-aumento-do-fluxo-de-venezuelanos-1.194827", "URL")</f>
        <v/>
      </c>
      <c r="Q2019">
        <f>HYPERLINK("https://raw.githubusercontent.com/marcosmapl/dataset_imigrantes/main/materias_filtered/a_critica/venezuelanos/2018/07_ago/html/1.194827_930.html", "HTML")</f>
        <v/>
      </c>
      <c r="R2019">
        <f>HYPERLINK("https://raw.githubusercontent.com/marcosmapl/dataset_imigrantes/main/materias_filtered/a_critica/venezuelanos/2018/07_ago/txt/1.194827_930.txt", "TXT")</f>
        <v/>
      </c>
    </row>
    <row r="2020">
      <c r="A2020" s="1" t="n">
        <v>2018</v>
      </c>
      <c r="B2020" t="n">
        <v>2018</v>
      </c>
      <c r="C2020" s="2" t="n">
        <v>43334.55555555555</v>
      </c>
      <c r="D2020" t="inlineStr">
        <is>
          <t>A CRITICA</t>
        </is>
      </c>
      <c r="E2020" t="inlineStr">
        <is>
          <t>VENEZUELANOS</t>
        </is>
      </c>
      <c r="F2020" t="inlineStr"/>
      <c r="G2020" t="inlineStr">
        <is>
          <t>ACRÍTICA.COM</t>
        </is>
      </c>
      <c r="H2020" t="inlineStr">
        <is>
          <t>NOVO TERREMOTO DE MAGNITUDE 5,8 É REGISTRADO NA VENEZUELA</t>
        </is>
      </c>
      <c r="I2020" t="inlineStr">
        <is>
          <t>ONTEM, UM TERREMOTO MAIOR, DE 7,3 NA ESCALA RICHTER, REGISTRADO ÀS 17H31, FOI SENTIDO EM REGIÕES ALTAS DE MANAUS</t>
        </is>
      </c>
      <c r="J2020" t="inlineStr"/>
      <c r="K2020" t="n">
        <v>0</v>
      </c>
      <c r="L2020" t="n">
        <v>1</v>
      </c>
      <c r="M2020" t="n">
        <v>0</v>
      </c>
      <c r="N2020" t="n">
        <v>0</v>
      </c>
      <c r="O2020" t="n">
        <v>1</v>
      </c>
      <c r="P2020">
        <f>HYPERLINK("https://www.acritica.com/novo-terremoto-de-magnitude-5-8-e-registrado-na-venezuela-1.194839", "URL")</f>
        <v/>
      </c>
      <c r="Q2020">
        <f>HYPERLINK("https://raw.githubusercontent.com/marcosmapl/dataset_imigrantes/main/materias_filtered/a_critica/venezuelanos/2018/07_ago/html/1.194839_1180.html", "HTML")</f>
        <v/>
      </c>
      <c r="R2020">
        <f>HYPERLINK("https://raw.githubusercontent.com/marcosmapl/dataset_imigrantes/main/materias_filtered/a_critica/venezuelanos/2018/07_ago/txt/1.194839_1180.txt", "TXT")</f>
        <v/>
      </c>
    </row>
    <row r="2021">
      <c r="A2021" s="1" t="n">
        <v>2019</v>
      </c>
      <c r="B2021" t="n">
        <v>2018</v>
      </c>
      <c r="C2021" s="2" t="n">
        <v>43334.49166666667</v>
      </c>
      <c r="D2021" t="inlineStr">
        <is>
          <t>PORTAL AMAZONIA</t>
        </is>
      </c>
      <c r="E2021" t="inlineStr">
        <is>
          <t>VENEZUELANOS</t>
        </is>
      </c>
      <c r="F2021" t="inlineStr">
        <is>
          <t>CIDADES</t>
        </is>
      </c>
      <c r="G2021" t="inlineStr">
        <is>
          <t>REDAÇÃO</t>
        </is>
      </c>
      <c r="H2021" t="inlineStr">
        <is>
          <t>VENEZUELANOS SUPERLOTAM ESCOLAS DE PACARAIMA; PREFEITURA PEDE AJUDA DO MEC</t>
        </is>
      </c>
      <c r="I2021" t="inlineStr">
        <is>
          <t>COM O AUMENTO DO FLUXO DE IMIGRANTES VENEZUELANOS ESTE ANO PARA O BRASIL, O MUNICÍPIO DE PACARAIMA (RR), QUE FAZ FRONTEIRA COM O PAÍS VIZINHO, PASSOU A ENFRENTAR O PROBLEMA DA SUPERLOTAÇÃO NAS SALAS DE AULA. O SISTEMA DE EDUCAÇÃO PÚBLICA DO MUNICÍPIO</t>
        </is>
      </c>
      <c r="J2021" t="inlineStr">
        <is>
          <t>ESCOLAS, PACARAIMA, RORAIMA, SUPERLOTACAO, VENEZUELANOS</t>
        </is>
      </c>
      <c r="K2021" t="n">
        <v>5</v>
      </c>
      <c r="L2021" t="n">
        <v>4</v>
      </c>
      <c r="M2021" t="n">
        <v>0</v>
      </c>
      <c r="N2021" t="n">
        <v>0</v>
      </c>
      <c r="O2021" t="n">
        <v>10</v>
      </c>
      <c r="P2021">
        <f>HYPERLINK("https://portalamazonia.com/noticias/cidades/venezuelanos-superlotam-escolas-de-pacaraima-prefeitura-pede-ajuda-do-mec", "URL")</f>
        <v/>
      </c>
      <c r="Q2021">
        <f>HYPERLINK("https://raw.githubusercontent.com/marcosmapl/dataset_imigrantes/main/materias_filtered/portal_amazonia/venezuelanos/2018/07_ago/html/15509.15509_1594.html", "HTML")</f>
        <v/>
      </c>
      <c r="R2021">
        <f>HYPERLINK("https://raw.githubusercontent.com/marcosmapl/dataset_imigrantes/main/materias_filtered/portal_amazonia/venezuelanos/2018/07_ago/txt/15509.15509_1594.txt", "TXT")</f>
        <v/>
      </c>
    </row>
    <row r="2022">
      <c r="A2022" s="1" t="n">
        <v>2020</v>
      </c>
      <c r="B2022" t="n">
        <v>2018</v>
      </c>
      <c r="C2022" s="2" t="n">
        <v>43334.43575699074</v>
      </c>
      <c r="D2022" t="inlineStr">
        <is>
          <t>G1</t>
        </is>
      </c>
      <c r="E2022" t="inlineStr">
        <is>
          <t>VENEZUELANOS</t>
        </is>
      </c>
      <c r="F2022" t="inlineStr">
        <is>
          <t>MUNDO</t>
        </is>
      </c>
      <c r="G2022" t="inlineStr">
        <is>
          <t>FRANCE PRESSE</t>
        </is>
      </c>
      <c r="H2022" t="inlineStr">
        <is>
          <t>PARLAMENTO VENEZUELANO RESPALDA SENTENÇA DE TRIBUNAL NO EXÍLIO CONTRA MADURO</t>
        </is>
      </c>
      <c r="I2022" t="inlineStr">
        <is>
          <t>TRIBUNAL SUPREMO DE JUSTIÇA NO EXÍLIO CONDENOU SIMBOLICAMENTE O PRESIDENTE VENEZUELANO POR CORRUPÇÃO APÓS O ESCÂNDALO DA EMPREITEIRA BRASILEIRA ODEBRECHT.</t>
        </is>
      </c>
      <c r="J2022" t="inlineStr"/>
      <c r="K2022" t="n">
        <v>0</v>
      </c>
      <c r="L2022" t="n">
        <v>2</v>
      </c>
      <c r="M2022" t="n">
        <v>0</v>
      </c>
      <c r="N2022" t="n">
        <v>0</v>
      </c>
      <c r="O2022" t="n">
        <v>5</v>
      </c>
      <c r="P2022">
        <f>HYPERLINK("https://g1.globo.com/mundo/noticia/2018/08/22/parlamento-venezuelano-respalda-sentenca-de-tribunal-no-exilio-contra-maduro.ghtml", "URL")</f>
        <v/>
      </c>
      <c r="Q2022">
        <f>HYPERLINK("https://raw.githubusercontent.com/marcosmapl/dataset_imigrantes/main/materias_filtered/g1/venezuelanos/2018/07_ago/html/g1_67c51b56-2322-11ed-b24f-6dbe51e79fca_3751.html", "HTML")</f>
        <v/>
      </c>
      <c r="R2022">
        <f>HYPERLINK("https://raw.githubusercontent.com/marcosmapl/dataset_imigrantes/main/materias_filtered/g1/venezuelanos/2018/07_ago/txt/g1_67c51b56-2322-11ed-b24f-6dbe51e79fca_3751.txt", "TXT")</f>
        <v/>
      </c>
    </row>
    <row r="2023">
      <c r="A2023" s="1" t="n">
        <v>2021</v>
      </c>
      <c r="B2023" t="n">
        <v>2018</v>
      </c>
      <c r="C2023" s="2" t="n">
        <v>43334.42094907408</v>
      </c>
      <c r="D2023" t="inlineStr">
        <is>
          <t>A CRITICA</t>
        </is>
      </c>
      <c r="E2023" t="inlineStr">
        <is>
          <t>VENEZUELANOS</t>
        </is>
      </c>
      <c r="F2023" t="inlineStr"/>
      <c r="G2023" t="inlineStr"/>
      <c r="H2023" t="inlineStr">
        <is>
          <t>QUASE 50% TÊM ENSINO SUPERIOR</t>
        </is>
      </c>
      <c r="I2023" t="inlineStr"/>
      <c r="J2023" t="inlineStr"/>
      <c r="K2023" t="n">
        <v>0</v>
      </c>
      <c r="L2023" t="n">
        <v>1</v>
      </c>
      <c r="M2023" t="n">
        <v>0</v>
      </c>
      <c r="N2023" t="n">
        <v>0</v>
      </c>
      <c r="O2023" t="n">
        <v>0</v>
      </c>
      <c r="P2023">
        <f>HYPERLINK("https://www.acritica.com/quase-50-tem-ensino-superior-1.230800", "URL")</f>
        <v/>
      </c>
      <c r="Q2023">
        <f>HYPERLINK("https://raw.githubusercontent.com/marcosmapl/dataset_imigrantes/main/materias_filtered/a_critica/venezuelanos/2018/07_ago/html/1.230800_866.html", "HTML")</f>
        <v/>
      </c>
      <c r="R2023">
        <f>HYPERLINK("https://raw.githubusercontent.com/marcosmapl/dataset_imigrantes/main/materias_filtered/a_critica/venezuelanos/2018/07_ago/txt/1.230800_866.txt", "TXT")</f>
        <v/>
      </c>
    </row>
    <row r="2024">
      <c r="A2024" s="1" t="n">
        <v>2022</v>
      </c>
      <c r="B2024" t="n">
        <v>2018</v>
      </c>
      <c r="C2024" s="2" t="n">
        <v>43334.03900462963</v>
      </c>
      <c r="D2024" t="inlineStr">
        <is>
          <t>A CRITICA</t>
        </is>
      </c>
      <c r="E2024" t="inlineStr">
        <is>
          <t>VENEZUELANOS</t>
        </is>
      </c>
      <c r="F2024" t="inlineStr">
        <is>
          <t>MANAUS</t>
        </is>
      </c>
      <c r="G2024" t="inlineStr">
        <is>
          <t>ACRITICA.COM*</t>
        </is>
      </c>
      <c r="H2024" t="inlineStr">
        <is>
          <t>EFEITOS DO TERREMOTO NA VENEZUELA NÃO TRAZEM RISCOS AOS PRÉDIOS DE MANAUS</t>
        </is>
      </c>
      <c r="I2024" t="inlineStr">
        <is>
          <t>O PESQUISADOR DO SERVIÇO GEOLÓGICO DO BRASIL, MARCO ANTONIO OLIVEIRA, EXPLICOU PORQUE A CAPITAL AMAZONENSE SENTIU IMPACTOS DO TERREMOTO NO PAÍS VIZINHO</t>
        </is>
      </c>
      <c r="J2024" t="inlineStr"/>
      <c r="K2024" t="n">
        <v>0</v>
      </c>
      <c r="L2024" t="n">
        <v>1</v>
      </c>
      <c r="M2024" t="n">
        <v>0</v>
      </c>
      <c r="N2024" t="n">
        <v>0</v>
      </c>
      <c r="O2024" t="n">
        <v>1</v>
      </c>
      <c r="P2024">
        <f>HYPERLINK("https://www.acritica.com/manaus/efeitos-do-terremoto-na-venezuela-n-o-trazem-riscos-aos-predios-de-manaus-1.194857", "URL")</f>
        <v/>
      </c>
      <c r="Q2024">
        <f>HYPERLINK("https://raw.githubusercontent.com/marcosmapl/dataset_imigrantes/main/materias_filtered/a_critica/venezuelanos/2018/07_ago/html/1.194857_286.html", "HTML")</f>
        <v/>
      </c>
      <c r="R2024">
        <f>HYPERLINK("https://raw.githubusercontent.com/marcosmapl/dataset_imigrantes/main/materias_filtered/a_critica/venezuelanos/2018/07_ago/txt/1.194857_286.txt", "TXT")</f>
        <v/>
      </c>
    </row>
    <row r="2025">
      <c r="A2025" s="1" t="n">
        <v>2023</v>
      </c>
      <c r="B2025" t="n">
        <v>2018</v>
      </c>
      <c r="C2025" s="2" t="n">
        <v>43333.96111111111</v>
      </c>
      <c r="D2025" t="inlineStr">
        <is>
          <t>A CRITICA</t>
        </is>
      </c>
      <c r="E2025" t="inlineStr">
        <is>
          <t>VENEZUELANOS</t>
        </is>
      </c>
      <c r="F2025" t="inlineStr">
        <is>
          <t>MANAUS</t>
        </is>
      </c>
      <c r="G2025" t="inlineStr">
        <is>
          <t>RAFAEL SEIXAS</t>
        </is>
      </c>
      <c r="H2025" t="inlineStr">
        <is>
          <t>‘FOI A PIOR COISA QUE SENTI NA VIDA’, DIZ AMAZONENSE SOBRE TERREMOTO NA VENEZUELA</t>
        </is>
      </c>
      <c r="I2025" t="inlineStr">
        <is>
          <t>LUCIANA VIEIRA, 39, ESTAVA EM UM SHOPPING NO PAÍS VIZINHO COM A SUA FILHA E AMIGAS, QUANDO SENTIU O FORTE TREMOR</t>
        </is>
      </c>
      <c r="J2025" t="inlineStr"/>
      <c r="K2025" t="n">
        <v>0</v>
      </c>
      <c r="L2025" t="n">
        <v>1</v>
      </c>
      <c r="M2025" t="n">
        <v>0</v>
      </c>
      <c r="N2025" t="n">
        <v>0</v>
      </c>
      <c r="O2025" t="n">
        <v>2</v>
      </c>
      <c r="P2025">
        <f>HYPERLINK("https://www.acritica.com/manaus/foi-a-pior-coisa-que-senti-na-vida-diz-amazonense-sobre-terremoto-na-venezuela-1.194869", "URL")</f>
        <v/>
      </c>
      <c r="Q2025">
        <f>HYPERLINK("https://raw.githubusercontent.com/marcosmapl/dataset_imigrantes/main/materias_filtered/a_critica/venezuelanos/2018/07_ago/html/1.194869_435.html", "HTML")</f>
        <v/>
      </c>
      <c r="R2025">
        <f>HYPERLINK("https://raw.githubusercontent.com/marcosmapl/dataset_imigrantes/main/materias_filtered/a_critica/venezuelanos/2018/07_ago/txt/1.194869_435.txt", "TXT")</f>
        <v/>
      </c>
    </row>
    <row r="2026">
      <c r="A2026" s="1" t="n">
        <v>2024</v>
      </c>
      <c r="B2026" t="n">
        <v>2018</v>
      </c>
      <c r="C2026" s="2" t="n">
        <v>43333.90833333333</v>
      </c>
      <c r="D2026" t="inlineStr">
        <is>
          <t>PORTAL AMAZONIA</t>
        </is>
      </c>
      <c r="E2026" t="inlineStr">
        <is>
          <t>VENEZUELANOS</t>
        </is>
      </c>
      <c r="F2026" t="inlineStr">
        <is>
          <t>CIDADES</t>
        </is>
      </c>
      <c r="G2026" t="inlineStr">
        <is>
          <t>REDAÇÃO</t>
        </is>
      </c>
      <c r="H2026" t="inlineStr">
        <is>
          <t>MANAUS SENTE REFLEXOS DE TERREMOTO NA VENEZUELA; PRÉDIOS SÃO EVACUADOS</t>
        </is>
      </c>
      <c r="I2026" t="inlineStr">
        <is>
          <t>MORADORES DA CIDADE DE MANAUS RELATARAM TER SENTIDO UM TREMOR DE TERRA NA TARDE DESTA TERÇA-FEIRA (21). PRÉDIOS COMERCIAIS E REPARTIÇÕES PÚBLICAS DA CIDADE TIVERAM QUE SER EVACUADOS POR QUESTÕES DE SEGURANÇA.DE ACORDO COM DADOS DO SERVIÇO G</t>
        </is>
      </c>
      <c r="J2026" t="inlineStr">
        <is>
          <t>MANAUS, TERREMOTO</t>
        </is>
      </c>
      <c r="K2026" t="n">
        <v>2</v>
      </c>
      <c r="L2026" t="n">
        <v>2</v>
      </c>
      <c r="M2026" t="n">
        <v>0</v>
      </c>
      <c r="N2026" t="n">
        <v>0</v>
      </c>
      <c r="O2026" t="n">
        <v>7</v>
      </c>
      <c r="P2026">
        <f>HYPERLINK("https://portalamazonia.com/noticias/cidades/manaus-sente-reflexos-de-terremoto-na-venezuela-predios-sao-evacuados", "URL")</f>
        <v/>
      </c>
      <c r="Q2026">
        <f>HYPERLINK("https://raw.githubusercontent.com/marcosmapl/dataset_imigrantes/main/materias_filtered/portal_amazonia/venezuelanos/2018/07_ago/html/15507.15507_1438.html", "HTML")</f>
        <v/>
      </c>
      <c r="R2026">
        <f>HYPERLINK("https://raw.githubusercontent.com/marcosmapl/dataset_imigrantes/main/materias_filtered/portal_amazonia/venezuelanos/2018/07_ago/txt/15507.15507_1438.txt", "TXT")</f>
        <v/>
      </c>
    </row>
    <row r="2027">
      <c r="A2027" s="1" t="n">
        <v>2025</v>
      </c>
      <c r="B2027" t="n">
        <v>2018</v>
      </c>
      <c r="C2027" s="2" t="n">
        <v>43333.87777777778</v>
      </c>
      <c r="D2027" t="inlineStr">
        <is>
          <t>A CRITICA</t>
        </is>
      </c>
      <c r="E2027" t="inlineStr">
        <is>
          <t>VENEZUELANOS</t>
        </is>
      </c>
      <c r="F2027" t="inlineStr">
        <is>
          <t>MANAUS</t>
        </is>
      </c>
      <c r="G2027" t="inlineStr">
        <is>
          <t>ACRÍTICA.COM</t>
        </is>
      </c>
      <c r="H2027" t="inlineStr">
        <is>
          <t>FORTE TERREMOTO NA VENEZUELA CAUSA TREMOR EM PRÉDIOS DE MANAUS</t>
        </is>
      </c>
      <c r="I2027" t="inlineStr">
        <is>
          <t>PRÉDIOS COMO THE OFFICE E ATLANTIC TOWER FORAM EVACUADOS. TREMOR NO ESTADO VENEZUELANO DE SUCRE FOI SENTIDO EM DIVERSAS ÁREAS DA CAPITAL AMAZONENSE</t>
        </is>
      </c>
      <c r="J2027" t="inlineStr"/>
      <c r="K2027" t="n">
        <v>0</v>
      </c>
      <c r="L2027" t="n">
        <v>1</v>
      </c>
      <c r="M2027" t="n">
        <v>0</v>
      </c>
      <c r="N2027" t="n">
        <v>0</v>
      </c>
      <c r="O2027" t="n">
        <v>0</v>
      </c>
      <c r="P2027">
        <f>HYPERLINK("https://www.acritica.com/manaus/forte-terremoto-na-venezuela-causa-tremor-em-predios-de-manaus-1.194626", "URL")</f>
        <v/>
      </c>
      <c r="Q2027">
        <f>HYPERLINK("https://raw.githubusercontent.com/marcosmapl/dataset_imigrantes/main/materias_filtered/a_critica/venezuelanos/2018/07_ago/html/1.194626_334.html", "HTML")</f>
        <v/>
      </c>
      <c r="R2027">
        <f>HYPERLINK("https://raw.githubusercontent.com/marcosmapl/dataset_imigrantes/main/materias_filtered/a_critica/venezuelanos/2018/07_ago/txt/1.194626_334.txt", "TXT")</f>
        <v/>
      </c>
    </row>
    <row r="2028">
      <c r="A2028" s="1" t="n">
        <v>2026</v>
      </c>
      <c r="B2028" t="n">
        <v>2018</v>
      </c>
      <c r="C2028" s="2" t="n">
        <v>43333.78872685185</v>
      </c>
      <c r="D2028" t="inlineStr">
        <is>
          <t>A CRITICA</t>
        </is>
      </c>
      <c r="E2028" t="inlineStr">
        <is>
          <t>VENEZUELANOS</t>
        </is>
      </c>
      <c r="F2028" t="inlineStr"/>
      <c r="G2028" t="inlineStr">
        <is>
          <t>DÉBORA BRITO (AGÊNCIA BRASIL)</t>
        </is>
      </c>
      <c r="H2028" t="inlineStr">
        <is>
          <t>GOVERNO ANUNCIA INTERIORIZAÇÃO DE MAIS 1 MIL VENEZUELANOS DE RORAIMA AO RESTO DO PAÍS</t>
        </is>
      </c>
      <c r="I2028" t="inlineStr">
        <is>
          <t>POR SE SITUAR NA FRONTEIRA, A CIDADE TEM RECEBIDO MILHARES DE VENEZUELANOS DESDE A INTENSIFICAÇÃO DA CRISE POLÍTICA E ECONÔMICA NA VENEZUELA</t>
        </is>
      </c>
      <c r="J2028" t="inlineStr"/>
      <c r="K2028" t="n">
        <v>0</v>
      </c>
      <c r="L2028" t="n">
        <v>1</v>
      </c>
      <c r="M2028" t="n">
        <v>0</v>
      </c>
      <c r="N2028" t="n">
        <v>0</v>
      </c>
      <c r="O2028" t="n">
        <v>0</v>
      </c>
      <c r="P2028">
        <f>HYPERLINK("https://www.acritica.com/governo-anuncia-interiorizac-o-de-mais-1-mil-venezuelanos-de-roraima-ao-resto-do-pais-1.194663", "URL")</f>
        <v/>
      </c>
      <c r="Q2028">
        <f>HYPERLINK("https://raw.githubusercontent.com/marcosmapl/dataset_imigrantes/main/materias_filtered/a_critica/venezuelanos/2018/07_ago/html/1.194663_1302.html", "HTML")</f>
        <v/>
      </c>
      <c r="R2028">
        <f>HYPERLINK("https://raw.githubusercontent.com/marcosmapl/dataset_imigrantes/main/materias_filtered/a_critica/venezuelanos/2018/07_ago/txt/1.194663_1302.txt", "TXT")</f>
        <v/>
      </c>
    </row>
    <row r="2029">
      <c r="A2029" s="1" t="n">
        <v>2027</v>
      </c>
      <c r="B2029" t="n">
        <v>2018</v>
      </c>
      <c r="C2029" s="2" t="n">
        <v>43333.55763888889</v>
      </c>
      <c r="D2029" t="inlineStr">
        <is>
          <t>A CRITICA</t>
        </is>
      </c>
      <c r="E2029" t="inlineStr">
        <is>
          <t>VENEZUELANOS</t>
        </is>
      </c>
      <c r="F2029" t="inlineStr"/>
      <c r="G2029" t="inlineStr">
        <is>
          <t>REUTERS</t>
        </is>
      </c>
      <c r="H2029" t="inlineStr">
        <is>
          <t>AGU DEFENDE QUE SUPREMO REJEITE O FECHAMENTO DA FRONTEIRA COM VENEZUELA</t>
        </is>
      </c>
      <c r="I2029" t="inlineStr">
        <is>
          <t>PEDIDO FEITO PELO GOVERNO DE RORAIMA QUER A SUSPENSÃO TEMPORÁRIA DA IMIGRAÇÃO DE VENEZUELANOS POR MEIO DA FRONTEIRA EM PACARAIMA, NO NORTE DO ESTADO</t>
        </is>
      </c>
      <c r="J2029" t="inlineStr"/>
      <c r="K2029" t="n">
        <v>0</v>
      </c>
      <c r="L2029" t="n">
        <v>1</v>
      </c>
      <c r="M2029" t="n">
        <v>0</v>
      </c>
      <c r="N2029" t="n">
        <v>0</v>
      </c>
      <c r="O2029" t="n">
        <v>0</v>
      </c>
      <c r="P2029">
        <f>HYPERLINK("https://www.acritica.com/agu-defende-que-supremo-rejeite-o-fechamento-da-fronteira-com-venezuela-1.194752", "URL")</f>
        <v/>
      </c>
      <c r="Q2029">
        <f>HYPERLINK("https://raw.githubusercontent.com/marcosmapl/dataset_imigrantes/main/materias_filtered/a_critica/venezuelanos/2018/07_ago/html/1.194752_72.html", "HTML")</f>
        <v/>
      </c>
      <c r="R2029">
        <f>HYPERLINK("https://raw.githubusercontent.com/marcosmapl/dataset_imigrantes/main/materias_filtered/a_critica/venezuelanos/2018/07_ago/txt/1.194752_72.txt", "TXT")</f>
        <v/>
      </c>
    </row>
    <row r="2030">
      <c r="A2030" s="1" t="n">
        <v>2028</v>
      </c>
      <c r="B2030" t="n">
        <v>2018</v>
      </c>
      <c r="C2030" s="2" t="n">
        <v>43333.53241166667</v>
      </c>
      <c r="D2030" t="inlineStr">
        <is>
          <t>G1</t>
        </is>
      </c>
      <c r="E2030" t="inlineStr">
        <is>
          <t>HAITIANOS</t>
        </is>
      </c>
      <c r="F2030" t="inlineStr">
        <is>
          <t>MATO GROSSO</t>
        </is>
      </c>
      <c r="G2030" t="inlineStr">
        <is>
          <t>G1 MT</t>
        </is>
      </c>
      <c r="H2030" t="inlineStr">
        <is>
          <t>HAITIANOS SAEM PARA PROCURAR EMPREGO, QUITINETES PEGAM FOGO E INCÊNDIO DESTRÓI MÓVEIS E OBJETOS PESSOAIS EM CUIABÁ</t>
        </is>
      </c>
      <c r="I2030" t="inlineStr">
        <is>
          <t>AS FAMÍLIAS FORAM ACOLHIDAS POR OUTROS HAITIANOS QUE MORAM NA CAPITAL E PRECISAM DE DOAÇÕES DE ROUPAS, ALIMENTOS E MÓVEIS.</t>
        </is>
      </c>
      <c r="J2030" t="inlineStr"/>
      <c r="K2030" t="n">
        <v>0</v>
      </c>
      <c r="L2030" t="n">
        <v>2</v>
      </c>
      <c r="M2030" t="n">
        <v>0</v>
      </c>
      <c r="N2030" t="n">
        <v>0</v>
      </c>
      <c r="O2030" t="n">
        <v>0</v>
      </c>
      <c r="P2030">
        <f>HYPERLINK("https://g1.globo.com/mt/mato-grosso/noticia/2018/08/21/haitianos-saem-para-procurar-emprego-quitinetes-pegam-fogo-e-incendio-destroi-moveis-e-objetos-pessoais-em-cuiaba.ghtml", "URL")</f>
        <v/>
      </c>
      <c r="Q2030">
        <f>HYPERLINK("https://raw.githubusercontent.com/marcosmapl/dataset_imigrantes/main/materias_filtered/g1/haitianos/2018/07_ago/html/g1_1ef7e0d2-22f2-11ed-b24f-6dbe51e79fca_1779.html", "HTML")</f>
        <v/>
      </c>
      <c r="R2030">
        <f>HYPERLINK("https://raw.githubusercontent.com/marcosmapl/dataset_imigrantes/main/materias_filtered/g1/haitianos/2018/07_ago/txt/g1_1ef7e0d2-22f2-11ed-b24f-6dbe51e79fca_1779.txt", "TXT")</f>
        <v/>
      </c>
    </row>
    <row r="2031">
      <c r="A2031" s="1" t="n">
        <v>2029</v>
      </c>
      <c r="B2031" t="n">
        <v>2018</v>
      </c>
      <c r="C2031" s="2" t="n">
        <v>43333.48888888889</v>
      </c>
      <c r="D2031" t="inlineStr">
        <is>
          <t>PORTAL AMAZONIA</t>
        </is>
      </c>
      <c r="E2031" t="inlineStr">
        <is>
          <t>VENEZUELANOS</t>
        </is>
      </c>
      <c r="F2031" t="inlineStr">
        <is>
          <t>CIDADES</t>
        </is>
      </c>
      <c r="G2031" t="inlineStr">
        <is>
          <t>REDAÇÃO</t>
        </is>
      </c>
      <c r="H2031" t="inlineStr">
        <is>
          <t>EM PARECER, AGU DIZ SER CONTRA FECHAMENTO DE FRONTEIRA COM VENEZUELA</t>
        </is>
      </c>
      <c r="I2031" t="inlineStr">
        <is>
          <t>A ADVOCACIA-GERAL DA UNIÃO (AGU) ENVIOU NESTA SEGUNDA-FEIRA (20) AO SUPREMO TRIBUNAL FEDERAL (STF) MANIFESTAÇÃO CONTRA NOVO PEDIDO FEITO PELO GOVERNO DE RORAIMA PARA FECHAR TEMPORARIAMENTE A FRONTEIRA DO BRASIL COM A VENEZUELA.A PETIÇÃO FOI PROTOCOLA</t>
        </is>
      </c>
      <c r="J2031" t="inlineStr">
        <is>
          <t>FRONTEIRA, PACARAIMA, PROTESTO, RORAIMA, VENEZUELANOS</t>
        </is>
      </c>
      <c r="K2031" t="n">
        <v>5</v>
      </c>
      <c r="L2031" t="n">
        <v>3</v>
      </c>
      <c r="M2031" t="n">
        <v>0</v>
      </c>
      <c r="N2031" t="n">
        <v>0</v>
      </c>
      <c r="O2031" t="n">
        <v>10</v>
      </c>
      <c r="P2031">
        <f>HYPERLINK("https://portalamazonia.com/noticias/cidades/em-parecer-agu-diz-ser-contra-fechamento-de-fronteira-com-venezuela", "URL")</f>
        <v/>
      </c>
      <c r="Q2031">
        <f>HYPERLINK("https://raw.githubusercontent.com/marcosmapl/dataset_imigrantes/main/materias_filtered/portal_amazonia/venezuelanos/2018/07_ago/html/15500.15500_1460.html", "HTML")</f>
        <v/>
      </c>
      <c r="R2031">
        <f>HYPERLINK("https://raw.githubusercontent.com/marcosmapl/dataset_imigrantes/main/materias_filtered/portal_amazonia/venezuelanos/2018/07_ago/txt/15500.15500_1460.txt", "TXT")</f>
        <v/>
      </c>
    </row>
    <row r="2032">
      <c r="A2032" s="1" t="n">
        <v>2030</v>
      </c>
      <c r="B2032" t="n">
        <v>2018</v>
      </c>
      <c r="C2032" s="2" t="n">
        <v>43332.73680555556</v>
      </c>
      <c r="D2032" t="inlineStr">
        <is>
          <t>A CRITICA</t>
        </is>
      </c>
      <c r="E2032" t="inlineStr">
        <is>
          <t>VENEZUELANOS</t>
        </is>
      </c>
      <c r="F2032" t="inlineStr"/>
      <c r="G2032" t="inlineStr">
        <is>
          <t>YARA AQUINO (AGÊNCIA BRASIL)</t>
        </is>
      </c>
      <c r="H2032" t="inlineStr">
        <is>
          <t>FECHAMENTO DE FRONTEIRA COM VENEZUELA É IMPENSÁVEL, DIZ MINISTRO ETCHEGOYEN</t>
        </is>
      </c>
      <c r="I2032" t="inlineStr">
        <is>
          <t>COMISSÃO INTERMINISTERIAL EMBARCA PARA RORAIMA PARA AVALIAR SITUAÇÃO NAS CIDADES. NO SÁBADO (18), MORADORES DE PACARAIMA ATACARAM BARRACAS E ABRIGOS DE IMIGRANTES VENEZUELANOS</t>
        </is>
      </c>
      <c r="J2032" t="inlineStr"/>
      <c r="K2032" t="n">
        <v>0</v>
      </c>
      <c r="L2032" t="n">
        <v>1</v>
      </c>
      <c r="M2032" t="n">
        <v>0</v>
      </c>
      <c r="N2032" t="n">
        <v>0</v>
      </c>
      <c r="O2032" t="n">
        <v>0</v>
      </c>
      <c r="P2032">
        <f>HYPERLINK("https://www.acritica.com/fechamento-de-fronteira-com-venezuela-e-impensavel-diz-ministro-etchegoyen-1.194588", "URL")</f>
        <v/>
      </c>
      <c r="Q2032">
        <f>HYPERLINK("https://raw.githubusercontent.com/marcosmapl/dataset_imigrantes/main/materias_filtered/a_critica/venezuelanos/2018/07_ago/html/1.194588_1210.html", "HTML")</f>
        <v/>
      </c>
      <c r="R2032">
        <f>HYPERLINK("https://raw.githubusercontent.com/marcosmapl/dataset_imigrantes/main/materias_filtered/a_critica/venezuelanos/2018/07_ago/txt/1.194588_1210.txt", "TXT")</f>
        <v/>
      </c>
    </row>
    <row r="2033">
      <c r="A2033" s="1" t="n">
        <v>2031</v>
      </c>
      <c r="B2033" t="n">
        <v>2018</v>
      </c>
      <c r="C2033" s="2" t="n">
        <v>43332.72708333333</v>
      </c>
      <c r="D2033" t="inlineStr">
        <is>
          <t>PORTAL AMAZONIA</t>
        </is>
      </c>
      <c r="E2033" t="inlineStr">
        <is>
          <t>VENEZUELANOS</t>
        </is>
      </c>
      <c r="F2033" t="inlineStr">
        <is>
          <t>CIDADES</t>
        </is>
      </c>
      <c r="G2033" t="inlineStr">
        <is>
          <t>REDAÇÃO</t>
        </is>
      </c>
      <c r="H2033" t="inlineStr">
        <is>
          <t>NOVO PEDIDO DE CONTROLE DA FRONTEIRA COM A VENEZUELA É PROTOCOLADO NO STF</t>
        </is>
      </c>
      <c r="I2033" t="inlineStr">
        <is>
          <t>UM NOVO PEDIDO DE SUSPENSÃO TEMPORÁRIA DE ENTRADA DE IMIGRANTES VENEZUELANOS NO PAÍS FOI PROTOCOLADO NESTA SEGUNDA-FEIRA (20) PELA PROCURADORIA-GERAL DO ESTADO (PGE) DE RORAIMA JUNTO AO SUPREMO TRIBUNAL FEDERAL (STF). DE ACORDO COM A PROCURADORIA, O</t>
        </is>
      </c>
      <c r="J2033" t="inlineStr">
        <is>
          <t>BRASIL, CRISE, FRONTEIRA, IMIGRANTES, IMIGRANTES VENEZUELANOS, INTERNACIONAL, PACARAIMA, VENEZUELA</t>
        </is>
      </c>
      <c r="K2033" t="n">
        <v>8</v>
      </c>
      <c r="L2033" t="n">
        <v>2</v>
      </c>
      <c r="M2033" t="n">
        <v>0</v>
      </c>
      <c r="N2033" t="n">
        <v>0</v>
      </c>
      <c r="O2033" t="n">
        <v>13</v>
      </c>
      <c r="P2033">
        <f>HYPERLINK("https://portalamazonia.com/noticias/cidades/novo-pedido-de-controle-da-fronteira-com-a-venezuela-e-protocolado-no-stf", "URL")</f>
        <v/>
      </c>
      <c r="Q2033">
        <f>HYPERLINK("https://raw.githubusercontent.com/marcosmapl/dataset_imigrantes/main/materias_filtered/portal_amazonia/venezuelanos/2018/07_ago/html/15494.15494_1597.html", "HTML")</f>
        <v/>
      </c>
      <c r="R2033">
        <f>HYPERLINK("https://raw.githubusercontent.com/marcosmapl/dataset_imigrantes/main/materias_filtered/portal_amazonia/venezuelanos/2018/07_ago/txt/15494.15494_1597.txt", "TXT")</f>
        <v/>
      </c>
    </row>
    <row r="2034">
      <c r="A2034" s="1" t="n">
        <v>2032</v>
      </c>
      <c r="B2034" t="n">
        <v>2018</v>
      </c>
      <c r="C2034" s="2" t="n">
        <v>43332.60829861111</v>
      </c>
      <c r="D2034" t="inlineStr">
        <is>
          <t>A CRITICA</t>
        </is>
      </c>
      <c r="E2034" t="inlineStr">
        <is>
          <t>VENEZUELANOS</t>
        </is>
      </c>
      <c r="F2034" t="inlineStr"/>
      <c r="G2034" t="inlineStr">
        <is>
          <t>REUTERS</t>
        </is>
      </c>
      <c r="H2034" t="inlineStr">
        <is>
          <t>GOVERNO DE RORAIMA PEDE NO STF SUSPENSÃO DE IMIGRAÇÃO VENEZUELANA POR PACARAIMA</t>
        </is>
      </c>
      <c r="I2034" t="inlineStr">
        <is>
          <t>A MEDIDA REFORÇA UMA AÇÃO JÁ IMPETRADA POR RORAIMA JUNTO AO SUPREMO PEDINDO O FECHAMENTO DA ENTRADA DE IMIGRANTES</t>
        </is>
      </c>
      <c r="J2034" t="inlineStr"/>
      <c r="K2034" t="n">
        <v>0</v>
      </c>
      <c r="L2034" t="n">
        <v>1</v>
      </c>
      <c r="M2034" t="n">
        <v>0</v>
      </c>
      <c r="N2034" t="n">
        <v>0</v>
      </c>
      <c r="O2034" t="n">
        <v>0</v>
      </c>
      <c r="P2034">
        <f>HYPERLINK("https://www.acritica.com/governo-de-roraima-pede-no-stf-suspens-o-de-imigrac-o-venezuelana-por-pacaraima-1.194368", "URL")</f>
        <v/>
      </c>
      <c r="Q2034">
        <f>HYPERLINK("https://raw.githubusercontent.com/marcosmapl/dataset_imigrantes/main/materias_filtered/a_critica/venezuelanos/2018/07_ago/html/1.194368_872.html", "HTML")</f>
        <v/>
      </c>
      <c r="R2034">
        <f>HYPERLINK("https://raw.githubusercontent.com/marcosmapl/dataset_imigrantes/main/materias_filtered/a_critica/venezuelanos/2018/07_ago/txt/1.194368_872.txt", "TXT")</f>
        <v/>
      </c>
    </row>
    <row r="2035">
      <c r="A2035" s="1" t="n">
        <v>2033</v>
      </c>
      <c r="B2035" t="n">
        <v>2018</v>
      </c>
      <c r="C2035" s="2" t="n">
        <v>43332.59166666667</v>
      </c>
      <c r="D2035" t="inlineStr">
        <is>
          <t>A CRITICA</t>
        </is>
      </c>
      <c r="E2035" t="inlineStr">
        <is>
          <t>VENEZUELANOS</t>
        </is>
      </c>
      <c r="F2035" t="inlineStr"/>
      <c r="G2035" t="inlineStr">
        <is>
          <t>AFP</t>
        </is>
      </c>
      <c r="H2035" t="inlineStr">
        <is>
          <t>VENEZUELA ESTREIA NOVA MOEDA COM CINCO ZEROS A MENOS ENTRE O TEMOR DA POPULAÇÃO</t>
        </is>
      </c>
      <c r="I2035" t="inlineStr">
        <is>
          <t>AGORA COM CINCO ZEROS A MENOS, AS NOVAS CÉDULAS DE BOLÍVAR SÃO A PRIMEIRA MEDIDA DO PLANO DE REFORMA ECONÔMICA DO PRESIDENTE NICOLÁS MADURO</t>
        </is>
      </c>
      <c r="J2035" t="inlineStr"/>
      <c r="K2035" t="n">
        <v>0</v>
      </c>
      <c r="L2035" t="n">
        <v>1</v>
      </c>
      <c r="M2035" t="n">
        <v>0</v>
      </c>
      <c r="N2035" t="n">
        <v>0</v>
      </c>
      <c r="O2035" t="n">
        <v>0</v>
      </c>
      <c r="P2035">
        <f>HYPERLINK("https://www.acritica.com/venezuela-estreia-nova-moeda-com-cinco-zeros-a-menos-entre-o-temor-da-populac-o-1.194376", "URL")</f>
        <v/>
      </c>
      <c r="Q2035">
        <f>HYPERLINK("https://raw.githubusercontent.com/marcosmapl/dataset_imigrantes/main/materias_filtered/a_critica/venezuelanos/2018/07_ago/html/1.194376_281.html", "HTML")</f>
        <v/>
      </c>
      <c r="R2035">
        <f>HYPERLINK("https://raw.githubusercontent.com/marcosmapl/dataset_imigrantes/main/materias_filtered/a_critica/venezuelanos/2018/07_ago/txt/1.194376_281.txt", "TXT")</f>
        <v/>
      </c>
    </row>
    <row r="2036">
      <c r="A2036" s="1" t="n">
        <v>2034</v>
      </c>
      <c r="B2036" t="n">
        <v>2018</v>
      </c>
      <c r="C2036" s="2" t="n">
        <v>43332.53896115741</v>
      </c>
      <c r="D2036" t="inlineStr">
        <is>
          <t>G1</t>
        </is>
      </c>
      <c r="E2036" t="inlineStr">
        <is>
          <t>VENEZUELANOS</t>
        </is>
      </c>
      <c r="F2036" t="inlineStr">
        <is>
          <t>RORAIMA</t>
        </is>
      </c>
      <c r="G2036" t="inlineStr">
        <is>
          <t>EMILY COSTA, G1 RR — BOA VISTA</t>
        </is>
      </c>
      <c r="H2036" t="inlineStr">
        <is>
          <t>PREFEITURA DE PACARAIMA SUSPENDE TRANSPORTE ESCOLAR DE ALUNOS QUE MORAM EM CIDADE VENEZUELANA NA FRONTEIRA</t>
        </is>
      </c>
      <c r="I2036" t="inlineStr">
        <is>
          <t>SEGUNDO PREFEITO JULIANO TORQUARTO (PRB) SUSPENSÃO OCORREU POR RECEIO DE QUE VENEZUELANOS REVIDEM ATAQUES DE SÁBADO (18).</t>
        </is>
      </c>
      <c r="J2036" t="inlineStr"/>
      <c r="K2036" t="n">
        <v>0</v>
      </c>
      <c r="L2036" t="n">
        <v>2</v>
      </c>
      <c r="M2036" t="n">
        <v>0</v>
      </c>
      <c r="N2036" t="n">
        <v>0</v>
      </c>
      <c r="O2036" t="n">
        <v>6</v>
      </c>
      <c r="P2036">
        <f>HYPERLINK("https://g1.globo.com/rr/roraima/noticia/2018/08/20/prefeitura-de-pacaraima-suspende-transporte-escolar-de-alunos-que-moram-em-cidade-venezuelana-na-fronteira.ghtml", "URL")</f>
        <v/>
      </c>
      <c r="Q2036">
        <f>HYPERLINK("https://raw.githubusercontent.com/marcosmapl/dataset_imigrantes/main/materias_filtered/g1/venezuelanos/2018/07_ago/html/g1_1acc601c-232b-11ed-b24f-6dbe51e79fca_4222.html", "HTML")</f>
        <v/>
      </c>
      <c r="R2036">
        <f>HYPERLINK("https://raw.githubusercontent.com/marcosmapl/dataset_imigrantes/main/materias_filtered/g1/venezuelanos/2018/07_ago/txt/g1_1acc601c-232b-11ed-b24f-6dbe51e79fca_4222.txt", "TXT")</f>
        <v/>
      </c>
    </row>
    <row r="2037">
      <c r="A2037" s="1" t="n">
        <v>2035</v>
      </c>
      <c r="B2037" t="n">
        <v>2018</v>
      </c>
      <c r="C2037" s="2" t="n">
        <v>43332.52001157407</v>
      </c>
      <c r="D2037" t="inlineStr">
        <is>
          <t>A CRITICA</t>
        </is>
      </c>
      <c r="E2037" t="inlineStr">
        <is>
          <t>VENEZUELANOS</t>
        </is>
      </c>
      <c r="F2037" t="inlineStr"/>
      <c r="G2037" t="inlineStr">
        <is>
          <t>AGÊNCIA BRASIL</t>
        </is>
      </c>
      <c r="H2037" t="inlineStr">
        <is>
          <t>EM BUSCA DE ALTERNATIVAS PARA SITUAÇÃO DE VENEZUELANOS, TEMER REÚNE MINISTROS</t>
        </is>
      </c>
      <c r="I2037" t="inlineStr">
        <is>
          <t>CRISE ENVOLVENDO IMIGRANTES EM RORAIMA GANHOU NOVO ESTOPIM NO SÁBADO (18), QUANDO BARRACAS DE VENEZUELANOS FORAM ATACADAS MORADORES PACARAIMA</t>
        </is>
      </c>
      <c r="J2037" t="inlineStr"/>
      <c r="K2037" t="n">
        <v>0</v>
      </c>
      <c r="L2037" t="n">
        <v>1</v>
      </c>
      <c r="M2037" t="n">
        <v>0</v>
      </c>
      <c r="N2037" t="n">
        <v>0</v>
      </c>
      <c r="O2037" t="n">
        <v>0</v>
      </c>
      <c r="P2037">
        <f>HYPERLINK("https://www.acritica.com/em-busca-de-alternativas-para-situac-o-de-venezuelanos-temer-reune-ministros-1.194398", "URL")</f>
        <v/>
      </c>
      <c r="Q2037">
        <f>HYPERLINK("https://raw.githubusercontent.com/marcosmapl/dataset_imigrantes/main/materias_filtered/a_critica/venezuelanos/2018/07_ago/html/1.194398_262.html", "HTML")</f>
        <v/>
      </c>
      <c r="R2037">
        <f>HYPERLINK("https://raw.githubusercontent.com/marcosmapl/dataset_imigrantes/main/materias_filtered/a_critica/venezuelanos/2018/07_ago/txt/1.194398_262.txt", "TXT")</f>
        <v/>
      </c>
    </row>
    <row r="2038">
      <c r="A2038" s="1" t="n">
        <v>2036</v>
      </c>
      <c r="B2038" t="n">
        <v>2018</v>
      </c>
      <c r="C2038" s="2" t="n">
        <v>43332.48335648148</v>
      </c>
      <c r="D2038" t="inlineStr">
        <is>
          <t>A CRITICA</t>
        </is>
      </c>
      <c r="E2038" t="inlineStr">
        <is>
          <t>VENEZUELANOS</t>
        </is>
      </c>
      <c r="F2038" t="inlineStr">
        <is>
          <t>OPINIAO</t>
        </is>
      </c>
      <c r="G2038" t="inlineStr"/>
      <c r="H2038" t="inlineStr">
        <is>
          <t>VENEZUELANOS: ÓDIO COMO MODELO DE GOVERNO</t>
        </is>
      </c>
      <c r="I2038" t="inlineStr"/>
      <c r="J2038" t="inlineStr"/>
      <c r="K2038" t="n">
        <v>0</v>
      </c>
      <c r="L2038" t="n">
        <v>1</v>
      </c>
      <c r="M2038" t="n">
        <v>0</v>
      </c>
      <c r="N2038" t="n">
        <v>0</v>
      </c>
      <c r="O2038" t="n">
        <v>0</v>
      </c>
      <c r="P2038">
        <f>HYPERLINK("https://www.acritica.com/opiniao/venezuelanos-odio-como-modelo-de-governo-1.230816", "URL")</f>
        <v/>
      </c>
      <c r="Q2038">
        <f>HYPERLINK("https://raw.githubusercontent.com/marcosmapl/dataset_imigrantes/main/materias_filtered/a_critica/venezuelanos/2018/07_ago/html/1.230816_26.html", "HTML")</f>
        <v/>
      </c>
      <c r="R2038">
        <f>HYPERLINK("https://raw.githubusercontent.com/marcosmapl/dataset_imigrantes/main/materias_filtered/a_critica/venezuelanos/2018/07_ago/txt/1.230816_26.txt", "TXT")</f>
        <v/>
      </c>
    </row>
    <row r="2039">
      <c r="A2039" s="1" t="n">
        <v>2037</v>
      </c>
      <c r="B2039" t="n">
        <v>2018</v>
      </c>
      <c r="C2039" s="2" t="n">
        <v>43332.47708333333</v>
      </c>
      <c r="D2039" t="inlineStr">
        <is>
          <t>A CRITICA</t>
        </is>
      </c>
      <c r="E2039" t="inlineStr">
        <is>
          <t>VENEZUELANOS</t>
        </is>
      </c>
      <c r="F2039" t="inlineStr"/>
      <c r="G2039" t="inlineStr"/>
      <c r="H2039" t="inlineStr">
        <is>
          <t>TEMER MAL NA FITA NO AMAZONAS</t>
        </is>
      </c>
      <c r="I2039" t="inlineStr"/>
      <c r="J2039" t="inlineStr"/>
      <c r="K2039" t="n">
        <v>0</v>
      </c>
      <c r="L2039" t="n">
        <v>1</v>
      </c>
      <c r="M2039" t="n">
        <v>0</v>
      </c>
      <c r="N2039" t="n">
        <v>0</v>
      </c>
      <c r="O2039" t="n">
        <v>0</v>
      </c>
      <c r="P2039">
        <f>HYPERLINK("https://www.acritica.com/temer-mal-na-fita-no-amazonas-1.230822", "URL")</f>
        <v/>
      </c>
      <c r="Q2039">
        <f>HYPERLINK("https://raw.githubusercontent.com/marcosmapl/dataset_imigrantes/main/materias_filtered/a_critica/venezuelanos/2018/07_ago/html/1.230822_887.html", "HTML")</f>
        <v/>
      </c>
      <c r="R2039">
        <f>HYPERLINK("https://raw.githubusercontent.com/marcosmapl/dataset_imigrantes/main/materias_filtered/a_critica/venezuelanos/2018/07_ago/txt/1.230822_887.txt", "TXT")</f>
        <v/>
      </c>
    </row>
    <row r="2040">
      <c r="A2040" s="1" t="n">
        <v>2038</v>
      </c>
      <c r="B2040" t="n">
        <v>2018</v>
      </c>
      <c r="C2040" s="2" t="n">
        <v>43331.84122685185</v>
      </c>
      <c r="D2040" t="inlineStr">
        <is>
          <t>A CRITICA</t>
        </is>
      </c>
      <c r="E2040" t="inlineStr">
        <is>
          <t>VENEZUELANOS</t>
        </is>
      </c>
      <c r="F2040" t="inlineStr"/>
      <c r="G2040" t="inlineStr">
        <is>
          <t>AFP</t>
        </is>
      </c>
      <c r="H2040" t="inlineStr">
        <is>
          <t>VENEZUELA PEDE AO BRASIL PARA PROTEGER SEUS CIDADÃOS APÓS ATAQUE</t>
        </is>
      </c>
      <c r="I2040" t="inlineStr">
        <is>
          <t>O GOVERNO DO PRESIDENTE NICOLÁS MADURO DISSE TER ORDENADO QUE OS FUNCIONÁRIOS DE SEU CONSULADO EM BOA VISTA SIGAM PARA PACARAIMA PARA ANALISAR A SITUAÇÃO E "VELAR PELA INTEGRIDADE" DOS VENEZUELANOS</t>
        </is>
      </c>
      <c r="J2040" t="inlineStr"/>
      <c r="K2040" t="n">
        <v>0</v>
      </c>
      <c r="L2040" t="n">
        <v>1</v>
      </c>
      <c r="M2040" t="n">
        <v>0</v>
      </c>
      <c r="N2040" t="n">
        <v>0</v>
      </c>
      <c r="O2040" t="n">
        <v>0</v>
      </c>
      <c r="P2040">
        <f>HYPERLINK("https://www.acritica.com/venezuela-pede-ao-brasil-para-proteger-seus-cidad-os-apos-ataque-1.194438", "URL")</f>
        <v/>
      </c>
      <c r="Q2040">
        <f>HYPERLINK("https://raw.githubusercontent.com/marcosmapl/dataset_imigrantes/main/materias_filtered/a_critica/venezuelanos/2018/07_ago/html/1.194438_234.html", "HTML")</f>
        <v/>
      </c>
      <c r="R2040">
        <f>HYPERLINK("https://raw.githubusercontent.com/marcosmapl/dataset_imigrantes/main/materias_filtered/a_critica/venezuelanos/2018/07_ago/txt/1.194438_234.txt", "TXT")</f>
        <v/>
      </c>
    </row>
    <row r="2041">
      <c r="A2041" s="1" t="n">
        <v>2039</v>
      </c>
      <c r="B2041" t="n">
        <v>2018</v>
      </c>
      <c r="C2041" s="2" t="n">
        <v>43331.78836761574</v>
      </c>
      <c r="D2041" t="inlineStr">
        <is>
          <t>G1</t>
        </is>
      </c>
      <c r="E2041" t="inlineStr">
        <is>
          <t>VENEZUELANOS</t>
        </is>
      </c>
      <c r="F2041" t="inlineStr">
        <is>
          <t>RORAIMA</t>
        </is>
      </c>
      <c r="G2041" t="inlineStr">
        <is>
          <t>G1 RR — BOA VISTA</t>
        </is>
      </c>
      <c r="H2041" t="inlineStr">
        <is>
          <t>VENEZUELANO É ESFAQUEADO POR OUTRO E MORRE EM BOA VISTA</t>
        </is>
      </c>
      <c r="I2041" t="inlineStr">
        <is>
          <t>SUSPEITO TERIA COMETIDO ASSASSINATO PORQUE VÍTIMA ESTAVA COM A MULHER DELE. CRIME ACONTECEU NO SÁBADO (18) E VENEZUELANO MORREU NESTA MANHÃ NA POLICLÍNICA COSME E SILVA.</t>
        </is>
      </c>
      <c r="J2041" t="inlineStr"/>
      <c r="K2041" t="n">
        <v>0</v>
      </c>
      <c r="L2041" t="n">
        <v>0</v>
      </c>
      <c r="M2041" t="n">
        <v>0</v>
      </c>
      <c r="N2041" t="n">
        <v>0</v>
      </c>
      <c r="O2041" t="n">
        <v>1</v>
      </c>
      <c r="P2041">
        <f>HYPERLINK("https://g1.globo.com/rr/roraima/noticia/2018/08/19/venezuelano-e-esfaqueado-por-outro-e-morre-em-boa-vista.ghtml", "URL")</f>
        <v/>
      </c>
      <c r="Q2041">
        <f>HYPERLINK("https://raw.githubusercontent.com/marcosmapl/dataset_imigrantes/main/materias_filtered/g1/venezuelanos/2018/07_ago/html/g1_c2a03eb2-232b-11ed-b24f-6dbe51e79fca_4268.html", "HTML")</f>
        <v/>
      </c>
      <c r="R2041">
        <f>HYPERLINK("https://raw.githubusercontent.com/marcosmapl/dataset_imigrantes/main/materias_filtered/g1/venezuelanos/2018/07_ago/txt/g1_c2a03eb2-232b-11ed-b24f-6dbe51e79fca_4268.txt", "TXT")</f>
        <v/>
      </c>
    </row>
    <row r="2042">
      <c r="A2042" s="1" t="n">
        <v>2040</v>
      </c>
      <c r="B2042" t="n">
        <v>2018</v>
      </c>
      <c r="C2042" s="2" t="n">
        <v>43331.73104166667</v>
      </c>
      <c r="D2042" t="inlineStr">
        <is>
          <t>A CRITICA</t>
        </is>
      </c>
      <c r="E2042" t="inlineStr">
        <is>
          <t>VENEZUELANOS</t>
        </is>
      </c>
      <c r="F2042" t="inlineStr"/>
      <c r="G2042" t="inlineStr">
        <is>
          <t>AGÊNCIA BRASIL</t>
        </is>
      </c>
      <c r="H2042" t="inlineStr">
        <is>
          <t>EXÉRCITO DIZ QUE 1,2 MIL VENEZUELANOS SAÍRAM DO BRASIL APÓS VIOLÊNCIA</t>
        </is>
      </c>
      <c r="I2042" t="inlineStr">
        <is>
          <t>AS FAMÍLIAS VENEZUELANAS QUE DECIDIRAM RETORNAR AO PAÍS NATAL CONSEGUIRAM ATRAVESSAR A FRONTEIRA EM SEGURANÇA E COM A INTEGRIDADE FÍSICA GARANTIDA, INFORMOU O EXÉRCITO.</t>
        </is>
      </c>
      <c r="J2042" t="inlineStr"/>
      <c r="K2042" t="n">
        <v>0</v>
      </c>
      <c r="L2042" t="n">
        <v>1</v>
      </c>
      <c r="M2042" t="n">
        <v>0</v>
      </c>
      <c r="N2042" t="n">
        <v>0</v>
      </c>
      <c r="O2042" t="n">
        <v>0</v>
      </c>
      <c r="P2042">
        <f>HYPERLINK("https://www.acritica.com/exercito-diz-que-1-2-mil-venezuelanos-sairam-do-brasil-apos-violencia-1.194476", "URL")</f>
        <v/>
      </c>
      <c r="Q2042">
        <f>HYPERLINK("https://raw.githubusercontent.com/marcosmapl/dataset_imigrantes/main/materias_filtered/a_critica/venezuelanos/2018/07_ago/html/1.194476_490.html", "HTML")</f>
        <v/>
      </c>
      <c r="R2042">
        <f>HYPERLINK("https://raw.githubusercontent.com/marcosmapl/dataset_imigrantes/main/materias_filtered/a_critica/venezuelanos/2018/07_ago/txt/1.194476_490.txt", "TXT")</f>
        <v/>
      </c>
    </row>
    <row r="2043">
      <c r="A2043" s="1" t="n">
        <v>2041</v>
      </c>
      <c r="B2043" t="n">
        <v>2018</v>
      </c>
      <c r="C2043" s="2" t="n">
        <v>43330.86319444444</v>
      </c>
      <c r="D2043" t="inlineStr">
        <is>
          <t>A CRITICA</t>
        </is>
      </c>
      <c r="E2043" t="inlineStr">
        <is>
          <t>VENEZUELANOS</t>
        </is>
      </c>
      <c r="F2043" t="inlineStr">
        <is>
          <t>MANAUS</t>
        </is>
      </c>
      <c r="G2043" t="inlineStr">
        <is>
          <t>PAULO ANDRÉ NUNES</t>
        </is>
      </c>
      <c r="H2043" t="inlineStr">
        <is>
          <t>SÁBADO SOLIDÁRIO: MORADORES DE RUA GANHAM BANHO, FRUTAS E ATÉ VACINAS CONTRA SARAMPO</t>
        </is>
      </c>
      <c r="I2043" t="inlineStr">
        <is>
          <t>AÇÃO REALIZADA POR COMUNIDADE ADVENTISTA DO BAIRRO ADRIANÓPOLIS LEVOU CARINHO E AMOR AO PRÓXIMO A QUEM VIVE EM CONDIÇÕES DE ABANDONO</t>
        </is>
      </c>
      <c r="J2043" t="inlineStr"/>
      <c r="K2043" t="n">
        <v>0</v>
      </c>
      <c r="L2043" t="n">
        <v>1</v>
      </c>
      <c r="M2043" t="n">
        <v>0</v>
      </c>
      <c r="N2043" t="n">
        <v>0</v>
      </c>
      <c r="O2043" t="n">
        <v>0</v>
      </c>
      <c r="P2043">
        <f>HYPERLINK("https://www.acritica.com/manaus/sabado-solidario-moradores-de-rua-ganham-banho-frutas-e-ate-vacinas-contra-sarampo-1.194238", "URL")</f>
        <v/>
      </c>
      <c r="Q2043">
        <f>HYPERLINK("https://raw.githubusercontent.com/marcosmapl/dataset_imigrantes/main/materias_filtered/a_critica/venezuelanos/2018/07_ago/html/1.194238_1068.html", "HTML")</f>
        <v/>
      </c>
      <c r="R2043">
        <f>HYPERLINK("https://raw.githubusercontent.com/marcosmapl/dataset_imigrantes/main/materias_filtered/a_critica/venezuelanos/2018/07_ago/txt/1.194238_1068.txt", "TXT")</f>
        <v/>
      </c>
    </row>
    <row r="2044">
      <c r="A2044" s="1" t="n">
        <v>2042</v>
      </c>
      <c r="B2044" t="n">
        <v>2018</v>
      </c>
      <c r="C2044" s="2" t="n">
        <v>43330.80496527778</v>
      </c>
      <c r="D2044" t="inlineStr">
        <is>
          <t>A CRITICA</t>
        </is>
      </c>
      <c r="E2044" t="inlineStr">
        <is>
          <t>VENEZUELANOS</t>
        </is>
      </c>
      <c r="F2044" t="inlineStr"/>
      <c r="G2044" t="inlineStr">
        <is>
          <t>AFP</t>
        </is>
      </c>
      <c r="H2044" t="inlineStr">
        <is>
          <t>NERVOSISMO NA VENEZUELA À ESPERA DE NOVA MOEDA; BOLÍVAR PERDE CINCO 'ZEROS'</t>
        </is>
      </c>
      <c r="I2044" t="inlineStr">
        <is>
          <t>À ESPERA DA ENTRADA EM VIGOR DA NOVA MOEDA, NA PRÓXIMA SEGUNDA-FEIRA, MUITOS SAÍRAM PARA COMPRAR COMIDA ATÉ ONDE O DINHEIRO DEU.</t>
        </is>
      </c>
      <c r="J2044" t="inlineStr"/>
      <c r="K2044" t="n">
        <v>0</v>
      </c>
      <c r="L2044" t="n">
        <v>1</v>
      </c>
      <c r="M2044" t="n">
        <v>0</v>
      </c>
      <c r="N2044" t="n">
        <v>0</v>
      </c>
      <c r="O2044" t="n">
        <v>0</v>
      </c>
      <c r="P2044">
        <f>HYPERLINK("https://www.acritica.com/nervosismo-na-venezuela-a-espera-de-nova-moeda-bolivar-perde-cinco-zeros-1.194246", "URL")</f>
        <v/>
      </c>
      <c r="Q2044">
        <f>HYPERLINK("https://raw.githubusercontent.com/marcosmapl/dataset_imigrantes/main/materias_filtered/a_critica/venezuelanos/2018/07_ago/html/1.194246_1306.html", "HTML")</f>
        <v/>
      </c>
      <c r="R2044">
        <f>HYPERLINK("https://raw.githubusercontent.com/marcosmapl/dataset_imigrantes/main/materias_filtered/a_critica/venezuelanos/2018/07_ago/txt/1.194246_1306.txt", "TXT")</f>
        <v/>
      </c>
    </row>
    <row r="2045">
      <c r="A2045" s="1" t="n">
        <v>2043</v>
      </c>
      <c r="B2045" t="n">
        <v>2018</v>
      </c>
      <c r="C2045" s="2" t="n">
        <v>43330.49583333333</v>
      </c>
      <c r="D2045" t="inlineStr">
        <is>
          <t>A CRITICA</t>
        </is>
      </c>
      <c r="E2045" t="inlineStr">
        <is>
          <t>VENEZUELANOS</t>
        </is>
      </c>
      <c r="F2045" t="inlineStr"/>
      <c r="G2045" t="inlineStr"/>
      <c r="H2045" t="inlineStr">
        <is>
          <t>PESQUISA  DO IBOPE É DIVULGADA</t>
        </is>
      </c>
      <c r="I2045" t="inlineStr"/>
      <c r="J2045" t="inlineStr"/>
      <c r="K2045" t="n">
        <v>0</v>
      </c>
      <c r="L2045" t="n">
        <v>1</v>
      </c>
      <c r="M2045" t="n">
        <v>0</v>
      </c>
      <c r="N2045" t="n">
        <v>0</v>
      </c>
      <c r="O2045" t="n">
        <v>0</v>
      </c>
      <c r="P2045">
        <f>HYPERLINK("https://www.acritica.com/pesquisa-do-ibope-e-divulgada-1.230838", "URL")</f>
        <v/>
      </c>
      <c r="Q2045">
        <f>HYPERLINK("https://raw.githubusercontent.com/marcosmapl/dataset_imigrantes/main/materias_filtered/a_critica/venezuelanos/2018/07_ago/html/1.230838_1190.html", "HTML")</f>
        <v/>
      </c>
      <c r="R2045">
        <f>HYPERLINK("https://raw.githubusercontent.com/marcosmapl/dataset_imigrantes/main/materias_filtered/a_critica/venezuelanos/2018/07_ago/txt/1.230838_1190.txt", "TXT")</f>
        <v/>
      </c>
    </row>
    <row r="2046">
      <c r="A2046" s="1" t="n">
        <v>2044</v>
      </c>
      <c r="B2046" t="n">
        <v>2018</v>
      </c>
      <c r="C2046" s="2" t="n">
        <v>43329.95214403935</v>
      </c>
      <c r="D2046" t="inlineStr">
        <is>
          <t>G1</t>
        </is>
      </c>
      <c r="E2046" t="inlineStr">
        <is>
          <t>VENEZUELANOS</t>
        </is>
      </c>
      <c r="F2046" t="inlineStr">
        <is>
          <t>MUNDO</t>
        </is>
      </c>
      <c r="G2046" t="inlineStr">
        <is>
          <t>DEUTSCHE WELLE</t>
        </is>
      </c>
      <c r="H2046" t="inlineStr">
        <is>
          <t>PERU PASSA A EXIGIR PASSAPORTE DE VENEZUELANOS</t>
        </is>
      </c>
      <c r="I2046" t="inlineStr">
        <is>
          <t>DEPOIS DO EQUADOR, GOVERNO PERUANO ENDURECE REGRAS PARA ENTRADA EM SEU TERRITÓRIO. O PERU É O SEGUNDO PAÍS QUE MAIS RECEBEU IMIGRANTES VENEZUELANOS NOS ÚLTIMOS MESES.</t>
        </is>
      </c>
      <c r="J2046" t="inlineStr"/>
      <c r="K2046" t="n">
        <v>0</v>
      </c>
      <c r="L2046" t="n">
        <v>1</v>
      </c>
      <c r="M2046" t="n">
        <v>0</v>
      </c>
      <c r="N2046" t="n">
        <v>0</v>
      </c>
      <c r="O2046" t="n">
        <v>0</v>
      </c>
      <c r="P2046">
        <f>HYPERLINK("https://g1.globo.com/mundo/noticia/2018/08/17/peru-passa-a-exigir-passaporte-de-venezuelanos.ghtml", "URL")</f>
        <v/>
      </c>
      <c r="Q2046">
        <f>HYPERLINK("https://raw.githubusercontent.com/marcosmapl/dataset_imigrantes/main/materias_filtered/g1/venezuelanos/2018/07_ago/html/g1_1f05c9a6-2318-11ed-b24f-6dbe51e79fca_3244.html", "HTML")</f>
        <v/>
      </c>
      <c r="R2046">
        <f>HYPERLINK("https://raw.githubusercontent.com/marcosmapl/dataset_imigrantes/main/materias_filtered/g1/venezuelanos/2018/07_ago/txt/g1_1f05c9a6-2318-11ed-b24f-6dbe51e79fca_3244.txt", "TXT")</f>
        <v/>
      </c>
    </row>
    <row r="2047">
      <c r="A2047" s="1" t="n">
        <v>2045</v>
      </c>
      <c r="B2047" t="n">
        <v>2018</v>
      </c>
      <c r="C2047" s="2" t="n">
        <v>43329.85208333333</v>
      </c>
      <c r="D2047" t="inlineStr">
        <is>
          <t>A CRITICA</t>
        </is>
      </c>
      <c r="E2047" t="inlineStr">
        <is>
          <t>VENEZUELANOS</t>
        </is>
      </c>
      <c r="F2047" t="inlineStr">
        <is>
          <t>MANAUS</t>
        </is>
      </c>
      <c r="G2047" t="inlineStr">
        <is>
          <t>ACRÍTICA.COM</t>
        </is>
      </c>
      <c r="H2047" t="inlineStr">
        <is>
          <t>PROJETO OFERECE CURSOS PROFISSIONALIZANTES A VENEZUELANOS REFUGIADOS EM MANAUS</t>
        </is>
      </c>
      <c r="I2047" t="inlineStr">
        <is>
          <t>ALÉM DOS CURSOS PROFISSIONALIZANTES, AULAS DE PORTUGUÊS TAMBÉM SÃO DISPONIBILIZADAS PELO PROJETO OPORTUNIZAR</t>
        </is>
      </c>
      <c r="J2047" t="inlineStr"/>
      <c r="K2047" t="n">
        <v>0</v>
      </c>
      <c r="L2047" t="n">
        <v>1</v>
      </c>
      <c r="M2047" t="n">
        <v>0</v>
      </c>
      <c r="N2047" t="n">
        <v>0</v>
      </c>
      <c r="O2047" t="n">
        <v>0</v>
      </c>
      <c r="P2047">
        <f>HYPERLINK("https://www.acritica.com/manaus/projeto-oferece-cursos-profissionalizantes-a-venezuelanos-refugiados-em-manaus-1.194111", "URL")</f>
        <v/>
      </c>
      <c r="Q2047">
        <f>HYPERLINK("https://raw.githubusercontent.com/marcosmapl/dataset_imigrantes/main/materias_filtered/a_critica/venezuelanos/2018/07_ago/html/1.194111_204.html", "HTML")</f>
        <v/>
      </c>
      <c r="R2047">
        <f>HYPERLINK("https://raw.githubusercontent.com/marcosmapl/dataset_imigrantes/main/materias_filtered/a_critica/venezuelanos/2018/07_ago/txt/1.194111_204.txt", "TXT")</f>
        <v/>
      </c>
    </row>
    <row r="2048">
      <c r="A2048" s="1" t="n">
        <v>2046</v>
      </c>
      <c r="B2048" t="n">
        <v>2018</v>
      </c>
      <c r="C2048" s="2" t="n">
        <v>43328.9433116088</v>
      </c>
      <c r="D2048" t="inlineStr">
        <is>
          <t>G1</t>
        </is>
      </c>
      <c r="E2048" t="inlineStr">
        <is>
          <t>HAITIANOS</t>
        </is>
      </c>
      <c r="F2048" t="inlineStr">
        <is>
          <t>SANTA CATARINA</t>
        </is>
      </c>
      <c r="G2048" t="inlineStr">
        <is>
          <t>JOANA CALDAS, G1 SC</t>
        </is>
      </c>
      <c r="H2048" t="inlineStr">
        <is>
          <t>HOMEM É PRESO EM SC SUSPEITO DE AGREDIR COMPANHEIRA GRÁVIDA COM SOCOS NA BARRIGA; MULHER PERDEU BEBÊ</t>
        </is>
      </c>
      <c r="I2048" t="inlineStr">
        <is>
          <t>POLÍCIA ACREDITA QUE LESÕES TENHAM LEVADO À INTERRUPÇÃO DA GRAVIDEZ. HOMEM JÁ HAVIA SIDO DENUNCIADO POR OUTRAS MULHERES.</t>
        </is>
      </c>
      <c r="J2048" t="inlineStr"/>
      <c r="K2048" t="n">
        <v>0</v>
      </c>
      <c r="L2048" t="n">
        <v>1</v>
      </c>
      <c r="M2048" t="n">
        <v>0</v>
      </c>
      <c r="N2048" t="n">
        <v>0</v>
      </c>
      <c r="O2048" t="n">
        <v>2</v>
      </c>
      <c r="P2048">
        <f>HYPERLINK("https://g1.globo.com/sc/santa-catarina/noticia/2018/08/16/homem-e-preso-em-sc-suspeito-de-agredir-companheira-gravida-com-socos-na-barriga-mulher-perdeu-bebe.ghtml", "URL")</f>
        <v/>
      </c>
      <c r="Q2048">
        <f>HYPERLINK("https://raw.githubusercontent.com/marcosmapl/dataset_imigrantes/main/materias_filtered/g1/haitianos/2018/07_ago/html/g1_37ef22ea-22ec-11ed-b24f-6dbe51e79fca_1650.html", "HTML")</f>
        <v/>
      </c>
      <c r="R2048">
        <f>HYPERLINK("https://raw.githubusercontent.com/marcosmapl/dataset_imigrantes/main/materias_filtered/g1/haitianos/2018/07_ago/txt/g1_37ef22ea-22ec-11ed-b24f-6dbe51e79fca_1650.txt", "TXT")</f>
        <v/>
      </c>
    </row>
    <row r="2049">
      <c r="A2049" s="1" t="n">
        <v>2047</v>
      </c>
      <c r="B2049" t="n">
        <v>2018</v>
      </c>
      <c r="C2049" s="2" t="n">
        <v>43328.90833333333</v>
      </c>
      <c r="D2049" t="inlineStr">
        <is>
          <t>A CRITICA</t>
        </is>
      </c>
      <c r="E2049" t="inlineStr">
        <is>
          <t>VENEZUELANOS</t>
        </is>
      </c>
      <c r="F2049" t="inlineStr">
        <is>
          <t>MANAUS</t>
        </is>
      </c>
      <c r="G2049" t="inlineStr">
        <is>
          <t>ACRÍTICA.COM</t>
        </is>
      </c>
      <c r="H2049" t="inlineStr">
        <is>
          <t>SECRETARIA SELECIONA PROFISSIONAIS PARA TRABALHAR EM ABRIGOS DE VENEZUELANOS</t>
        </is>
      </c>
      <c r="I2049" t="inlineStr">
        <is>
          <t>AS VAGAS SÃO PARA COORDENADOR, ASSISTENTE SOCIAL, PSICÓLOGO (A), ANTROPÓLOGO (A), TRADUTOR (A) NÍVEL MÉDIO COM FLUÊNCIA EM ESPANHOL E AUXILIAR ADMINISTRATIVO</t>
        </is>
      </c>
      <c r="J2049" t="inlineStr"/>
      <c r="K2049" t="n">
        <v>0</v>
      </c>
      <c r="L2049" t="n">
        <v>1</v>
      </c>
      <c r="M2049" t="n">
        <v>0</v>
      </c>
      <c r="N2049" t="n">
        <v>0</v>
      </c>
      <c r="O2049" t="n">
        <v>2</v>
      </c>
      <c r="P2049">
        <f>HYPERLINK("https://www.acritica.com/manaus/secretaria-seleciona-profissionais-para-trabalhar-em-abrigos-de-venezuelanos-1.194008", "URL")</f>
        <v/>
      </c>
      <c r="Q2049">
        <f>HYPERLINK("https://raw.githubusercontent.com/marcosmapl/dataset_imigrantes/main/materias_filtered/a_critica/venezuelanos/2018/07_ago/html/1.194008_1152.html", "HTML")</f>
        <v/>
      </c>
      <c r="R2049">
        <f>HYPERLINK("https://raw.githubusercontent.com/marcosmapl/dataset_imigrantes/main/materias_filtered/a_critica/venezuelanos/2018/07_ago/txt/1.194008_1152.txt", "TXT")</f>
        <v/>
      </c>
    </row>
    <row r="2050">
      <c r="A2050" s="1" t="n">
        <v>2048</v>
      </c>
      <c r="B2050" t="n">
        <v>2018</v>
      </c>
      <c r="C2050" s="2" t="n">
        <v>43328.4190625</v>
      </c>
      <c r="D2050" t="inlineStr">
        <is>
          <t>A CRITICA</t>
        </is>
      </c>
      <c r="E2050" t="inlineStr">
        <is>
          <t>VENEZUELANOS</t>
        </is>
      </c>
      <c r="F2050" t="inlineStr">
        <is>
          <t>MANAUS</t>
        </is>
      </c>
      <c r="G2050" t="inlineStr">
        <is>
          <t>SILANE SOUZA</t>
        </is>
      </c>
      <c r="H2050" t="inlineStr">
        <is>
          <t>APÓS 10 DIAS, CAMPANHA VACINOU APENAS 5,14% DO PÚBLICO-ALVO DA POLIOMIELITE NO AM</t>
        </is>
      </c>
      <c r="I2050" t="inlineStr">
        <is>
          <t>A META PARA A CAMPANHA NACIONAL DE VACINAÇÃO CONTRA POLIOMIELITE E SARAMPO É IMUNIZAR 95% DAS CRIANÇAS DE SEIS MESES A MENORES DE CINCO ANOS. MENOS DA METADE DO PÚBLICO-ALVO DO SARAMPO FOI ALCANÇADO</t>
        </is>
      </c>
      <c r="J2050" t="inlineStr"/>
      <c r="K2050" t="n">
        <v>0</v>
      </c>
      <c r="L2050" t="n">
        <v>1</v>
      </c>
      <c r="M2050" t="n">
        <v>0</v>
      </c>
      <c r="N2050" t="n">
        <v>0</v>
      </c>
      <c r="O2050" t="n">
        <v>3</v>
      </c>
      <c r="P2050">
        <f>HYPERLINK("https://www.acritica.com/manaus/apos-10-dias-campanha-vacinou-apenas-5-14-do-publico-alvo-da-poliomielite-no-am-1.193918", "URL")</f>
        <v/>
      </c>
      <c r="Q2050">
        <f>HYPERLINK("https://raw.githubusercontent.com/marcosmapl/dataset_imigrantes/main/materias_filtered/a_critica/venezuelanos/2018/07_ago/html/1.193918_647.html", "HTML")</f>
        <v/>
      </c>
      <c r="R2050">
        <f>HYPERLINK("https://raw.githubusercontent.com/marcosmapl/dataset_imigrantes/main/materias_filtered/a_critica/venezuelanos/2018/07_ago/txt/1.193918_647.txt", "TXT")</f>
        <v/>
      </c>
    </row>
    <row r="2051">
      <c r="A2051" s="1" t="n">
        <v>2049</v>
      </c>
      <c r="B2051" t="n">
        <v>2018</v>
      </c>
      <c r="C2051" s="2" t="n">
        <v>43326.67458403935</v>
      </c>
      <c r="D2051" t="inlineStr">
        <is>
          <t>G1</t>
        </is>
      </c>
      <c r="E2051" t="inlineStr">
        <is>
          <t>VENEZUELANOS</t>
        </is>
      </c>
      <c r="F2051" t="inlineStr">
        <is>
          <t>MUNDO</t>
        </is>
      </c>
      <c r="G2051" t="inlineStr">
        <is>
          <t>FRANCE PRESSE</t>
        </is>
      </c>
      <c r="H2051" t="inlineStr">
        <is>
          <t>GENERAL VENEZUELANO É DETIDO POR SUSPEITA DE ENVOLVIMENTO EM SUPOSTO ATENTADO CONTRA MADURO</t>
        </is>
      </c>
      <c r="I2051" t="inlineStr">
        <is>
          <t>GENERAL DE DIVISÃO DA GUARDA NACIONAL BOLIVARIANA ALEJANDRO PÉREZ GÁMEZ E OUTROS SUSPEITOS FORAM PRESOS. DISCURSO DE NICOLÁS MADURO FOI INTERROMPIDO EM 4 DE AGOSTO POR DUAS EXPLOSÕES QUE TERIAM SIDO CAUSADAS POR DRONES.</t>
        </is>
      </c>
      <c r="J2051" t="inlineStr"/>
      <c r="K2051" t="n">
        <v>0</v>
      </c>
      <c r="L2051" t="n">
        <v>1</v>
      </c>
      <c r="M2051" t="n">
        <v>0</v>
      </c>
      <c r="N2051" t="n">
        <v>0</v>
      </c>
      <c r="O2051" t="n">
        <v>0</v>
      </c>
      <c r="P2051">
        <f>HYPERLINK("https://g1.globo.com/mundo/noticia/2018/08/14/general-venezuelano-e-detido-por-suspeita-de-envolvimento-em-suposto-atentado-contra-maduro.ghtml", "URL")</f>
        <v/>
      </c>
      <c r="Q2051">
        <f>HYPERLINK("https://raw.githubusercontent.com/marcosmapl/dataset_imigrantes/main/materias_filtered/g1/venezuelanos/2018/07_ago/html/g1_6f48de4a-231c-11ed-b24f-6dbe51e79fca_3446.html", "HTML")</f>
        <v/>
      </c>
      <c r="R2051">
        <f>HYPERLINK("https://raw.githubusercontent.com/marcosmapl/dataset_imigrantes/main/materias_filtered/g1/venezuelanos/2018/07_ago/txt/g1_6f48de4a-231c-11ed-b24f-6dbe51e79fca_3446.txt", "TXT")</f>
        <v/>
      </c>
    </row>
    <row r="2052">
      <c r="A2052" s="1" t="n">
        <v>2050</v>
      </c>
      <c r="B2052" t="n">
        <v>2018</v>
      </c>
      <c r="C2052" s="2" t="n">
        <v>43326.50138888889</v>
      </c>
      <c r="D2052" t="inlineStr">
        <is>
          <t>PORTAL AMAZONIA</t>
        </is>
      </c>
      <c r="E2052" t="inlineStr">
        <is>
          <t>VENEZUELANOS</t>
        </is>
      </c>
      <c r="F2052" t="inlineStr">
        <is>
          <t>CIDADES</t>
        </is>
      </c>
      <c r="G2052" t="inlineStr">
        <is>
          <t>REDAÇÃO</t>
        </is>
      </c>
      <c r="H2052" t="inlineStr">
        <is>
          <t>PF DESARTICULA NOVA FASE DE OPERAÇÃO PARA COMBATER DESVIO DE RECURSOS EM RORAIMA</t>
        </is>
      </c>
      <c r="I2052" t="inlineStr">
        <is>
          <t>A POLÍCIA FEDERAL REALIZOU NESTA SEGUNDA-FEIRA (13), EM RORAIMA, UMA OPERAÇÃO PARA DESARTICULAR UMA ORGANIZAÇÃO CRIMINOSA SUPOSTAMENTE RESPONSÁVEL POR DESVIO DE RECURSOS PÚBLICOS FEDERAIS, LAVAGEM DE DINHEIRO E FRAUDE A LICITAÇÃO. POLICIAIS FEDERAIS</t>
        </is>
      </c>
      <c r="J2052" t="inlineStr">
        <is>
          <t>OPERAÇÃO, POLÍCIA FEDERAL, RORAIMA</t>
        </is>
      </c>
      <c r="K2052" t="n">
        <v>3</v>
      </c>
      <c r="L2052" t="n">
        <v>1</v>
      </c>
      <c r="M2052" t="n">
        <v>0</v>
      </c>
      <c r="N2052" t="n">
        <v>0</v>
      </c>
      <c r="O2052" t="n">
        <v>8</v>
      </c>
      <c r="P2052">
        <f>HYPERLINK("https://portalamazonia.com/noticias/cidades/pf-desarticula-nova-fase-de-operacao-para-combater-desvio-de-recursos-em-roraima", "URL")</f>
        <v/>
      </c>
      <c r="Q2052">
        <f>HYPERLINK("https://raw.githubusercontent.com/marcosmapl/dataset_imigrantes/main/materias_filtered/portal_amazonia/venezuelanos/2018/07_ago/html/15443.15443_1558.html", "HTML")</f>
        <v/>
      </c>
      <c r="R2052">
        <f>HYPERLINK("https://raw.githubusercontent.com/marcosmapl/dataset_imigrantes/main/materias_filtered/portal_amazonia/venezuelanos/2018/07_ago/txt/15443.15443_1558.txt", "TXT")</f>
        <v/>
      </c>
    </row>
    <row r="2053">
      <c r="A2053" s="1" t="n">
        <v>2051</v>
      </c>
      <c r="B2053" t="n">
        <v>2018</v>
      </c>
      <c r="C2053" s="2" t="n">
        <v>43324.74433297454</v>
      </c>
      <c r="D2053" t="inlineStr">
        <is>
          <t>G1</t>
        </is>
      </c>
      <c r="E2053" t="inlineStr">
        <is>
          <t>VENEZUELANOS</t>
        </is>
      </c>
      <c r="F2053" t="inlineStr">
        <is>
          <t>RORAIMA</t>
        </is>
      </c>
      <c r="G2053" t="inlineStr">
        <is>
          <t>G1 RR — BOA VISTA</t>
        </is>
      </c>
      <c r="H2053" t="inlineStr">
        <is>
          <t>DUPLA É PRESA APÓS ROUBAR CELULAR E BATER EM VENEZUELANA DURANTE ASSALTO NA ZONA OESTE DE BOA VISTA</t>
        </is>
      </c>
      <c r="I2053" t="inlineStr">
        <is>
          <t>UM DOS SUSPEITOS É EX-PRESIDIÁRIO E SAIU DA PENITENCIÁRIA AGRÍCOLA NA ÚLTIMA QUINTA (9).</t>
        </is>
      </c>
      <c r="J2053" t="inlineStr"/>
      <c r="K2053" t="n">
        <v>0</v>
      </c>
      <c r="L2053" t="n">
        <v>1</v>
      </c>
      <c r="M2053" t="n">
        <v>0</v>
      </c>
      <c r="N2053" t="n">
        <v>0</v>
      </c>
      <c r="O2053" t="n">
        <v>1</v>
      </c>
      <c r="P2053">
        <f>HYPERLINK("https://g1.globo.com/rr/roraima/noticia/2018/08/12/dupla-e-presa-apos-roubar-celular-e-bater-em-venezuelana-durante-assalto-na-zona-oeste-de-boa-vista.ghtml", "URL")</f>
        <v/>
      </c>
      <c r="Q2053">
        <f>HYPERLINK("https://raw.githubusercontent.com/marcosmapl/dataset_imigrantes/main/materias_filtered/g1/venezuelanos/2018/07_ago/html/g1_827f5e16-231d-11ed-b24f-6dbe51e79fca_3505.html", "HTML")</f>
        <v/>
      </c>
      <c r="R2053">
        <f>HYPERLINK("https://raw.githubusercontent.com/marcosmapl/dataset_imigrantes/main/materias_filtered/g1/venezuelanos/2018/07_ago/txt/g1_827f5e16-231d-11ed-b24f-6dbe51e79fca_3505.txt", "TXT")</f>
        <v/>
      </c>
    </row>
    <row r="2054">
      <c r="A2054" s="1" t="n">
        <v>2052</v>
      </c>
      <c r="B2054" t="n">
        <v>2018</v>
      </c>
      <c r="C2054" s="2" t="n">
        <v>43322.79527730324</v>
      </c>
      <c r="D2054" t="inlineStr">
        <is>
          <t>G1</t>
        </is>
      </c>
      <c r="E2054" t="inlineStr">
        <is>
          <t>AMBOS</t>
        </is>
      </c>
      <c r="F2054" t="inlineStr">
        <is>
          <t>MATO GROSSO</t>
        </is>
      </c>
      <c r="G2054" t="inlineStr">
        <is>
          <t>LIDIANE MORAES, G1 MT</t>
        </is>
      </c>
      <c r="H2054" t="inlineStr">
        <is>
          <t>MT ACOLHEU 3.556 HAITIANOS E VENEZUELANOS NOS ÚLTIMOS 8 ANOS, DIZ RELATÓRIO</t>
        </is>
      </c>
      <c r="I2054" t="inlineStr">
        <is>
          <t>DE 2010 A 2018, MATO GROSSO RECEBEU MAIS DE 3,5 MIL HAITIANOS. SOMENTE EM 2018, 119 VENEZUELANOS FORAM ACOLHIDOS NO ESTADO.</t>
        </is>
      </c>
      <c r="J2054" t="inlineStr"/>
      <c r="K2054" t="n">
        <v>0</v>
      </c>
      <c r="L2054" t="n">
        <v>2</v>
      </c>
      <c r="M2054" t="n">
        <v>0</v>
      </c>
      <c r="N2054" t="n">
        <v>0</v>
      </c>
      <c r="O2054" t="n">
        <v>0</v>
      </c>
      <c r="P2054">
        <f>HYPERLINK("https://g1.globo.com/mt/mato-grosso/noticia/2018/08/10/mt-acolheu-3556-haitianos-e-venezuelanos-nos-ultimos-8-anos-diz-relatorio.ghtml", "URL")</f>
        <v/>
      </c>
      <c r="Q2054">
        <f>HYPERLINK("https://raw.githubusercontent.com/marcosmapl/dataset_imigrantes/main/materias_filtered/g1/ambos/2018/07_ago/html/g1_89f50760-22f8-11ed-b24f-6dbe51e79fca_2141.html", "HTML")</f>
        <v/>
      </c>
      <c r="R2054">
        <f>HYPERLINK("https://raw.githubusercontent.com/marcosmapl/dataset_imigrantes/main/materias_filtered/g1/ambos/2018/07_ago/txt/g1_89f50760-22f8-11ed-b24f-6dbe51e79fca_2141.txt", "TXT")</f>
        <v/>
      </c>
    </row>
    <row r="2055">
      <c r="A2055" s="1" t="n">
        <v>2053</v>
      </c>
      <c r="B2055" t="n">
        <v>2018</v>
      </c>
      <c r="C2055" s="2" t="n">
        <v>43321.68513677084</v>
      </c>
      <c r="D2055" t="inlineStr">
        <is>
          <t>G1</t>
        </is>
      </c>
      <c r="E2055" t="inlineStr">
        <is>
          <t>VENEZUELANOS</t>
        </is>
      </c>
      <c r="F2055" t="inlineStr">
        <is>
          <t>RORAIMA</t>
        </is>
      </c>
      <c r="G2055" t="inlineStr">
        <is>
          <t>G1 RR — BOA VISTA</t>
        </is>
      </c>
      <c r="H2055" t="inlineStr">
        <is>
          <t>ESPETÁCULO DE DANÇA RETRATA IMIGRAÇÃO VENEZUELANA PARA RORAIMA</t>
        </is>
      </c>
      <c r="I2055" t="inlineStr">
        <is>
          <t>APRESENTAÇÃO SERÁ ÀS 20H DE SEXTA (10) NO TEATRO SESC MECEJANA. ENTRADA É 1KG DE ALIMENTO NÃO PERECÍVEL.</t>
        </is>
      </c>
      <c r="J2055" t="inlineStr"/>
      <c r="K2055" t="n">
        <v>0</v>
      </c>
      <c r="L2055" t="n">
        <v>1</v>
      </c>
      <c r="M2055" t="n">
        <v>0</v>
      </c>
      <c r="N2055" t="n">
        <v>0</v>
      </c>
      <c r="O2055" t="n">
        <v>2</v>
      </c>
      <c r="P2055">
        <f>HYPERLINK("https://g1.globo.com/rr/roraima/noticia/2018/08/09/espetaculo-de-danca-retrata-imigracao-venezuelana-para-roraima.ghtml", "URL")</f>
        <v/>
      </c>
      <c r="Q2055">
        <f>HYPERLINK("https://raw.githubusercontent.com/marcosmapl/dataset_imigrantes/main/materias_filtered/g1/venezuelanos/2018/07_ago/html/g1_be7da8d4-231b-11ed-b24f-6dbe51e79fca_3404.html", "HTML")</f>
        <v/>
      </c>
      <c r="R2055">
        <f>HYPERLINK("https://raw.githubusercontent.com/marcosmapl/dataset_imigrantes/main/materias_filtered/g1/venezuelanos/2018/07_ago/txt/g1_be7da8d4-231b-11ed-b24f-6dbe51e79fca_3404.txt", "TXT")</f>
        <v/>
      </c>
    </row>
    <row r="2056">
      <c r="A2056" s="1" t="n">
        <v>2054</v>
      </c>
      <c r="B2056" t="n">
        <v>2018</v>
      </c>
      <c r="C2056" s="2" t="n">
        <v>43320.9485644676</v>
      </c>
      <c r="D2056" t="inlineStr">
        <is>
          <t>G1</t>
        </is>
      </c>
      <c r="E2056" t="inlineStr">
        <is>
          <t>VENEZUELANOS</t>
        </is>
      </c>
      <c r="F2056" t="inlineStr">
        <is>
          <t>RORAIMA</t>
        </is>
      </c>
      <c r="G2056" t="inlineStr">
        <is>
          <t>G1 RR</t>
        </is>
      </c>
      <c r="H2056" t="inlineStr">
        <is>
          <t>CORPO ENCONTRADO DECAPITADO NO ANEL VIÁRIO, EM BOA VISTA, ERA DE ADOLESCENTE VENEZUELANO</t>
        </is>
      </c>
      <c r="I2056" t="inlineStr">
        <is>
          <t>MOISÉS ERNANDEZ, DE 17 ANOS, TINHA VÁRIAS PERFURAÇÕES NA FACE, SEGUNDO A PM. A POLÍCIA IDENTIFICOU AS SIGLAS DE DUAS FACÇÕES RIVAIS FEITAS NO CHÃO, AO LADO DO CORPO.</t>
        </is>
      </c>
      <c r="J2056" t="inlineStr"/>
      <c r="K2056" t="n">
        <v>0</v>
      </c>
      <c r="L2056" t="n">
        <v>1</v>
      </c>
      <c r="M2056" t="n">
        <v>0</v>
      </c>
      <c r="N2056" t="n">
        <v>0</v>
      </c>
      <c r="O2056" t="n">
        <v>0</v>
      </c>
      <c r="P2056">
        <f>HYPERLINK("https://g1.globo.com/rr/roraima/noticia/2018/08/08/corpo-encontrado-decapitado-no-anel-viario-em-boa-vista-era-de-adolescente-venezuelano.ghtml", "URL")</f>
        <v/>
      </c>
      <c r="Q2056">
        <f>HYPERLINK("https://raw.githubusercontent.com/marcosmapl/dataset_imigrantes/main/materias_filtered/g1/venezuelanos/2018/07_ago/html/g1_3daa2fc6-2310-11ed-b24f-6dbe51e79fca_2848.html", "HTML")</f>
        <v/>
      </c>
      <c r="R2056">
        <f>HYPERLINK("https://raw.githubusercontent.com/marcosmapl/dataset_imigrantes/main/materias_filtered/g1/venezuelanos/2018/07_ago/txt/g1_3daa2fc6-2310-11ed-b24f-6dbe51e79fca_2848.txt", "TXT")</f>
        <v/>
      </c>
    </row>
    <row r="2057">
      <c r="A2057" s="1" t="n">
        <v>2055</v>
      </c>
      <c r="B2057" t="n">
        <v>2018</v>
      </c>
      <c r="C2057" s="2" t="n">
        <v>43320.90878945602</v>
      </c>
      <c r="D2057" t="inlineStr">
        <is>
          <t>G1</t>
        </is>
      </c>
      <c r="E2057" t="inlineStr">
        <is>
          <t>VENEZUELANOS</t>
        </is>
      </c>
      <c r="F2057" t="inlineStr">
        <is>
          <t>AMAPÁ</t>
        </is>
      </c>
      <c r="G2057" t="inlineStr">
        <is>
          <t>G1 AP — MACAPÁ</t>
        </is>
      </c>
      <c r="H2057" t="inlineStr">
        <is>
          <t>VENEZUELANO PRESO EM HOSPITAL DO AP TINHA MAIS DE 1 QUILO DE COCAÍNA NO ESTÔMAGO</t>
        </is>
      </c>
      <c r="I2057" t="inlineStr">
        <is>
          <t>ESTRANGEIRO PRETENDIA IR PARA A EUROPA, MAS PASSOU MAL E DECIDIU PARAR EM MACAPÁ EM BUSCA DE AJUDA MÉDICA. A DROGA FOI EXTRAÍDA E ELE FOI PRESO PELA POLÍCIA FEDERAL.</t>
        </is>
      </c>
      <c r="J2057" t="inlineStr"/>
      <c r="K2057" t="n">
        <v>0</v>
      </c>
      <c r="L2057" t="n">
        <v>1</v>
      </c>
      <c r="M2057" t="n">
        <v>0</v>
      </c>
      <c r="N2057" t="n">
        <v>0</v>
      </c>
      <c r="O2057" t="n">
        <v>11</v>
      </c>
      <c r="P2057">
        <f>HYPERLINK("https://g1.globo.com/ap/amapa/noticia/2018/08/08/venezuelano-preso-em-hospital-do-ap-tinha-mais-de-1-quilo-de-cocaina-no-estomago.ghtml", "URL")</f>
        <v/>
      </c>
      <c r="Q2057">
        <f>HYPERLINK("https://raw.githubusercontent.com/marcosmapl/dataset_imigrantes/main/materias_filtered/g1/venezuelanos/2018/07_ago/html/g1_18763522-2326-11ed-b24f-6dbe51e79fca_3954.html", "HTML")</f>
        <v/>
      </c>
      <c r="R2057">
        <f>HYPERLINK("https://raw.githubusercontent.com/marcosmapl/dataset_imigrantes/main/materias_filtered/g1/venezuelanos/2018/07_ago/txt/g1_18763522-2326-11ed-b24f-6dbe51e79fca_3954.txt", "TXT")</f>
        <v/>
      </c>
    </row>
    <row r="2058">
      <c r="A2058" s="1" t="n">
        <v>2056</v>
      </c>
      <c r="B2058" t="n">
        <v>2018</v>
      </c>
      <c r="C2058" s="2" t="n">
        <v>43320.64149305555</v>
      </c>
      <c r="D2058" t="inlineStr">
        <is>
          <t>A CRITICA</t>
        </is>
      </c>
      <c r="E2058" t="inlineStr">
        <is>
          <t>VENEZUELANOS</t>
        </is>
      </c>
      <c r="F2058" t="inlineStr"/>
      <c r="G2058" t="inlineStr">
        <is>
          <t>CAROLINA GONÇALVES -  AGÊNCIA BRASIL</t>
        </is>
      </c>
      <c r="H2058" t="inlineStr">
        <is>
          <t>JUNGMANN: NÃO É MOMENTO DE O BRASIL VIRAR AS COSTAS A VENEZUELANOS</t>
        </is>
      </c>
      <c r="I2058" t="inlineStr">
        <is>
          <t>JUNGMANN LEMBROU QUE O BRASIL É UM PAÍS DE IMIGRANTES E QUE OS VENEZUELANOS ESTÃO VIVENDO UMA SITUAÇÃO DIFICIL. PARA ELE, NÃO É O MOMENTO DE O BRASIL VIRAR AS COSTAS</t>
        </is>
      </c>
      <c r="J2058" t="inlineStr"/>
      <c r="K2058" t="n">
        <v>0</v>
      </c>
      <c r="L2058" t="n">
        <v>1</v>
      </c>
      <c r="M2058" t="n">
        <v>0</v>
      </c>
      <c r="N2058" t="n">
        <v>0</v>
      </c>
      <c r="O2058" t="n">
        <v>0</v>
      </c>
      <c r="P2058">
        <f>HYPERLINK("https://www.acritica.com/jungmann-n-o-e-momento-de-o-brasil-virar-as-costas-a-venezuelanos-1.84605", "URL")</f>
        <v/>
      </c>
      <c r="Q2058">
        <f>HYPERLINK("https://raw.githubusercontent.com/marcosmapl/dataset_imigrantes/main/materias_filtered/a_critica/venezuelanos/2018/07_ago/html/1.84605_1146.html", "HTML")</f>
        <v/>
      </c>
      <c r="R2058">
        <f>HYPERLINK("https://raw.githubusercontent.com/marcosmapl/dataset_imigrantes/main/materias_filtered/a_critica/venezuelanos/2018/07_ago/txt/1.84605_1146.txt", "TXT")</f>
        <v/>
      </c>
    </row>
    <row r="2059">
      <c r="A2059" s="1" t="n">
        <v>2057</v>
      </c>
      <c r="B2059" t="n">
        <v>2018</v>
      </c>
      <c r="C2059" s="2" t="n">
        <v>43319.86818287037</v>
      </c>
      <c r="D2059" t="inlineStr">
        <is>
          <t>A CRITICA</t>
        </is>
      </c>
      <c r="E2059" t="inlineStr">
        <is>
          <t>VENEZUELANOS</t>
        </is>
      </c>
      <c r="F2059" t="inlineStr"/>
      <c r="G2059" t="inlineStr">
        <is>
          <t>AGÊNCIA BRASIL</t>
        </is>
      </c>
      <c r="H2059" t="inlineStr">
        <is>
          <t>PGR DEFENDE ANULAÇÃO DO DECRETO DE RORAIMA SOBRE ENTRADA DE VENEZUELANOS NO BRASIL</t>
        </is>
      </c>
      <c r="I2059" t="inlineStr">
        <is>
          <t>SEGUNDO A PROCURADORA-GERAL, RAQUEL DODGE, O DECRETO AFRONTA OBRIGAÇÕES INTERNACIONAIS ASSUMIDAS PELO BRASIL NA ÁREA DE DIREITOS HUMANOS E NA PROTEÇÃO DE REFUGIADOS</t>
        </is>
      </c>
      <c r="J2059" t="inlineStr"/>
      <c r="K2059" t="n">
        <v>0</v>
      </c>
      <c r="L2059" t="n">
        <v>1</v>
      </c>
      <c r="M2059" t="n">
        <v>0</v>
      </c>
      <c r="N2059" t="n">
        <v>0</v>
      </c>
      <c r="O2059" t="n">
        <v>0</v>
      </c>
      <c r="P2059">
        <f>HYPERLINK("https://www.acritica.com/pgr-defende-anulac-o-do-decreto-de-roraima-sobre-entrada-de-venezuelanos-no-brasil-1.193219", "URL")</f>
        <v/>
      </c>
      <c r="Q2059">
        <f>HYPERLINK("https://raw.githubusercontent.com/marcosmapl/dataset_imigrantes/main/materias_filtered/a_critica/venezuelanos/2018/07_ago/html/1.193219_162.html", "HTML")</f>
        <v/>
      </c>
      <c r="R2059">
        <f>HYPERLINK("https://raw.githubusercontent.com/marcosmapl/dataset_imigrantes/main/materias_filtered/a_critica/venezuelanos/2018/07_ago/txt/1.193219_162.txt", "TXT")</f>
        <v/>
      </c>
    </row>
    <row r="2060">
      <c r="A2060" s="1" t="n">
        <v>2058</v>
      </c>
      <c r="B2060" t="n">
        <v>2018</v>
      </c>
      <c r="C2060" s="2" t="n">
        <v>43319.83543981481</v>
      </c>
      <c r="D2060" t="inlineStr">
        <is>
          <t>A CRITICA</t>
        </is>
      </c>
      <c r="E2060" t="inlineStr">
        <is>
          <t>VENEZUELANOS</t>
        </is>
      </c>
      <c r="F2060" t="inlineStr">
        <is>
          <t>MANAUS</t>
        </is>
      </c>
      <c r="G2060" t="inlineStr">
        <is>
          <t>ACRÍTICA.COM</t>
        </is>
      </c>
      <c r="H2060" t="inlineStr">
        <is>
          <t>SECRETARIA ANUNCIA SELETIVO COM VAGAS DE EMPREGO PARA ABRIGOS DE VENEZUELANOS</t>
        </is>
      </c>
      <c r="I2060" t="inlineStr">
        <is>
          <t>SERÃO CONTRATADOS ASSISTENTES SOCIAIS, PSICÓLOGOS, TRADUTORES, AUXILIARES ADMINISTRATIVOS E ANTROPÓLOGO PARA ATUAR EM TRÊS CASAS DE ACOLHIMENTO EM MANAUS</t>
        </is>
      </c>
      <c r="J2060" t="inlineStr"/>
      <c r="K2060" t="n">
        <v>0</v>
      </c>
      <c r="L2060" t="n">
        <v>1</v>
      </c>
      <c r="M2060" t="n">
        <v>0</v>
      </c>
      <c r="N2060" t="n">
        <v>0</v>
      </c>
      <c r="O2060" t="n">
        <v>0</v>
      </c>
      <c r="P2060">
        <f>HYPERLINK("https://www.acritica.com/manaus/secretaria-anuncia-seletivo-com-vagas-de-emprego-para-abrigos-de-venezuelanos-1.84657", "URL")</f>
        <v/>
      </c>
      <c r="Q2060">
        <f>HYPERLINK("https://raw.githubusercontent.com/marcosmapl/dataset_imigrantes/main/materias_filtered/a_critica/venezuelanos/2018/07_ago/html/1.84657_1374.html", "HTML")</f>
        <v/>
      </c>
      <c r="R2060">
        <f>HYPERLINK("https://raw.githubusercontent.com/marcosmapl/dataset_imigrantes/main/materias_filtered/a_critica/venezuelanos/2018/07_ago/txt/1.84657_1374.txt", "TXT")</f>
        <v/>
      </c>
    </row>
    <row r="2061">
      <c r="A2061" s="1" t="n">
        <v>2059</v>
      </c>
      <c r="B2061" t="n">
        <v>2018</v>
      </c>
      <c r="C2061" s="2" t="n">
        <v>43319.57068138889</v>
      </c>
      <c r="D2061" t="inlineStr">
        <is>
          <t>G1</t>
        </is>
      </c>
      <c r="E2061" t="inlineStr">
        <is>
          <t>VENEZUELANOS</t>
        </is>
      </c>
      <c r="F2061" t="inlineStr">
        <is>
          <t>RORAIMA</t>
        </is>
      </c>
      <c r="G2061" t="inlineStr">
        <is>
          <t>G1 RR</t>
        </is>
      </c>
      <c r="H2061" t="inlineStr">
        <is>
          <t>VENEZUELANO É ASSASSINADO COM GOLPE DE FACA ENQUANTO DORMIA EM BOA VISTA</t>
        </is>
      </c>
      <c r="I2061" t="inlineStr">
        <is>
          <t>ALÉM DELE, UMA JOVEM QUE TAMBÉM É IMIGRANTE FOI FERIDA PELOS AGRESSORES. DOIS SUSPEITOS FORAM PRESOS PELA POLÍCIA MILITAR.</t>
        </is>
      </c>
      <c r="J2061" t="inlineStr"/>
      <c r="K2061" t="n">
        <v>0</v>
      </c>
      <c r="L2061" t="n">
        <v>2</v>
      </c>
      <c r="M2061" t="n">
        <v>0</v>
      </c>
      <c r="N2061" t="n">
        <v>0</v>
      </c>
      <c r="O2061" t="n">
        <v>1</v>
      </c>
      <c r="P2061">
        <f>HYPERLINK("https://g1.globo.com/rr/roraima/noticia/2018/08/07/venezuelano-e-assassinado-com-golpe-de-faca-enquanto-dormia-em-boa-vista.ghtml", "URL")</f>
        <v/>
      </c>
      <c r="Q2061">
        <f>HYPERLINK("https://raw.githubusercontent.com/marcosmapl/dataset_imigrantes/main/materias_filtered/g1/venezuelanos/2018/07_ago/html/g1_5a9d7170-2319-11ed-b24f-6dbe51e79fca_3312.html", "HTML")</f>
        <v/>
      </c>
      <c r="R2061">
        <f>HYPERLINK("https://raw.githubusercontent.com/marcosmapl/dataset_imigrantes/main/materias_filtered/g1/venezuelanos/2018/07_ago/txt/g1_5a9d7170-2319-11ed-b24f-6dbe51e79fca_3312.txt", "TXT")</f>
        <v/>
      </c>
    </row>
    <row r="2062">
      <c r="A2062" s="1" t="n">
        <v>2060</v>
      </c>
      <c r="B2062" t="n">
        <v>2018</v>
      </c>
      <c r="C2062" s="2" t="n">
        <v>43319.53836805555</v>
      </c>
      <c r="D2062" t="inlineStr">
        <is>
          <t>A CRITICA</t>
        </is>
      </c>
      <c r="E2062" t="inlineStr">
        <is>
          <t>VENEZUELANOS</t>
        </is>
      </c>
      <c r="F2062" t="inlineStr"/>
      <c r="G2062" t="inlineStr">
        <is>
          <t>AGÊNCIA BRASIL</t>
        </is>
      </c>
      <c r="H2062" t="inlineStr">
        <is>
          <t>SUPREMO INDEFERE PEDIDO PARA FECHAR A FRONTEIRA DO BRASIL COM A VENEZUELA</t>
        </is>
      </c>
      <c r="I2062" t="inlineStr">
        <is>
          <t>A MINISTRA ROSA WEBER TOMOU DECISÃO CONTRÁRIA AO PEDIDO FORMULADO PELO GOVERNO DE RORAIMA PARA FECHAMENTO DA FRONTEIRA</t>
        </is>
      </c>
      <c r="J2062" t="inlineStr"/>
      <c r="K2062" t="n">
        <v>0</v>
      </c>
      <c r="L2062" t="n">
        <v>1</v>
      </c>
      <c r="M2062" t="n">
        <v>0</v>
      </c>
      <c r="N2062" t="n">
        <v>0</v>
      </c>
      <c r="O2062" t="n">
        <v>0</v>
      </c>
      <c r="P2062">
        <f>HYPERLINK("https://www.acritica.com/supremo-indefere-pedido-para-fechar-a-fronteira-do-brasil-com-a-venezuela-1.84707", "URL")</f>
        <v/>
      </c>
      <c r="Q2062">
        <f>HYPERLINK("https://raw.githubusercontent.com/marcosmapl/dataset_imigrantes/main/materias_filtered/a_critica/venezuelanos/2018/07_ago/html/1.84707_723.html", "HTML")</f>
        <v/>
      </c>
      <c r="R2062">
        <f>HYPERLINK("https://raw.githubusercontent.com/marcosmapl/dataset_imigrantes/main/materias_filtered/a_critica/venezuelanos/2018/07_ago/txt/1.84707_723.txt", "TXT")</f>
        <v/>
      </c>
    </row>
    <row r="2063">
      <c r="A2063" s="1" t="n">
        <v>2061</v>
      </c>
      <c r="B2063" t="n">
        <v>2018</v>
      </c>
      <c r="C2063" s="2" t="n">
        <v>43318.71465886574</v>
      </c>
      <c r="D2063" t="inlineStr">
        <is>
          <t>G1</t>
        </is>
      </c>
      <c r="E2063" t="inlineStr">
        <is>
          <t>VENEZUELANOS</t>
        </is>
      </c>
      <c r="F2063" t="inlineStr">
        <is>
          <t>PERNAMBUCO</t>
        </is>
      </c>
      <c r="G2063" t="inlineStr">
        <is>
          <t>ALLAN NASCIMENTO, G1 PE</t>
        </is>
      </c>
      <c r="H2063" t="inlineStr">
        <is>
          <t>CRIANÇAS VENEZUELANAS TÊM PRIMEIRO DIA DE AULAS EM IGARASSU, EM PE</t>
        </is>
      </c>
      <c r="I2063" t="inlineStr">
        <is>
          <t>FILHOS DE REFUGIADOS QUE CHEGARAM A PERNAMBUCO HÁ UM MÊS, ALUNOS VÃO ESTUDAR JUNTOS, EM UMA TURMA ESPECIAL, ATÉ O FIM DO ANO, PARA GANHAR FAMILIARIDADE COM O IDIOMA.</t>
        </is>
      </c>
      <c r="J2063" t="inlineStr"/>
      <c r="K2063" t="n">
        <v>0</v>
      </c>
      <c r="L2063" t="n">
        <v>2</v>
      </c>
      <c r="M2063" t="n">
        <v>1</v>
      </c>
      <c r="N2063" t="n">
        <v>0</v>
      </c>
      <c r="O2063" t="n">
        <v>2</v>
      </c>
      <c r="P2063">
        <f>HYPERLINK("https://g1.globo.com/pe/pernambuco/noticia/2018/08/06/criancas-venezuelanas-tem-primeiro-dia-de-aulas-em-igarassu-em-pe.ghtml", "URL")</f>
        <v/>
      </c>
      <c r="Q2063">
        <f>HYPERLINK("https://raw.githubusercontent.com/marcosmapl/dataset_imigrantes/main/materias_filtered/g1/venezuelanos/2018/07_ago/html/g1_be3ebfd4-2325-11ed-b24f-6dbe51e79fca_3932.html", "HTML")</f>
        <v/>
      </c>
      <c r="R2063">
        <f>HYPERLINK("https://raw.githubusercontent.com/marcosmapl/dataset_imigrantes/main/materias_filtered/g1/venezuelanos/2018/07_ago/txt/g1_be3ebfd4-2325-11ed-b24f-6dbe51e79fca_3932.txt", "TXT")</f>
        <v/>
      </c>
    </row>
    <row r="2064">
      <c r="A2064" s="1" t="n">
        <v>2062</v>
      </c>
      <c r="B2064" t="n">
        <v>2018</v>
      </c>
      <c r="C2064" s="2" t="n">
        <v>43318.69652777778</v>
      </c>
      <c r="D2064" t="inlineStr">
        <is>
          <t>A CRITICA</t>
        </is>
      </c>
      <c r="E2064" t="inlineStr">
        <is>
          <t>VENEZUELANOS</t>
        </is>
      </c>
      <c r="F2064" t="inlineStr"/>
      <c r="G2064" t="inlineStr">
        <is>
          <t>PEDRO PEDUZZI (AGÊNCIA BRASIL)</t>
        </is>
      </c>
      <c r="H2064" t="inlineStr">
        <is>
          <t>JUIZ SUSPENDE ENTRADA DE VENEZUELANOS NO BRASIL PELA FRONTEIRA COM RORAIMA</t>
        </is>
      </c>
      <c r="I2064" t="inlineStr">
        <is>
          <t>DECRETO ASSINADO PELA GOVERNADORA, SUELY CAMPOS, PERMITE QUE AUTORIDADES ESTADUAIS CONTROLEM A ENTRADA NAS FRONTEIRAS. EM ENTREVISTA, ELA AFIRMA QUE VAI LIMITAR O ACESSO A SERVIÇOS DE SAÚDE, COMO HOSPITAIS</t>
        </is>
      </c>
      <c r="J2064" t="inlineStr"/>
      <c r="K2064" t="n">
        <v>0</v>
      </c>
      <c r="L2064" t="n">
        <v>1</v>
      </c>
      <c r="M2064" t="n">
        <v>0</v>
      </c>
      <c r="N2064" t="n">
        <v>0</v>
      </c>
      <c r="O2064" t="n">
        <v>0</v>
      </c>
      <c r="P2064">
        <f>HYPERLINK("https://www.acritica.com/juiz-suspende-entrada-de-venezuelanos-no-brasil-pela-fronteira-com-roraima-1.84769", "URL")</f>
        <v/>
      </c>
      <c r="Q2064">
        <f>HYPERLINK("https://raw.githubusercontent.com/marcosmapl/dataset_imigrantes/main/materias_filtered/a_critica/venezuelanos/2018/07_ago/html/1.84769_493.html", "HTML")</f>
        <v/>
      </c>
      <c r="R2064">
        <f>HYPERLINK("https://raw.githubusercontent.com/marcosmapl/dataset_imigrantes/main/materias_filtered/a_critica/venezuelanos/2018/07_ago/txt/1.84769_493.txt", "TXT")</f>
        <v/>
      </c>
    </row>
    <row r="2065">
      <c r="A2065" s="1" t="n">
        <v>2063</v>
      </c>
      <c r="B2065" t="n">
        <v>2018</v>
      </c>
      <c r="C2065" s="2" t="n">
        <v>43316.75121527778</v>
      </c>
      <c r="D2065" t="inlineStr">
        <is>
          <t>A CRITICA</t>
        </is>
      </c>
      <c r="E2065" t="inlineStr">
        <is>
          <t>VENEZUELANOS</t>
        </is>
      </c>
      <c r="F2065" t="inlineStr"/>
      <c r="G2065" t="inlineStr">
        <is>
          <t>AGÊNCIA BRASIL</t>
        </is>
      </c>
      <c r="H2065" t="inlineStr">
        <is>
          <t>AGU PEDE SUSPENSÃO DO DECRETO DO GOVERNO DE RORAIMA SOBRE IMIGRANTES</t>
        </is>
      </c>
      <c r="I2065" t="inlineStr">
        <is>
          <t>O ÓRGÃO PEDE A SUSPENSÃO DO DECRETO QUE DETERMINA AUMENTO DE RIGOR DA SEGURANÇA PÚBLICA E DA VIGILÂNCIA DAS FORÇAS POLICIAIS NA FRONTEIRA COM A VENEZUELA</t>
        </is>
      </c>
      <c r="J2065" t="inlineStr"/>
      <c r="K2065" t="n">
        <v>0</v>
      </c>
      <c r="L2065" t="n">
        <v>1</v>
      </c>
      <c r="M2065" t="n">
        <v>0</v>
      </c>
      <c r="N2065" t="n">
        <v>0</v>
      </c>
      <c r="O2065" t="n">
        <v>0</v>
      </c>
      <c r="P2065">
        <f>HYPERLINK("https://www.acritica.com/agu-pede-suspens-o-do-decreto-do-governo-de-roraima-sobre-imigrantes-1.84837", "URL")</f>
        <v/>
      </c>
      <c r="Q2065">
        <f>HYPERLINK("https://raw.githubusercontent.com/marcosmapl/dataset_imigrantes/main/materias_filtered/a_critica/venezuelanos/2018/07_ago/html/1.84837_333.html", "HTML")</f>
        <v/>
      </c>
      <c r="R2065">
        <f>HYPERLINK("https://raw.githubusercontent.com/marcosmapl/dataset_imigrantes/main/materias_filtered/a_critica/venezuelanos/2018/07_ago/txt/1.84837_333.txt", "TXT")</f>
        <v/>
      </c>
    </row>
    <row r="2066">
      <c r="A2066" s="1" t="n">
        <v>2064</v>
      </c>
      <c r="B2066" t="n">
        <v>2018</v>
      </c>
      <c r="C2066" s="2" t="n">
        <v>43315.9455259375</v>
      </c>
      <c r="D2066" t="inlineStr">
        <is>
          <t>G1</t>
        </is>
      </c>
      <c r="E2066" t="inlineStr">
        <is>
          <t>HAITIANOS</t>
        </is>
      </c>
      <c r="F2066" t="inlineStr">
        <is>
          <t>MATO GROSSO DO SUL</t>
        </is>
      </c>
      <c r="G2066" t="inlineStr">
        <is>
          <t>GABRIELA PRADO, TV MORENA</t>
        </is>
      </c>
      <c r="H2066" t="inlineStr">
        <is>
          <t>CORUMBÁ PODE DECRETAR SITUAÇÃO DE EMERGÊNCIA DEVIDO A IMIGRAÇÃO DE HAITIANOS PELA FRONTEIRA COM A BOLÍVIA</t>
        </is>
      </c>
      <c r="I2066" t="inlineStr">
        <is>
          <t>DURANTE AUDIÊNCIA PÚBLICA NA TARDE DESTA SEXTA-FEIRA (3) FOI CRIADO UM PLANO DE AÇÃO PARA ATENDER A IMIGRAÇÃO.</t>
        </is>
      </c>
      <c r="J2066" t="inlineStr"/>
      <c r="K2066" t="n">
        <v>0</v>
      </c>
      <c r="L2066" t="n">
        <v>1</v>
      </c>
      <c r="M2066" t="n">
        <v>0</v>
      </c>
      <c r="N2066" t="n">
        <v>0</v>
      </c>
      <c r="O2066" t="n">
        <v>0</v>
      </c>
      <c r="P2066">
        <f>HYPERLINK("https://g1.globo.com/ms/mato-grosso-do-sul/noticia/2018/08/03/corumba-pode-decretar-situacao-de-emergencia-devido-a-imigracao-de-haitianos-pela-fronteira-com-a-bolivia.ghtml", "URL")</f>
        <v/>
      </c>
      <c r="Q2066">
        <f>HYPERLINK("https://raw.githubusercontent.com/marcosmapl/dataset_imigrantes/main/materias_filtered/g1/haitianos/2018/07_ago/html/g1_8a50158c-22f4-11ed-b24f-6dbe51e79fca_1896.html", "HTML")</f>
        <v/>
      </c>
      <c r="R2066">
        <f>HYPERLINK("https://raw.githubusercontent.com/marcosmapl/dataset_imigrantes/main/materias_filtered/g1/haitianos/2018/07_ago/txt/g1_8a50158c-22f4-11ed-b24f-6dbe51e79fca_1896.txt", "TXT")</f>
        <v/>
      </c>
    </row>
    <row r="2067">
      <c r="A2067" s="1" t="n">
        <v>2065</v>
      </c>
      <c r="B2067" t="n">
        <v>2018</v>
      </c>
      <c r="C2067" s="2" t="n">
        <v>43315.8549063426</v>
      </c>
      <c r="D2067" t="inlineStr">
        <is>
          <t>G1</t>
        </is>
      </c>
      <c r="E2067" t="inlineStr">
        <is>
          <t>HAITIANOS</t>
        </is>
      </c>
      <c r="F2067" t="inlineStr">
        <is>
          <t>MATO GROSSO DO SUL</t>
        </is>
      </c>
      <c r="G2067" t="inlineStr">
        <is>
          <t>CARLA SALENTIM, TV MORENA</t>
        </is>
      </c>
      <c r="H2067" t="inlineStr">
        <is>
          <t>TODOS OS HAITIANOS QUE ENTRARAM NO BRASIL POR CORUMBÁ ESTÃO ILEGAIS NO PAÍS, DIZ PF</t>
        </is>
      </c>
      <c r="I2067" t="inlineStr">
        <is>
          <t>SOMENTE ESTE ANO, A PF APONTA QUE 1.767 HAITIANOS FORAM ATENDIDOS PELO SEU SETOR DE IMIGRAÇÃO EM CORUMBÁ, SENDO 500 EM JULHO, O QUE DEMANDOU A CRIAÇÃO DE UMA FORÇA-TAREFA PARA ATENDÊ-LOS.</t>
        </is>
      </c>
      <c r="J2067" t="inlineStr"/>
      <c r="K2067" t="n">
        <v>0</v>
      </c>
      <c r="L2067" t="n">
        <v>1</v>
      </c>
      <c r="M2067" t="n">
        <v>0</v>
      </c>
      <c r="N2067" t="n">
        <v>0</v>
      </c>
      <c r="O2067" t="n">
        <v>1</v>
      </c>
      <c r="P2067">
        <f>HYPERLINK("https://g1.globo.com/ms/mato-grosso-do-sul/noticia/2018/08/03/todos-os-haitianos-que-entraram-no-brasil-por-corumba-estao-ilegais-no-pais-diz-pf.ghtml", "URL")</f>
        <v/>
      </c>
      <c r="Q2067">
        <f>HYPERLINK("https://raw.githubusercontent.com/marcosmapl/dataset_imigrantes/main/materias_filtered/g1/haitianos/2018/07_ago/html/g1_e4615978-22f9-11ed-b24f-6dbe51e79fca_2189.html", "HTML")</f>
        <v/>
      </c>
      <c r="R2067">
        <f>HYPERLINK("https://raw.githubusercontent.com/marcosmapl/dataset_imigrantes/main/materias_filtered/g1/haitianos/2018/07_ago/txt/g1_e4615978-22f9-11ed-b24f-6dbe51e79fca_2189.txt", "TXT")</f>
        <v/>
      </c>
    </row>
    <row r="2068">
      <c r="A2068" s="1" t="n">
        <v>2066</v>
      </c>
      <c r="B2068" t="n">
        <v>2018</v>
      </c>
      <c r="C2068" s="2" t="n">
        <v>43315.48333333333</v>
      </c>
      <c r="D2068" t="inlineStr">
        <is>
          <t>PORTAL AMAZONIA</t>
        </is>
      </c>
      <c r="E2068" t="inlineStr">
        <is>
          <t>VENEZUELANOS</t>
        </is>
      </c>
      <c r="F2068" t="inlineStr">
        <is>
          <t>CIDADES</t>
        </is>
      </c>
      <c r="G2068" t="inlineStr">
        <is>
          <t>REDAÇÃO</t>
        </is>
      </c>
      <c r="H2068" t="inlineStr">
        <is>
          <t>GOVERNO QUER INVESTIGAR AS RESTRIÇÕES DE RORAIMA A VENEZUELANOS</t>
        </is>
      </c>
      <c r="I2068" t="inlineStr">
        <is>
          <t>O GOVERNO FEDERAL VAI PEDIR APURAÇÃO POR PARTE DO MINISTÉRIO PÚBLICO DAS MEDIDAS ADOTADAS PELO GOVERNO DE RORAIMA EM RELAÇÃO AO FLUXO DE IMIGRANTES VENEZUELANOS NA REGIÃO. NA ÚLTIMA QUARTA-FEIRA (1) A ADMINISTRAÇÃO ESTADUAL PUBLICOU DECRETO EM Q</t>
        </is>
      </c>
      <c r="J2068" t="inlineStr">
        <is>
          <t>RORAIMA, VENEZUELA</t>
        </is>
      </c>
      <c r="K2068" t="n">
        <v>2</v>
      </c>
      <c r="L2068" t="n">
        <v>1</v>
      </c>
      <c r="M2068" t="n">
        <v>0</v>
      </c>
      <c r="N2068" t="n">
        <v>0</v>
      </c>
      <c r="O2068" t="n">
        <v>7</v>
      </c>
      <c r="P2068">
        <f>HYPERLINK("https://portalamazonia.com/noticias/cidades/governo-quer-investigar-as-restricoes-de-roraima-a-venezuelanos", "URL")</f>
        <v/>
      </c>
      <c r="Q2068">
        <f>HYPERLINK("https://raw.githubusercontent.com/marcosmapl/dataset_imigrantes/main/materias_filtered/portal_amazonia/venezuelanos/2018/07_ago/html/15380.15380_1489.html", "HTML")</f>
        <v/>
      </c>
      <c r="R2068">
        <f>HYPERLINK("https://raw.githubusercontent.com/marcosmapl/dataset_imigrantes/main/materias_filtered/portal_amazonia/venezuelanos/2018/07_ago/txt/15380.15380_1489.txt", "TXT")</f>
        <v/>
      </c>
    </row>
    <row r="2069">
      <c r="A2069" s="1" t="n">
        <v>2067</v>
      </c>
      <c r="B2069" t="n">
        <v>2018</v>
      </c>
      <c r="C2069" s="2" t="n">
        <v>43314.59314994213</v>
      </c>
      <c r="D2069" t="inlineStr">
        <is>
          <t>G1</t>
        </is>
      </c>
      <c r="E2069" t="inlineStr">
        <is>
          <t>VENEZUELANOS</t>
        </is>
      </c>
      <c r="F2069" t="inlineStr">
        <is>
          <t>RORAIMA</t>
        </is>
      </c>
      <c r="G2069" t="inlineStr">
        <is>
          <t>G1 RR — BOA VISTA</t>
        </is>
      </c>
      <c r="H2069" t="inlineStr">
        <is>
          <t>CORAL FORMADO POR CRIANÇAS VENEZUELANAS SE APRESENTA PELA PRIMEIRA VEZ EM RORAIMA</t>
        </is>
      </c>
      <c r="I2069" t="inlineStr">
        <is>
          <t>GRUPO FAZ PARTE DO CANARINHOS DA AMAZÔNIA. APRESENTAÇÃO SERÁ EM PACARAIMA, ÀS 20H.</t>
        </is>
      </c>
      <c r="J2069" t="inlineStr"/>
      <c r="K2069" t="n">
        <v>0</v>
      </c>
      <c r="L2069" t="n">
        <v>1</v>
      </c>
      <c r="M2069" t="n">
        <v>0</v>
      </c>
      <c r="N2069" t="n">
        <v>0</v>
      </c>
      <c r="O2069" t="n">
        <v>0</v>
      </c>
      <c r="P2069">
        <f>HYPERLINK("https://g1.globo.com/rr/roraima/noticia/2018/08/02/coral-formado-por-criancas-venezuelanas-se-apresenta-pela-primeira-vez-em-roraima.ghtml", "URL")</f>
        <v/>
      </c>
      <c r="Q2069">
        <f>HYPERLINK("https://raw.githubusercontent.com/marcosmapl/dataset_imigrantes/main/materias_filtered/g1/venezuelanos/2018/07_ago/html/g1_7136e69e-232a-11ed-b24f-6dbe51e79fca_4180.html", "HTML")</f>
        <v/>
      </c>
      <c r="R2069">
        <f>HYPERLINK("https://raw.githubusercontent.com/marcosmapl/dataset_imigrantes/main/materias_filtered/g1/venezuelanos/2018/07_ago/txt/g1_7136e69e-232a-11ed-b24f-6dbe51e79fca_4180.txt", "TXT")</f>
        <v/>
      </c>
    </row>
    <row r="2070">
      <c r="A2070" s="1" t="n">
        <v>2068</v>
      </c>
      <c r="B2070" t="n">
        <v>2018</v>
      </c>
      <c r="C2070" s="2" t="n">
        <v>43313.81158601852</v>
      </c>
      <c r="D2070" t="inlineStr">
        <is>
          <t>G1</t>
        </is>
      </c>
      <c r="E2070" t="inlineStr">
        <is>
          <t>HAITIANOS</t>
        </is>
      </c>
      <c r="F2070" t="inlineStr">
        <is>
          <t>MATO GROSSO DO SUL</t>
        </is>
      </c>
      <c r="G2070" t="inlineStr">
        <is>
          <t>TV MORENA</t>
        </is>
      </c>
      <c r="H2070" t="inlineStr">
        <is>
          <t>'ESTAMOS HÁ 3 DIAS SEM COMER': MORADORA DE MS ACOLHEU 300 IMIGRANTES HAITIANOS EM CASA APÓS FOTO TIRADA NA RUA</t>
        </is>
      </c>
      <c r="I2070" t="inlineStr">
        <is>
          <t>ADRIANA PEDIU PARA TIRAR UMA FOTO COM OS IMIGRANTES, OUVIU AS HISTÓRIAS, SE EMOCIONOU E ABRIU AS PORTAS DE CASA PARA RECEBÊ-LOS.</t>
        </is>
      </c>
      <c r="J2070" t="inlineStr"/>
      <c r="K2070" t="n">
        <v>0</v>
      </c>
      <c r="L2070" t="n">
        <v>2</v>
      </c>
      <c r="M2070" t="n">
        <v>0</v>
      </c>
      <c r="N2070" t="n">
        <v>0</v>
      </c>
      <c r="O2070" t="n">
        <v>1</v>
      </c>
      <c r="P2070">
        <f>HYPERLINK("https://g1.globo.com/ms/corumba-e-regiao/noticia/2018/08/01/estamos-ha-3-dias-sem-comer-moradora-de-ms-acolheu-300-imigrantes-haitianos-em-casa-apos-foto-tirada-na-rua.ghtml", "URL")</f>
        <v/>
      </c>
      <c r="Q2070">
        <f>HYPERLINK("https://raw.githubusercontent.com/marcosmapl/dataset_imigrantes/main/materias_filtered/g1/haitianos/2018/07_ago/html/g1_03a34d36-22f6-11ed-b24f-6dbe51e79fca_1987.html", "HTML")</f>
        <v/>
      </c>
      <c r="R2070">
        <f>HYPERLINK("https://raw.githubusercontent.com/marcosmapl/dataset_imigrantes/main/materias_filtered/g1/haitianos/2018/07_ago/txt/g1_03a34d36-22f6-11ed-b24f-6dbe51e79fca_1987.txt", "TXT")</f>
        <v/>
      </c>
    </row>
    <row r="2071">
      <c r="A2071" s="1" t="n">
        <v>2069</v>
      </c>
      <c r="B2071" t="n">
        <v>2018</v>
      </c>
      <c r="C2071" s="2" t="n">
        <v>43313.54930555556</v>
      </c>
      <c r="D2071" t="inlineStr">
        <is>
          <t>PORTAL AMAZONIA</t>
        </is>
      </c>
      <c r="E2071" t="inlineStr">
        <is>
          <t>VENEZUELANOS</t>
        </is>
      </c>
      <c r="F2071" t="inlineStr">
        <is>
          <t>CIDADES</t>
        </is>
      </c>
      <c r="G2071" t="inlineStr">
        <is>
          <t>REDAÇÃO</t>
        </is>
      </c>
      <c r="H2071" t="inlineStr">
        <is>
          <t>GOVERNO DEVE AMPLIAR DISTRIBUIÇÃO DE ENERGIA EM RORAIMA</t>
        </is>
      </c>
      <c r="I2071" t="inlineStr">
        <is>
          <t>O PRESIDENTE MICHEL TEMER REUNIU NA TARDE DE HOJE (31), NO PALÁCIO DO PLANALTO, VÁRIOS INTEGRANTES DO GOVERNO PARA TRATAR DA CONSTRUÇÃO DE LINHAS DE TRANSMISSÃO QUE AMPLIARÃO A DISTRIBUIÇÃO DE ENERGIA EM RORAIMA. AS INFORMAÇÕES SÃO DA AGÊNCIA BRASIL.</t>
        </is>
      </c>
      <c r="J2071" t="inlineStr"/>
      <c r="K2071" t="n">
        <v>0</v>
      </c>
      <c r="L2071" t="n">
        <v>1</v>
      </c>
      <c r="M2071" t="n">
        <v>0</v>
      </c>
      <c r="N2071" t="n">
        <v>0</v>
      </c>
      <c r="O2071" t="n">
        <v>5</v>
      </c>
      <c r="P2071">
        <f>HYPERLINK("https://portalamazonia.com/noticias/cidades/governo-deve-ampliar-distribuicao-de-energia-em-roraima", "URL")</f>
        <v/>
      </c>
      <c r="Q2071">
        <f>HYPERLINK("https://raw.githubusercontent.com/marcosmapl/dataset_imigrantes/main/materias_filtered/portal_amazonia/venezuelanos/2018/07_ago/html/15361.15361_1618.html", "HTML")</f>
        <v/>
      </c>
      <c r="R2071">
        <f>HYPERLINK("https://raw.githubusercontent.com/marcosmapl/dataset_imigrantes/main/materias_filtered/portal_amazonia/venezuelanos/2018/07_ago/txt/15361.15361_1618.txt", "TXT")</f>
        <v/>
      </c>
    </row>
    <row r="2072">
      <c r="A2072" s="1" t="n">
        <v>2070</v>
      </c>
      <c r="B2072" t="n">
        <v>2018</v>
      </c>
      <c r="C2072" s="2" t="n">
        <v>43312.99583333333</v>
      </c>
      <c r="D2072" t="inlineStr">
        <is>
          <t>A CRITICA</t>
        </is>
      </c>
      <c r="E2072" t="inlineStr">
        <is>
          <t>VENEZUELANOS</t>
        </is>
      </c>
      <c r="F2072" t="inlineStr"/>
      <c r="G2072" t="inlineStr">
        <is>
          <t>IZABEL GUEDES</t>
        </is>
      </c>
      <c r="H2072" t="inlineStr">
        <is>
          <t>MAIS DE 300 MIL CRIANÇAS DO AM DEVEM SER VACINADAS CONTRA A POLIOMIELITE E SARAMPO</t>
        </is>
      </c>
      <c r="I2072" t="inlineStr">
        <is>
          <t>O ESTADO DO AMAZONAS JÁ RECEBEU AS DOSES DA VACINA CONTRA A PARALISIA INFANTIL E AS AÇÕES CONTRA O SARAMPO TERÃO REFORÇO</t>
        </is>
      </c>
      <c r="J2072" t="inlineStr"/>
      <c r="K2072" t="n">
        <v>0</v>
      </c>
      <c r="L2072" t="n">
        <v>1</v>
      </c>
      <c r="M2072" t="n">
        <v>0</v>
      </c>
      <c r="N2072" t="n">
        <v>0</v>
      </c>
      <c r="O2072" t="n">
        <v>0</v>
      </c>
      <c r="P2072">
        <f>HYPERLINK("https://www.acritica.com/mais-de-300-mil-criancas-do-am-devem-ser-vacinadas-contra-a-poliomielite-e-sarampo-1.193283", "URL")</f>
        <v/>
      </c>
      <c r="Q2072">
        <f>HYPERLINK("https://raw.githubusercontent.com/marcosmapl/dataset_imigrantes/main/materias_filtered/a_critica/venezuelanos/2018/06_jul/html/1.193283_793.html", "HTML")</f>
        <v/>
      </c>
      <c r="R2072">
        <f>HYPERLINK("https://raw.githubusercontent.com/marcosmapl/dataset_imigrantes/main/materias_filtered/a_critica/venezuelanos/2018/06_jul/txt/1.193283_793.txt", "TXT")</f>
        <v/>
      </c>
    </row>
    <row r="2073">
      <c r="A2073" s="1" t="n">
        <v>2071</v>
      </c>
      <c r="B2073" t="n">
        <v>2018</v>
      </c>
      <c r="C2073" s="2" t="n">
        <v>43312.95873909722</v>
      </c>
      <c r="D2073" t="inlineStr">
        <is>
          <t>G1</t>
        </is>
      </c>
      <c r="E2073" t="inlineStr">
        <is>
          <t>HAITIANOS</t>
        </is>
      </c>
      <c r="F2073" t="inlineStr">
        <is>
          <t>PARANÁ</t>
        </is>
      </c>
      <c r="G2073" t="inlineStr">
        <is>
          <t>G1 PR</t>
        </is>
      </c>
      <c r="H2073" t="inlineStr">
        <is>
          <t>HAITIANO É PRESO SUSPEITO DE ABUSAR SEXUALMENTE DE MENINA DE 13 ANOS</t>
        </is>
      </c>
      <c r="I2073" t="inlineStr">
        <is>
          <t>SEGUNDO A POLÍCIA CIVIL, ELE MORAVA DE FAVOR EM UMA PENSÃO NO BAIRRO SÍTIO CERCADO, EM CURITIBA, ONDE COMETIA O CRIME. ELE JÁ TINHA PASSAGEM PELA POLÍCIA NO PAÍS DELE.</t>
        </is>
      </c>
      <c r="J2073" t="inlineStr"/>
      <c r="K2073" t="n">
        <v>0</v>
      </c>
      <c r="L2073" t="n">
        <v>0</v>
      </c>
      <c r="M2073" t="n">
        <v>0</v>
      </c>
      <c r="N2073" t="n">
        <v>0</v>
      </c>
      <c r="O2073" t="n">
        <v>1</v>
      </c>
      <c r="P2073">
        <f>HYPERLINK("https://g1.globo.com/pr/parana/noticia/2018/07/31/haitiano-e-preso-suspeito-de-abusar-sexualmente-de-menina-de-13-anos.ghtml", "URL")</f>
        <v/>
      </c>
      <c r="Q2073">
        <f>HYPERLINK("https://raw.githubusercontent.com/marcosmapl/dataset_imigrantes/main/materias_filtered/g1/haitianos/2018/06_jul/html/g1_67d1f758-22f6-11ed-b24f-6dbe51e79fca_2011.html", "HTML")</f>
        <v/>
      </c>
      <c r="R2073">
        <f>HYPERLINK("https://raw.githubusercontent.com/marcosmapl/dataset_imigrantes/main/materias_filtered/g1/haitianos/2018/06_jul/txt/g1_67d1f758-22f6-11ed-b24f-6dbe51e79fca_2011.txt", "TXT")</f>
        <v/>
      </c>
    </row>
    <row r="2074">
      <c r="A2074" s="1" t="n">
        <v>2072</v>
      </c>
      <c r="B2074" t="n">
        <v>2018</v>
      </c>
      <c r="C2074" s="2" t="n">
        <v>43312.92686554398</v>
      </c>
      <c r="D2074" t="inlineStr">
        <is>
          <t>G1</t>
        </is>
      </c>
      <c r="E2074" t="inlineStr">
        <is>
          <t>HAITIANOS</t>
        </is>
      </c>
      <c r="F2074" t="inlineStr">
        <is>
          <t>CORUMBÁ E REGIÃO</t>
        </is>
      </c>
      <c r="G2074" t="inlineStr">
        <is>
          <t>POR CARLA SALENTIM, TV MORENA</t>
        </is>
      </c>
      <c r="H2074" t="inlineStr">
        <is>
          <t>EM SEIS MESES, MAIS DE 1,3 MIL HAITIANOS ENTRAM NO BRASIL PELA FRONTEIRA DE MS COM A BOLÍVIA</t>
        </is>
      </c>
      <c r="I2074" t="inlineStr">
        <is>
          <t>SEGUNDO A POLÍCIA, CORUMBÁ SE TORNOU A NOVA ROTA DE ENTRADA ILEGAL DE ESTRANGEIROS NO BRASIL.</t>
        </is>
      </c>
      <c r="J2074" t="inlineStr"/>
      <c r="K2074" t="n">
        <v>0</v>
      </c>
      <c r="L2074" t="n">
        <v>1</v>
      </c>
      <c r="M2074" t="n">
        <v>0</v>
      </c>
      <c r="N2074" t="n">
        <v>0</v>
      </c>
      <c r="O2074" t="n">
        <v>1</v>
      </c>
      <c r="P2074">
        <f>HYPERLINK("https://g1.globo.com/ms/corumba-e-regiao/noticia/2018/07/31/em-seis-meses-mais-de-13-mil-haitianos-entram-no-brasil-pela-fronteira-de-ms-com-a-bolivia.ghtml", "URL")</f>
        <v/>
      </c>
      <c r="Q2074">
        <f>HYPERLINK("https://raw.githubusercontent.com/marcosmapl/dataset_imigrantes/main/materias_filtered/g1/haitianos/2018/06_jul/html/g1_6e6a87a2-22fa-11ed-b24f-6dbe51e79fca_2219.html", "HTML")</f>
        <v/>
      </c>
      <c r="R2074">
        <f>HYPERLINK("https://raw.githubusercontent.com/marcosmapl/dataset_imigrantes/main/materias_filtered/g1/haitianos/2018/06_jul/txt/g1_6e6a87a2-22fa-11ed-b24f-6dbe51e79fca_2219.txt", "TXT")</f>
        <v/>
      </c>
    </row>
    <row r="2075">
      <c r="A2075" s="1" t="n">
        <v>2073</v>
      </c>
      <c r="B2075" t="n">
        <v>2018</v>
      </c>
      <c r="C2075" s="2" t="n">
        <v>43310.62630072916</v>
      </c>
      <c r="D2075" t="inlineStr">
        <is>
          <t>G1</t>
        </is>
      </c>
      <c r="E2075" t="inlineStr">
        <is>
          <t>VENEZUELANOS</t>
        </is>
      </c>
      <c r="F2075" t="inlineStr">
        <is>
          <t>ECONOMIA</t>
        </is>
      </c>
      <c r="G2075" t="inlineStr">
        <is>
          <t>FRANCE PRESSE</t>
        </is>
      </c>
      <c r="H2075" t="inlineStr">
        <is>
          <t>MADURO VAI REGULAR VENDA DE GASOLINA VENEZUELANA</t>
        </is>
      </c>
      <c r="I2075" t="inlineStr">
        <is>
          <t>SEGUNDO O PRESIDENTE DA VENEZUELA, OS ATUAIS PREÇOS DOS COMBUSTÍVEIS NÃO COBREM OS CUSTOS DE PRODUÇÃO.</t>
        </is>
      </c>
      <c r="J2075" t="inlineStr"/>
      <c r="K2075" t="n">
        <v>0</v>
      </c>
      <c r="L2075" t="n">
        <v>1</v>
      </c>
      <c r="M2075" t="n">
        <v>0</v>
      </c>
      <c r="N2075" t="n">
        <v>0</v>
      </c>
      <c r="O2075" t="n">
        <v>0</v>
      </c>
      <c r="P2075">
        <f>HYPERLINK("https://g1.globo.com/economia/noticia/2018/07/29/maduro-vai-regular-venda-de-gasolina-venezuelana.ghtml", "URL")</f>
        <v/>
      </c>
      <c r="Q2075">
        <f>HYPERLINK("https://raw.githubusercontent.com/marcosmapl/dataset_imigrantes/main/materias_filtered/g1/venezuelanos/2018/06_jul/html/g1_949ede90-230f-11ed-b24f-6dbe51e79fca_2805.html", "HTML")</f>
        <v/>
      </c>
      <c r="R2075">
        <f>HYPERLINK("https://raw.githubusercontent.com/marcosmapl/dataset_imigrantes/main/materias_filtered/g1/venezuelanos/2018/06_jul/txt/g1_949ede90-230f-11ed-b24f-6dbe51e79fca_2805.txt", "TXT")</f>
        <v/>
      </c>
    </row>
    <row r="2076">
      <c r="A2076" s="1" t="n">
        <v>2074</v>
      </c>
      <c r="B2076" t="n">
        <v>2018</v>
      </c>
      <c r="C2076" s="2" t="n">
        <v>43308.72837709491</v>
      </c>
      <c r="D2076" t="inlineStr">
        <is>
          <t>G1</t>
        </is>
      </c>
      <c r="E2076" t="inlineStr">
        <is>
          <t>VENEZUELANOS</t>
        </is>
      </c>
      <c r="F2076" t="inlineStr">
        <is>
          <t>MUNDO</t>
        </is>
      </c>
      <c r="G2076" t="inlineStr">
        <is>
          <t>FRANCE PRESSE</t>
        </is>
      </c>
      <c r="H2076" t="inlineStr">
        <is>
          <t>PARLAMENTAR VENEZUELANO SE EXILA ALEGANDO PERSEGUIÇÃO DO GOVERNO</t>
        </is>
      </c>
      <c r="I2076" t="inlineStr">
        <is>
          <t>OPOSITOR AO GOVERNO DE MADURO, JOSÉ MANUEL OLIVARES NÃO ESPECIFICOU PARA QUAL PAÍS VIAJOU.</t>
        </is>
      </c>
      <c r="J2076" t="inlineStr"/>
      <c r="K2076" t="n">
        <v>0</v>
      </c>
      <c r="L2076" t="n">
        <v>1</v>
      </c>
      <c r="M2076" t="n">
        <v>0</v>
      </c>
      <c r="N2076" t="n">
        <v>0</v>
      </c>
      <c r="O2076" t="n">
        <v>1</v>
      </c>
      <c r="P2076">
        <f>HYPERLINK("https://g1.globo.com/mundo/noticia/2018/07/27/parlamentar-venezuelano-se-exila-alegando-perseguicao-do-governo.ghtml", "URL")</f>
        <v/>
      </c>
      <c r="Q2076">
        <f>HYPERLINK("https://raw.githubusercontent.com/marcosmapl/dataset_imigrantes/main/materias_filtered/g1/venezuelanos/2018/06_jul/html/g1_23733782-230c-11ed-b24f-6dbe51e79fca_2607.html", "HTML")</f>
        <v/>
      </c>
      <c r="R2076">
        <f>HYPERLINK("https://raw.githubusercontent.com/marcosmapl/dataset_imigrantes/main/materias_filtered/g1/venezuelanos/2018/06_jul/txt/g1_23733782-230c-11ed-b24f-6dbe51e79fca_2607.txt", "TXT")</f>
        <v/>
      </c>
    </row>
    <row r="2077">
      <c r="A2077" s="1" t="n">
        <v>2075</v>
      </c>
      <c r="B2077" t="n">
        <v>2018</v>
      </c>
      <c r="C2077" s="2" t="n">
        <v>43308.62482638889</v>
      </c>
      <c r="D2077" t="inlineStr">
        <is>
          <t>A CRITICA</t>
        </is>
      </c>
      <c r="E2077" t="inlineStr">
        <is>
          <t>VENEZUELANOS</t>
        </is>
      </c>
      <c r="F2077" t="inlineStr"/>
      <c r="G2077" t="inlineStr">
        <is>
          <t>CAROLINA GONÇALVES - AGÊNCIA BRASIL</t>
        </is>
      </c>
      <c r="H2077" t="inlineStr">
        <is>
          <t>MP DENUNCIA MANIFESTANTES QUE ATEARAM FOGO EM ABRIGO DE VENEZUELANOS</t>
        </is>
      </c>
      <c r="I2077" t="inlineStr">
        <is>
          <t>O GRUPO PARTICIPOU DE ATOS VIOLENTOS QUE MARCARAM UM PROTESTO OCORRIDO EM MUCAJAÍ (RR), EM MARÇO, CONTRA A PRESENÇA DOS VENEZUELANOS EM RORAIMA</t>
        </is>
      </c>
      <c r="J2077" t="inlineStr"/>
      <c r="K2077" t="n">
        <v>0</v>
      </c>
      <c r="L2077" t="n">
        <v>1</v>
      </c>
      <c r="M2077" t="n">
        <v>0</v>
      </c>
      <c r="N2077" t="n">
        <v>0</v>
      </c>
      <c r="O2077" t="n">
        <v>0</v>
      </c>
      <c r="P2077">
        <f>HYPERLINK("https://www.acritica.com/mp-denuncia-manifestantes-que-atearam-fogo-em-abrigo-de-venezuelanos-1.200156", "URL")</f>
        <v/>
      </c>
      <c r="Q2077">
        <f>HYPERLINK("https://raw.githubusercontent.com/marcosmapl/dataset_imigrantes/main/materias_filtered/a_critica/venezuelanos/2018/06_jul/html/1.200156_373.html", "HTML")</f>
        <v/>
      </c>
      <c r="R2077">
        <f>HYPERLINK("https://raw.githubusercontent.com/marcosmapl/dataset_imigrantes/main/materias_filtered/a_critica/venezuelanos/2018/06_jul/txt/1.200156_373.txt", "TXT")</f>
        <v/>
      </c>
    </row>
    <row r="2078">
      <c r="A2078" s="1" t="n">
        <v>2076</v>
      </c>
      <c r="B2078" t="n">
        <v>2018</v>
      </c>
      <c r="C2078" s="2" t="n">
        <v>43307.50809114584</v>
      </c>
      <c r="D2078" t="inlineStr">
        <is>
          <t>G1</t>
        </is>
      </c>
      <c r="E2078" t="inlineStr">
        <is>
          <t>VENEZUELANOS</t>
        </is>
      </c>
      <c r="F2078" t="inlineStr">
        <is>
          <t>MATO GROSSO</t>
        </is>
      </c>
      <c r="G2078" t="inlineStr">
        <is>
          <t>LIDIANE MORAES, G1 MT</t>
        </is>
      </c>
      <c r="H2078" t="inlineStr">
        <is>
          <t>REFUGIADA EM CUIABÁ E MÃE DE 3 FILHOS, VENEZUELANA EXPÕE CARTAZ COM PEDIDO DE EMPREGO EM AVENIDA</t>
        </is>
      </c>
      <c r="I2078" t="inlineStr">
        <is>
          <t>SÍLVIA GUILEN, O MARIDO E OS 3 FILHOS DO CASAL VIVEM EM UMA CASA ALUGADA NA CAPITAL. VENEZUELANA DIZ NÃO FAZER EXIGÊNCIAS QUANTO AO EMPREGO: 'ACEITO QUALQUER COISA'.</t>
        </is>
      </c>
      <c r="J2078" t="inlineStr"/>
      <c r="K2078" t="n">
        <v>0</v>
      </c>
      <c r="L2078" t="n">
        <v>1</v>
      </c>
      <c r="M2078" t="n">
        <v>0</v>
      </c>
      <c r="N2078" t="n">
        <v>0</v>
      </c>
      <c r="O2078" t="n">
        <v>1</v>
      </c>
      <c r="P2078">
        <f>HYPERLINK("https://g1.globo.com/mt/mato-grosso/noticia/2018/07/26/refugiada-em-cuiaba-e-mae-de-3-filhos-venezuelana-expoe-cartaz-com-pedido-de-emprego-em-avenida.ghtml", "URL")</f>
        <v/>
      </c>
      <c r="Q2078">
        <f>HYPERLINK("https://raw.githubusercontent.com/marcosmapl/dataset_imigrantes/main/materias_filtered/g1/venezuelanos/2018/06_jul/html/g1_6fe83324-2316-11ed-b24f-6dbe51e79fca_3147.html", "HTML")</f>
        <v/>
      </c>
      <c r="R2078">
        <f>HYPERLINK("https://raw.githubusercontent.com/marcosmapl/dataset_imigrantes/main/materias_filtered/g1/venezuelanos/2018/06_jul/txt/g1_6fe83324-2316-11ed-b24f-6dbe51e79fca_3147.txt", "TXT")</f>
        <v/>
      </c>
    </row>
    <row r="2079">
      <c r="A2079" s="1" t="n">
        <v>2077</v>
      </c>
      <c r="B2079" t="n">
        <v>2018</v>
      </c>
      <c r="C2079" s="2" t="n">
        <v>43306.85936828703</v>
      </c>
      <c r="D2079" t="inlineStr">
        <is>
          <t>G1</t>
        </is>
      </c>
      <c r="E2079" t="inlineStr">
        <is>
          <t>HAITIANOS</t>
        </is>
      </c>
      <c r="F2079" t="inlineStr">
        <is>
          <t>CORUMBÁ E REGIÃO</t>
        </is>
      </c>
      <c r="G2079" t="inlineStr">
        <is>
          <t>GABRIELA PRADO, TV MORENA</t>
        </is>
      </c>
      <c r="H2079" t="inlineStr">
        <is>
          <t>AUDIÊNCIA PÚBLICA CONVOCADA PELO MPF VAI DISCUTIR SITUAÇÃO DOS HAITIANOS EM CORUMBÁ</t>
        </is>
      </c>
      <c r="I2079" t="inlineStr">
        <is>
          <t>SEGUNDO À POLÍCIA, POR CONTA DA FRONTEIRA COM A BOLÍVIA, CORUMBÁ ESTÁ SE TRANSFORMANDO NA NOVA ROTA DE ENTRADA ILEGAL DE ESTRANGEIROS NO BRASIL.</t>
        </is>
      </c>
      <c r="J2079" t="inlineStr"/>
      <c r="K2079" t="n">
        <v>0</v>
      </c>
      <c r="L2079" t="n">
        <v>1</v>
      </c>
      <c r="M2079" t="n">
        <v>0</v>
      </c>
      <c r="N2079" t="n">
        <v>0</v>
      </c>
      <c r="O2079" t="n">
        <v>1</v>
      </c>
      <c r="P2079">
        <f>HYPERLINK("https://g1.globo.com/ms/corumba-e-regiao/noticia/2018/07/25/audiencia-publica-convocada-pelo-mpf-vai-discutir-situacao-dos-haitianos-em-corumba.ghtml", "URL")</f>
        <v/>
      </c>
      <c r="Q2079">
        <f>HYPERLINK("https://raw.githubusercontent.com/marcosmapl/dataset_imigrantes/main/materias_filtered/g1/haitianos/2018/06_jul/html/g1_660b63b6-22f4-11ed-b24f-6dbe51e79fca_1886.html", "HTML")</f>
        <v/>
      </c>
      <c r="R2079">
        <f>HYPERLINK("https://raw.githubusercontent.com/marcosmapl/dataset_imigrantes/main/materias_filtered/g1/haitianos/2018/06_jul/txt/g1_660b63b6-22f4-11ed-b24f-6dbe51e79fca_1886.txt", "TXT")</f>
        <v/>
      </c>
    </row>
    <row r="2080">
      <c r="A2080" s="1" t="n">
        <v>2078</v>
      </c>
      <c r="B2080" t="n">
        <v>2018</v>
      </c>
      <c r="C2080" s="2" t="n">
        <v>43306.71087247686</v>
      </c>
      <c r="D2080" t="inlineStr">
        <is>
          <t>G1</t>
        </is>
      </c>
      <c r="E2080" t="inlineStr">
        <is>
          <t>VENEZUELANOS</t>
        </is>
      </c>
      <c r="F2080" t="inlineStr">
        <is>
          <t>SÃO PAULO</t>
        </is>
      </c>
      <c r="G2080" t="inlineStr">
        <is>
          <t>JEAN RAUPP, SP1</t>
        </is>
      </c>
      <c r="H2080" t="inlineStr">
        <is>
          <t>'QUEREMOS UM JEITO DE SEGUIR ADIANTE', DIZ REFUGIADO VENEZUELANO ACOLHIDO EM SP</t>
        </is>
      </c>
      <c r="I2080" t="inlineStr">
        <is>
          <t>VINTE VENEZUELANOS CHEGARAM À CIDADE DE SÃO PAULO NA NOITE DE TERÇA-FEIRA (24) E VÃO RECEBER ASSISTÊNCIA DA ENTIDADE MISSÃO PAZ PARA CONSTRUIR UMA NOVA VIDA.</t>
        </is>
      </c>
      <c r="J2080" t="inlineStr"/>
      <c r="K2080" t="n">
        <v>0</v>
      </c>
      <c r="L2080" t="n">
        <v>2</v>
      </c>
      <c r="M2080" t="n">
        <v>1</v>
      </c>
      <c r="N2080" t="n">
        <v>0</v>
      </c>
      <c r="O2080" t="n">
        <v>2</v>
      </c>
      <c r="P2080">
        <f>HYPERLINK("https://g1.globo.com/sp/sao-paulo/noticia/2018/07/25/queremos-um-jeito-de-seguir-adiante-diz-refugiado-venezuelano-acolhido-em-sp.ghtml", "URL")</f>
        <v/>
      </c>
      <c r="Q2080">
        <f>HYPERLINK("https://raw.githubusercontent.com/marcosmapl/dataset_imigrantes/main/materias_filtered/g1/venezuelanos/2018/06_jul/html/g1_3ed6331e-2323-11ed-b24f-6dbe51e79fca_3794.html", "HTML")</f>
        <v/>
      </c>
      <c r="R2080">
        <f>HYPERLINK("https://raw.githubusercontent.com/marcosmapl/dataset_imigrantes/main/materias_filtered/g1/venezuelanos/2018/06_jul/txt/g1_3ed6331e-2323-11ed-b24f-6dbe51e79fca_3794.txt", "TXT")</f>
        <v/>
      </c>
    </row>
    <row r="2081">
      <c r="A2081" s="1" t="n">
        <v>2079</v>
      </c>
      <c r="B2081" t="n">
        <v>2018</v>
      </c>
      <c r="C2081" s="2" t="n">
        <v>43306.51777777778</v>
      </c>
      <c r="D2081" t="inlineStr">
        <is>
          <t>A CRITICA</t>
        </is>
      </c>
      <c r="E2081" t="inlineStr">
        <is>
          <t>VENEZUELANOS</t>
        </is>
      </c>
      <c r="F2081" t="inlineStr"/>
      <c r="G2081" t="inlineStr">
        <is>
          <t>AGÊNCIA BRASIL</t>
        </is>
      </c>
      <c r="H2081" t="inlineStr">
        <is>
          <t>POPULAÇÃO BRASILEIRA DEVE CHEGAR A 233,2 MILHÕES EM 2047, DIZ IBGE</t>
        </is>
      </c>
      <c r="I2081" t="inlineStr">
        <is>
          <t>A PARTIR DESTE ANO, ENTRARÁ EM DECLÍNIO GRADUAL CHEGANDO A 228,3 MILHÕES EM 2060, APONTOU O INSTITUTO BRASILEIRO DE GEOGRAFIA E ESTATÍSTICA</t>
        </is>
      </c>
      <c r="J2081" t="inlineStr"/>
      <c r="K2081" t="n">
        <v>0</v>
      </c>
      <c r="L2081" t="n">
        <v>1</v>
      </c>
      <c r="M2081" t="n">
        <v>0</v>
      </c>
      <c r="N2081" t="n">
        <v>0</v>
      </c>
      <c r="O2081" t="n">
        <v>0</v>
      </c>
      <c r="P2081">
        <f>HYPERLINK("https://www.acritica.com/populac-o-brasileira-deve-chegar-a-233-2-milh-es-em-2047-diz-ibge-1.200450", "URL")</f>
        <v/>
      </c>
      <c r="Q2081">
        <f>HYPERLINK("https://raw.githubusercontent.com/marcosmapl/dataset_imigrantes/main/materias_filtered/a_critica/venezuelanos/2018/06_jul/html/1.200450_768.html", "HTML")</f>
        <v/>
      </c>
      <c r="R2081">
        <f>HYPERLINK("https://raw.githubusercontent.com/marcosmapl/dataset_imigrantes/main/materias_filtered/a_critica/venezuelanos/2018/06_jul/txt/1.200450_768.txt", "TXT")</f>
        <v/>
      </c>
    </row>
    <row r="2082">
      <c r="A2082" s="1" t="n">
        <v>2080</v>
      </c>
      <c r="B2082" t="n">
        <v>2018</v>
      </c>
      <c r="C2082" s="2" t="n">
        <v>43306.51180555556</v>
      </c>
      <c r="D2082" t="inlineStr">
        <is>
          <t>PORTAL AMAZONIA</t>
        </is>
      </c>
      <c r="E2082" t="inlineStr">
        <is>
          <t>VENEZUELANOS</t>
        </is>
      </c>
      <c r="F2082" t="inlineStr">
        <is>
          <t>CIDADES</t>
        </is>
      </c>
      <c r="G2082" t="inlineStr">
        <is>
          <t>REDAÇÃO</t>
        </is>
      </c>
      <c r="H2082" t="inlineStr">
        <is>
          <t>INTERIORIZAÇÃO DE IMIGRANTES VENEZUELANOS SERÁ PERMANENTE, DIZ MINISTRO PADILHA</t>
        </is>
      </c>
      <c r="I2082" t="inlineStr">
        <is>
          <t>APÓS RECEBER NA ORGANIZAÇÃO ALDEIAS INFANTIS SOS DE BRASÍLIA OS 50 VENEZUELANOS QUE HAVIAM SAÍDO DE BOA VISTA DESTA TERÇA-FEIRA (24), O MINISTRO-CHEFE DA CASA CIVIL DA PRESIDÊNCIA, ELISEU PADILHA, INFORMOU QUE O PROCESSO DE INTERIORIZAÇÃO DA POPULAÇÃ</t>
        </is>
      </c>
      <c r="J2082" t="inlineStr">
        <is>
          <t>INTERIORIZACAO IMIGRANTES, VENEZUELANOS</t>
        </is>
      </c>
      <c r="K2082" t="n">
        <v>2</v>
      </c>
      <c r="L2082" t="n">
        <v>3</v>
      </c>
      <c r="M2082" t="n">
        <v>0</v>
      </c>
      <c r="N2082" t="n">
        <v>0</v>
      </c>
      <c r="O2082" t="n">
        <v>7</v>
      </c>
      <c r="P2082">
        <f>HYPERLINK("https://portalamazonia.com/noticias/cidades/interiorizacao-de-imigrantes-venezuelanos-sera-permanente-diz-ministro-padilha", "URL")</f>
        <v/>
      </c>
      <c r="Q2082">
        <f>HYPERLINK("https://raw.githubusercontent.com/marcosmapl/dataset_imigrantes/main/materias_filtered/portal_amazonia/venezuelanos/2018/06_jul/html/15265.15265_1436.html", "HTML")</f>
        <v/>
      </c>
      <c r="R2082">
        <f>HYPERLINK("https://raw.githubusercontent.com/marcosmapl/dataset_imigrantes/main/materias_filtered/portal_amazonia/venezuelanos/2018/06_jul/txt/15265.15265_1436.txt", "TXT")</f>
        <v/>
      </c>
    </row>
    <row r="2083">
      <c r="A2083" s="1" t="n">
        <v>2081</v>
      </c>
      <c r="B2083" t="n">
        <v>2018</v>
      </c>
      <c r="C2083" s="2" t="n">
        <v>43305.51875</v>
      </c>
      <c r="D2083" t="inlineStr">
        <is>
          <t>A CRITICA</t>
        </is>
      </c>
      <c r="E2083" t="inlineStr">
        <is>
          <t>VENEZUELANOS</t>
        </is>
      </c>
      <c r="F2083" t="inlineStr"/>
      <c r="G2083" t="inlineStr">
        <is>
          <t>CAROLINA GONÇALVES -  AGÊNCIA BRASIL</t>
        </is>
      </c>
      <c r="H2083" t="inlineStr">
        <is>
          <t>PELA PRIMEIRA VEZ ORGANIZAÇÃO DE BRASÍLIA RECEBE VENEZUELANOS VINDOS DE RORAIMA</t>
        </is>
      </c>
      <c r="I2083" t="inlineStr">
        <is>
          <t>ENTRE ABRIL E JULHO DESTE ANO, O PROCESSO DE INTERIORIZAÇÃO DOS MIGRANTES QUE PEDIRAM REFÚGIO OU RESIDÊNCIA NO BRASIL, JÁ ENVOLVEU 690 VENEZUELANOS QUE FORAM LEVADOS DE RORAIMA</t>
        </is>
      </c>
      <c r="J2083" t="inlineStr"/>
      <c r="K2083" t="n">
        <v>0</v>
      </c>
      <c r="L2083" t="n">
        <v>1</v>
      </c>
      <c r="M2083" t="n">
        <v>0</v>
      </c>
      <c r="N2083" t="n">
        <v>0</v>
      </c>
      <c r="O2083" t="n">
        <v>0</v>
      </c>
      <c r="P2083">
        <f>HYPERLINK("https://www.acritica.com/pela-primeira-vez-organizac-o-de-brasilia-recebe-venezuelanos-vindos-de-roraima-1.193112", "URL")</f>
        <v/>
      </c>
      <c r="Q2083">
        <f>HYPERLINK("https://raw.githubusercontent.com/marcosmapl/dataset_imigrantes/main/materias_filtered/a_critica/venezuelanos/2018/06_jul/html/1.193112_113.html", "HTML")</f>
        <v/>
      </c>
      <c r="R2083">
        <f>HYPERLINK("https://raw.githubusercontent.com/marcosmapl/dataset_imigrantes/main/materias_filtered/a_critica/venezuelanos/2018/06_jul/txt/1.193112_113.txt", "TXT")</f>
        <v/>
      </c>
    </row>
    <row r="2084">
      <c r="A2084" s="1" t="n">
        <v>2082</v>
      </c>
      <c r="B2084" t="n">
        <v>2018</v>
      </c>
      <c r="C2084" s="2" t="n">
        <v>43304.87850694444</v>
      </c>
      <c r="D2084" t="inlineStr">
        <is>
          <t>A CRITICA</t>
        </is>
      </c>
      <c r="E2084" t="inlineStr">
        <is>
          <t>VENEZUELANOS</t>
        </is>
      </c>
      <c r="F2084" t="inlineStr"/>
      <c r="G2084" t="inlineStr">
        <is>
          <t>DÉBORA BRITO (AGÊNCIA BRASIL)</t>
        </is>
      </c>
      <c r="H2084" t="inlineStr">
        <is>
          <t>MAIS 131 IMIGRANTES VENEZUELANOS DEIXAM RORAIMA NO PROCESSO DE INTERIORIZAÇÃO</t>
        </is>
      </c>
      <c r="I2084" t="inlineStr">
        <is>
          <t>OS IMIGRANTES SERÃO LEVADOS PARA SÃO PAULO, CUIABÁ, RIO DE JANEIRO E BRASÍLIA NESTA TERÇA-FEIRA (24)</t>
        </is>
      </c>
      <c r="J2084" t="inlineStr"/>
      <c r="K2084" t="n">
        <v>0</v>
      </c>
      <c r="L2084" t="n">
        <v>1</v>
      </c>
      <c r="M2084" t="n">
        <v>0</v>
      </c>
      <c r="N2084" t="n">
        <v>0</v>
      </c>
      <c r="O2084" t="n">
        <v>0</v>
      </c>
      <c r="P2084">
        <f>HYPERLINK("https://www.acritica.com/mais-131-imigrantes-venezuelanos-deixam-roraima-no-processo-de-interiorizac-o-1.200655", "URL")</f>
        <v/>
      </c>
      <c r="Q2084">
        <f>HYPERLINK("https://raw.githubusercontent.com/marcosmapl/dataset_imigrantes/main/materias_filtered/a_critica/venezuelanos/2018/06_jul/html/1.200655_1005.html", "HTML")</f>
        <v/>
      </c>
      <c r="R2084">
        <f>HYPERLINK("https://raw.githubusercontent.com/marcosmapl/dataset_imigrantes/main/materias_filtered/a_critica/venezuelanos/2018/06_jul/txt/1.200655_1005.txt", "TXT")</f>
        <v/>
      </c>
    </row>
    <row r="2085">
      <c r="A2085" s="1" t="n">
        <v>2083</v>
      </c>
      <c r="B2085" t="n">
        <v>2018</v>
      </c>
      <c r="C2085" s="2" t="n">
        <v>43304.81331018519</v>
      </c>
      <c r="D2085" t="inlineStr">
        <is>
          <t>A CRITICA</t>
        </is>
      </c>
      <c r="E2085" t="inlineStr">
        <is>
          <t>VENEZUELANOS</t>
        </is>
      </c>
      <c r="F2085" t="inlineStr"/>
      <c r="G2085" t="inlineStr">
        <is>
          <t>ACRÍTICA.COM</t>
        </is>
      </c>
      <c r="H2085" t="inlineStr">
        <is>
          <t>DEVIDO À MALÁRIA, GOVERNO FEDERAL RECONHECE ESTADO DE EMERGÊNCIA NO ALTO RIO NEGRO</t>
        </is>
      </c>
      <c r="I2085" t="inlineStr">
        <is>
          <t>AMAZONAS TEM 36.099 REGISTROS DE JANEIRO A JUNHO DESTE ANO. SÃO GABRIEL DA CACHOEIRA, BARCELOS E SANTA ISABEL DO RIO NEGRO SÃO RESPONSÁVEIS POR 39,7% DOS CASOS NO INTERIOR</t>
        </is>
      </c>
      <c r="J2085" t="inlineStr"/>
      <c r="K2085" t="n">
        <v>0</v>
      </c>
      <c r="L2085" t="n">
        <v>1</v>
      </c>
      <c r="M2085" t="n">
        <v>0</v>
      </c>
      <c r="N2085" t="n">
        <v>0</v>
      </c>
      <c r="O2085" t="n">
        <v>0</v>
      </c>
      <c r="P2085">
        <f>HYPERLINK("https://www.acritica.com/devido-a-malaria-governo-federal-reconhece-estado-de-emergencia-no-alto-rio-negro-1.200685", "URL")</f>
        <v/>
      </c>
      <c r="Q2085">
        <f>HYPERLINK("https://raw.githubusercontent.com/marcosmapl/dataset_imigrantes/main/materias_filtered/a_critica/venezuelanos/2018/06_jul/html/1.200685_450.html", "HTML")</f>
        <v/>
      </c>
      <c r="R2085">
        <f>HYPERLINK("https://raw.githubusercontent.com/marcosmapl/dataset_imigrantes/main/materias_filtered/a_critica/venezuelanos/2018/06_jul/txt/1.200685_450.txt", "TXT")</f>
        <v/>
      </c>
    </row>
    <row r="2086">
      <c r="A2086" s="1" t="n">
        <v>2084</v>
      </c>
      <c r="B2086" t="n">
        <v>2018</v>
      </c>
      <c r="C2086" s="2" t="n">
        <v>43304.52326524306</v>
      </c>
      <c r="D2086" t="inlineStr">
        <is>
          <t>G1</t>
        </is>
      </c>
      <c r="E2086" t="inlineStr">
        <is>
          <t>VENEZUELANOS</t>
        </is>
      </c>
      <c r="F2086" t="inlineStr">
        <is>
          <t>RORAIMA</t>
        </is>
      </c>
      <c r="G2086" t="inlineStr">
        <is>
          <t>G1 RR — BOA VISTA</t>
        </is>
      </c>
      <c r="H2086" t="inlineStr">
        <is>
          <t>VENEZUELANO ASSALTA OUTRO EM PRAÇA PÚBLICA DE BOA VISTA E ACABA PRESO</t>
        </is>
      </c>
      <c r="I2086" t="inlineStr">
        <is>
          <t>VÍTIMA DO ROUBO PEDIU SOCORRO À GCM: 'CHEIA DE HEMATOMAS NO PEITO, BRAÇO E CABEÇA', RELATARAM. CRIME ACONTECEU NESSE DOMINGO (22).</t>
        </is>
      </c>
      <c r="J2086" t="inlineStr"/>
      <c r="K2086" t="n">
        <v>0</v>
      </c>
      <c r="L2086" t="n">
        <v>1</v>
      </c>
      <c r="M2086" t="n">
        <v>0</v>
      </c>
      <c r="N2086" t="n">
        <v>0</v>
      </c>
      <c r="O2086" t="n">
        <v>1</v>
      </c>
      <c r="P2086">
        <f>HYPERLINK("https://g1.globo.com/rr/roraima/noticia/2018/07/23/venezuelano-assalta-outro-em-praca-publica-de-boa-vista-e-acaba-preso.ghtml", "URL")</f>
        <v/>
      </c>
      <c r="Q2086">
        <f>HYPERLINK("https://raw.githubusercontent.com/marcosmapl/dataset_imigrantes/main/materias_filtered/g1/venezuelanos/2018/06_jul/html/g1_fce08ca8-231c-11ed-b24f-6dbe51e79fca_3477.html", "HTML")</f>
        <v/>
      </c>
      <c r="R2086">
        <f>HYPERLINK("https://raw.githubusercontent.com/marcosmapl/dataset_imigrantes/main/materias_filtered/g1/venezuelanos/2018/06_jul/txt/g1_fce08ca8-231c-11ed-b24f-6dbe51e79fca_3477.txt", "TXT")</f>
        <v/>
      </c>
    </row>
    <row r="2087">
      <c r="A2087" s="1" t="n">
        <v>2085</v>
      </c>
      <c r="B2087" t="n">
        <v>2018</v>
      </c>
      <c r="C2087" s="2" t="n">
        <v>43304.46885385417</v>
      </c>
      <c r="D2087" t="inlineStr">
        <is>
          <t>G1</t>
        </is>
      </c>
      <c r="E2087" t="inlineStr">
        <is>
          <t>AMBOS</t>
        </is>
      </c>
      <c r="F2087" t="inlineStr">
        <is>
          <t>RIO GRANDE DO SUL</t>
        </is>
      </c>
      <c r="G2087" t="inlineStr">
        <is>
          <t>JOSMAR LEITE, RBS TV</t>
        </is>
      </c>
      <c r="H2087" t="inlineStr">
        <is>
          <t>MESMO COM FORMAÇÃO UNIVERSITÁRIA, IMIGRANTES ENFRENTAM DIFICULDADES PARA  ENCONTRAR EMPREGO EM PORTO ALEGRE</t>
        </is>
      </c>
      <c r="I2087" t="inlineStr">
        <is>
          <t>CAPITAL GAÚCHA É UMA DAS QUE MAIS RECEBE ESTRANGEIROS NO BRASIL. PREFEITURA ESTIMA QUE SÃO CERCA DE 3,7 MIL PESSOAS.</t>
        </is>
      </c>
      <c r="J2087" t="inlineStr"/>
      <c r="K2087" t="n">
        <v>0</v>
      </c>
      <c r="L2087" t="n">
        <v>2</v>
      </c>
      <c r="M2087" t="n">
        <v>1</v>
      </c>
      <c r="N2087" t="n">
        <v>0</v>
      </c>
      <c r="O2087" t="n">
        <v>1</v>
      </c>
      <c r="P2087">
        <f>HYPERLINK("https://g1.globo.com/rs/rio-grande-do-sul/noticia/2018/07/23/mesmo-com-formacao-universitaria-imigrantes-enfrentam-dificuldades-para-encontrar-emprego-em-porto-alegre.ghtml", "URL")</f>
        <v/>
      </c>
      <c r="Q2087">
        <f>HYPERLINK("https://raw.githubusercontent.com/marcosmapl/dataset_imigrantes/main/materias_filtered/g1/ambos/2018/06_jul/html/g1_2f9cc734-231c-11ed-b24f-6dbe51e79fca_3432.html", "HTML")</f>
        <v/>
      </c>
      <c r="R2087">
        <f>HYPERLINK("https://raw.githubusercontent.com/marcosmapl/dataset_imigrantes/main/materias_filtered/g1/ambos/2018/06_jul/txt/g1_2f9cc734-231c-11ed-b24f-6dbe51e79fca_3432.txt", "TXT")</f>
        <v/>
      </c>
    </row>
    <row r="2088">
      <c r="A2088" s="1" t="n">
        <v>2086</v>
      </c>
      <c r="B2088" t="n">
        <v>2018</v>
      </c>
      <c r="C2088" s="2" t="n">
        <v>43303.56298392361</v>
      </c>
      <c r="D2088" t="inlineStr">
        <is>
          <t>G1</t>
        </is>
      </c>
      <c r="E2088" t="inlineStr">
        <is>
          <t>HAITIANOS</t>
        </is>
      </c>
      <c r="F2088" t="inlineStr">
        <is>
          <t>SANTA CATARINA</t>
        </is>
      </c>
      <c r="G2088" t="inlineStr">
        <is>
          <t>NSC TV</t>
        </is>
      </c>
      <c r="H2088" t="inlineStr">
        <is>
          <t>CINCO ANOS APÓS CHEGAR AO BRASIL, HAITIANO SE FORMA EM UNIVERSIDADE FEDERAL EM SC</t>
        </is>
      </c>
      <c r="I2088" t="inlineStr">
        <is>
          <t>BACHELOR LOUIS É O PRIMEIRO HAITIANO A SE FORMAR NA UFFS, EM CHAPECÓ. SUA GRADUAÇÃO É NO CURSO DE AGRONOMIA.</t>
        </is>
      </c>
      <c r="J2088" t="inlineStr"/>
      <c r="K2088" t="n">
        <v>0</v>
      </c>
      <c r="L2088" t="n">
        <v>2</v>
      </c>
      <c r="M2088" t="n">
        <v>1</v>
      </c>
      <c r="N2088" t="n">
        <v>0</v>
      </c>
      <c r="O2088" t="n">
        <v>2</v>
      </c>
      <c r="P2088">
        <f>HYPERLINK("https://g1.globo.com/sc/santa-catarina/noticia/2018/07/22/cinco-anos-apos-chegar-ao-brasil-haitiano-se-forma-em-universidade-federal-em-sc.ghtml", "URL")</f>
        <v/>
      </c>
      <c r="Q2088">
        <f>HYPERLINK("https://raw.githubusercontent.com/marcosmapl/dataset_imigrantes/main/materias_filtered/g1/haitianos/2018/06_jul/html/g1_24e38ab2-22f4-11ed-b24f-6dbe51e79fca_1876.html", "HTML")</f>
        <v/>
      </c>
      <c r="R2088">
        <f>HYPERLINK("https://raw.githubusercontent.com/marcosmapl/dataset_imigrantes/main/materias_filtered/g1/haitianos/2018/06_jul/txt/g1_24e38ab2-22f4-11ed-b24f-6dbe51e79fca_1876.txt", "TXT")</f>
        <v/>
      </c>
    </row>
    <row r="2089">
      <c r="A2089" s="1" t="n">
        <v>2087</v>
      </c>
      <c r="B2089" t="n">
        <v>2018</v>
      </c>
      <c r="C2089" s="2" t="n">
        <v>43301.74166666667</v>
      </c>
      <c r="D2089" t="inlineStr">
        <is>
          <t>A CRITICA</t>
        </is>
      </c>
      <c r="E2089" t="inlineStr">
        <is>
          <t>VENEZUELANOS</t>
        </is>
      </c>
      <c r="F2089" t="inlineStr"/>
      <c r="G2089" t="inlineStr">
        <is>
          <t>ACRÍTICA.COM</t>
        </is>
      </c>
      <c r="H2089" t="inlineStr">
        <is>
          <t>GOVERNO FEDERAL RECONHECE EMERGÊNCIA NO ALTO RIO NEGRO, DEVIDO À MALÁRIA</t>
        </is>
      </c>
      <c r="I2089" t="inlineStr">
        <is>
          <t>A DOENÇA, QUE VOLTOU A CRESCER NO AMAZONAS A PARTIR DE 2017, TEM 36.099 REGISTROS DE JANEIRO A JUNHO DESTE ANO, DOS QUAIS SÃO GABRIEL DA CACHOEIRA LIDERA COM 8.626  CASOS</t>
        </is>
      </c>
      <c r="J2089" t="inlineStr"/>
      <c r="K2089" t="n">
        <v>0</v>
      </c>
      <c r="L2089" t="n">
        <v>1</v>
      </c>
      <c r="M2089" t="n">
        <v>0</v>
      </c>
      <c r="N2089" t="n">
        <v>0</v>
      </c>
      <c r="O2089" t="n">
        <v>0</v>
      </c>
      <c r="P2089">
        <f>HYPERLINK("https://www.acritica.com/governo-federal-reconhece-emergencia-no-alto-rio-negro-devido-a-malaria-1.200951", "URL")</f>
        <v/>
      </c>
      <c r="Q2089">
        <f>HYPERLINK("https://raw.githubusercontent.com/marcosmapl/dataset_imigrantes/main/materias_filtered/a_critica/venezuelanos/2018/06_jul/html/1.200951_840.html", "HTML")</f>
        <v/>
      </c>
      <c r="R2089">
        <f>HYPERLINK("https://raw.githubusercontent.com/marcosmapl/dataset_imigrantes/main/materias_filtered/a_critica/venezuelanos/2018/06_jul/txt/1.200951_840.txt", "TXT")</f>
        <v/>
      </c>
    </row>
    <row r="2090">
      <c r="A2090" s="1" t="n">
        <v>2088</v>
      </c>
      <c r="B2090" t="n">
        <v>2018</v>
      </c>
      <c r="C2090" s="2" t="n">
        <v>43301.49861111111</v>
      </c>
      <c r="D2090" t="inlineStr">
        <is>
          <t>PORTAL AMAZONIA</t>
        </is>
      </c>
      <c r="E2090" t="inlineStr">
        <is>
          <t>VENEZUELANOS</t>
        </is>
      </c>
      <c r="F2090" t="inlineStr">
        <is>
          <t>CIDADES</t>
        </is>
      </c>
      <c r="G2090" t="inlineStr">
        <is>
          <t>REDAÇÃO</t>
        </is>
      </c>
      <c r="H2090" t="inlineStr">
        <is>
          <t>MINISTRO ACOMPANHA A SITUAÇÃO DOS MIGRANTES VENEZUELANOS EM RORAIMA</t>
        </is>
      </c>
      <c r="I2090" t="inlineStr">
        <is>
          <t>O MINISTRO DA JUSTIÇA, TORQUATO JARDIM, ESTEVE NESTA QUINTA-FEIRA (19) EM PACARAIMA, RORAIMA, PARA VERIFICAR O ANDAMENTO DO PROCESSO DE ACOLHIMENTO E REGULARIZAÇÃO DOS MIGRANTES VENEZUELANOS.SEGUNDO O MINISTÉRIO, TORQUATO JARDIM VISITOU O CENTRO PAST</t>
        </is>
      </c>
      <c r="J2090" t="inlineStr">
        <is>
          <t>ABRIGOS VENEZUELANOS, INDIGENAS VENEZUELANOS, RORAIMA, WARAO</t>
        </is>
      </c>
      <c r="K2090" t="n">
        <v>4</v>
      </c>
      <c r="L2090" t="n">
        <v>3</v>
      </c>
      <c r="M2090" t="n">
        <v>0</v>
      </c>
      <c r="N2090" t="n">
        <v>0</v>
      </c>
      <c r="O2090" t="n">
        <v>9</v>
      </c>
      <c r="P2090">
        <f>HYPERLINK("https://portalamazonia.com/noticias/cidades/ministro-acompanha-a-situacao-dos-migrantes-venezuelanos-em-roraima", "URL")</f>
        <v/>
      </c>
      <c r="Q2090">
        <f>HYPERLINK("https://raw.githubusercontent.com/marcosmapl/dataset_imigrantes/main/materias_filtered/portal_amazonia/venezuelanos/2018/06_jul/html/15195.15195_1404.html", "HTML")</f>
        <v/>
      </c>
      <c r="R2090">
        <f>HYPERLINK("https://raw.githubusercontent.com/marcosmapl/dataset_imigrantes/main/materias_filtered/portal_amazonia/venezuelanos/2018/06_jul/txt/15195.15195_1404.txt", "TXT")</f>
        <v/>
      </c>
    </row>
    <row r="2091">
      <c r="A2091" s="1" t="n">
        <v>2089</v>
      </c>
      <c r="B2091" t="n">
        <v>2018</v>
      </c>
      <c r="C2091" s="2" t="n">
        <v>43300.96000836806</v>
      </c>
      <c r="D2091" t="inlineStr">
        <is>
          <t>G1</t>
        </is>
      </c>
      <c r="E2091" t="inlineStr">
        <is>
          <t>VENEZUELANOS</t>
        </is>
      </c>
      <c r="F2091" t="inlineStr">
        <is>
          <t>RORAIMA</t>
        </is>
      </c>
      <c r="G2091" t="inlineStr">
        <is>
          <t>MARCELO MARQUES, G1 RR</t>
        </is>
      </c>
      <c r="H2091" t="inlineStr">
        <is>
          <t>MORADOR DE RUA VENEZUELANO É ESFAQUEADO E TEM PERTENCES FURTADOS POR AGRESSORES EM BOA VISTA</t>
        </is>
      </c>
      <c r="I2091" t="inlineStr">
        <is>
          <t>VÍTIMA FOI ATACADA NO PEITO E ABDÔMEN PELOS CRIMINOSOS. MESMO FERIDO, ELE FOI ATÉ O HOSPITAL INFANTIL PEDIR POR SOCORRO.</t>
        </is>
      </c>
      <c r="J2091" t="inlineStr"/>
      <c r="K2091" t="n">
        <v>0</v>
      </c>
      <c r="L2091" t="n">
        <v>1</v>
      </c>
      <c r="M2091" t="n">
        <v>0</v>
      </c>
      <c r="N2091" t="n">
        <v>0</v>
      </c>
      <c r="O2091" t="n">
        <v>0</v>
      </c>
      <c r="P2091">
        <f>HYPERLINK("https://g1.globo.com/rr/roraima/noticia/2018/07/19/morador-de-rua-venezuelano-e-esfaqueado-e-tem-pertences-furtados-por-agressores-em-boa-vista.ghtml", "URL")</f>
        <v/>
      </c>
      <c r="Q2091">
        <f>HYPERLINK("https://raw.githubusercontent.com/marcosmapl/dataset_imigrantes/main/materias_filtered/g1/venezuelanos/2018/06_jul/html/g1_bf11ad5c-2322-11ed-b24f-6dbe51e79fca_3770.html", "HTML")</f>
        <v/>
      </c>
      <c r="R2091">
        <f>HYPERLINK("https://raw.githubusercontent.com/marcosmapl/dataset_imigrantes/main/materias_filtered/g1/venezuelanos/2018/06_jul/txt/g1_bf11ad5c-2322-11ed-b24f-6dbe51e79fca_3770.txt", "TXT")</f>
        <v/>
      </c>
    </row>
    <row r="2092">
      <c r="A2092" s="1" t="n">
        <v>2090</v>
      </c>
      <c r="B2092" t="n">
        <v>2018</v>
      </c>
      <c r="C2092" s="2" t="n">
        <v>43300.78888888889</v>
      </c>
      <c r="D2092" t="inlineStr">
        <is>
          <t>A CRITICA</t>
        </is>
      </c>
      <c r="E2092" t="inlineStr">
        <is>
          <t>VENEZUELANOS</t>
        </is>
      </c>
      <c r="F2092" t="inlineStr"/>
      <c r="G2092" t="inlineStr">
        <is>
          <t>ACRITICA.COM*</t>
        </is>
      </c>
      <c r="H2092" t="inlineStr">
        <is>
          <t>SURTO DE MALÁRIA AFETA DIRETAMENTE O RENDIMENTO ESCOLAR NO ALTO RIO NEGRO (AM)</t>
        </is>
      </c>
      <c r="I2092" t="inlineStr">
        <is>
          <t>CAMPEÃ EM CASOS DA DOENÇA EM 2018, CIDADE INDÍGENA DE SÃO GABRIEL DA CACHOEIRA (AM) REGISTRA DÉFICIT DE APRENDIZADO E EVASÃO DE ESTUDANTES DEVIDO À EPIDEMIA</t>
        </is>
      </c>
      <c r="J2092" t="inlineStr"/>
      <c r="K2092" t="n">
        <v>0</v>
      </c>
      <c r="L2092" t="n">
        <v>1</v>
      </c>
      <c r="M2092" t="n">
        <v>0</v>
      </c>
      <c r="N2092" t="n">
        <v>0</v>
      </c>
      <c r="O2092" t="n">
        <v>0</v>
      </c>
      <c r="P2092">
        <f>HYPERLINK("https://www.acritica.com/surto-de-malaria-afeta-diretamente-o-rendimento-escolar-no-alto-rio-negro-am-1.201046", "URL")</f>
        <v/>
      </c>
      <c r="Q2092">
        <f>HYPERLINK("https://raw.githubusercontent.com/marcosmapl/dataset_imigrantes/main/materias_filtered/a_critica/venezuelanos/2018/06_jul/html/1.201046_357.html", "HTML")</f>
        <v/>
      </c>
      <c r="R2092">
        <f>HYPERLINK("https://raw.githubusercontent.com/marcosmapl/dataset_imigrantes/main/materias_filtered/a_critica/venezuelanos/2018/06_jul/txt/1.201046_357.txt", "TXT")</f>
        <v/>
      </c>
    </row>
    <row r="2093">
      <c r="A2093" s="1" t="n">
        <v>2091</v>
      </c>
      <c r="B2093" t="n">
        <v>2018</v>
      </c>
      <c r="C2093" s="2" t="n">
        <v>43299.99861111111</v>
      </c>
      <c r="D2093" t="inlineStr">
        <is>
          <t>A CRITICA</t>
        </is>
      </c>
      <c r="E2093" t="inlineStr">
        <is>
          <t>AMBOS</t>
        </is>
      </c>
      <c r="F2093" t="inlineStr">
        <is>
          <t>MANAUS</t>
        </is>
      </c>
      <c r="G2093" t="inlineStr">
        <is>
          <t>VITOR GAVIRATI</t>
        </is>
      </c>
      <c r="H2093" t="inlineStr">
        <is>
          <t>ADALBERTO VALLE PROMOVE DEBATE JURÍDICO SOBRE IMIGRAÇÃO COM ALUNOS DO ENSINO MÉDIO</t>
        </is>
      </c>
      <c r="I2093" t="inlineStr">
        <is>
          <t>ESTUDANTES FIZERAM OS PAPÉIS DA DEFENSORIA E DO MINISTÉRIO PÚBLICO DURANTE O SIMULADO PROMOVIDO PELO CENTRO EDUCACIONAL NESTA QUARTA-FEIRA (18)</t>
        </is>
      </c>
      <c r="J2093" t="inlineStr"/>
      <c r="K2093" t="n">
        <v>0</v>
      </c>
      <c r="L2093" t="n">
        <v>1</v>
      </c>
      <c r="M2093" t="n">
        <v>0</v>
      </c>
      <c r="N2093" t="n">
        <v>0</v>
      </c>
      <c r="O2093" t="n">
        <v>0</v>
      </c>
      <c r="P2093">
        <f>HYPERLINK("https://www.acritica.com/manaus/adalberto-valle-promove-debate-juridico-sobre-imigrac-o-com-alunos-do-ensino-medio-1.85729", "URL")</f>
        <v/>
      </c>
      <c r="Q2093">
        <f>HYPERLINK("https://raw.githubusercontent.com/marcosmapl/dataset_imigrantes/main/materias_filtered/a_critica/ambos/2018/06_jul/html/1.85729_341.html", "HTML")</f>
        <v/>
      </c>
      <c r="R2093">
        <f>HYPERLINK("https://raw.githubusercontent.com/marcosmapl/dataset_imigrantes/main/materias_filtered/a_critica/ambos/2018/06_jul/txt/1.85729_341.txt", "TXT")</f>
        <v/>
      </c>
    </row>
    <row r="2094">
      <c r="A2094" s="1" t="n">
        <v>2092</v>
      </c>
      <c r="B2094" t="n">
        <v>2018</v>
      </c>
      <c r="C2094" s="2" t="n">
        <v>43299.82152777778</v>
      </c>
      <c r="D2094" t="inlineStr">
        <is>
          <t>A CRITICA</t>
        </is>
      </c>
      <c r="E2094" t="inlineStr">
        <is>
          <t>VENEZUELANOS</t>
        </is>
      </c>
      <c r="F2094" t="inlineStr"/>
      <c r="G2094" t="inlineStr">
        <is>
          <t>ACRÍTICA.COM</t>
        </is>
      </c>
      <c r="H2094" t="inlineStr">
        <is>
          <t>MINISTÉRIO DA SAÚDE ATUALIZA NÚMERO DE CASOS REGISTRADOS DE SARAMPO NO BRASIL</t>
        </is>
      </c>
      <c r="I2094" t="inlineStr">
        <is>
          <t>ATÉ O DIA 17 DE JULHO, 444 CASOS FORAM CONFIRMADOS DE SARAMPO NO AMAZONAS E 216 EM RORAIMA</t>
        </is>
      </c>
      <c r="J2094" t="inlineStr"/>
      <c r="K2094" t="n">
        <v>0</v>
      </c>
      <c r="L2094" t="n">
        <v>1</v>
      </c>
      <c r="M2094" t="n">
        <v>0</v>
      </c>
      <c r="N2094" t="n">
        <v>0</v>
      </c>
      <c r="O2094" t="n">
        <v>1</v>
      </c>
      <c r="P2094">
        <f>HYPERLINK("https://www.acritica.com/ministerio-da-saude-atualiza-numero-de-casos-registrados-de-sarampo-no-brasil-1.201109", "URL")</f>
        <v/>
      </c>
      <c r="Q2094">
        <f>HYPERLINK("https://raw.githubusercontent.com/marcosmapl/dataset_imigrantes/main/materias_filtered/a_critica/venezuelanos/2018/06_jul/html/1.201109_971.html", "HTML")</f>
        <v/>
      </c>
      <c r="R2094">
        <f>HYPERLINK("https://raw.githubusercontent.com/marcosmapl/dataset_imigrantes/main/materias_filtered/a_critica/venezuelanos/2018/06_jul/txt/1.201109_971.txt", "TXT")</f>
        <v/>
      </c>
    </row>
    <row r="2095">
      <c r="A2095" s="1" t="n">
        <v>2093</v>
      </c>
      <c r="B2095" t="n">
        <v>2018</v>
      </c>
      <c r="C2095" s="2" t="n">
        <v>43299.47222222222</v>
      </c>
      <c r="D2095" t="inlineStr">
        <is>
          <t>PORTAL AMAZONIA</t>
        </is>
      </c>
      <c r="E2095" t="inlineStr">
        <is>
          <t>VENEZUELANOS</t>
        </is>
      </c>
      <c r="F2095" t="inlineStr">
        <is>
          <t>CIDADES</t>
        </is>
      </c>
      <c r="G2095" t="inlineStr">
        <is>
          <t>REDAÇÃO</t>
        </is>
      </c>
      <c r="H2095" t="inlineStr">
        <is>
          <t>BELÉM DECRETA SITUAÇÃO DE EMERGÊNCIA COM CHEGADA DE ÍNDIOS VENEZUELANOS</t>
        </is>
      </c>
      <c r="I2095" t="inlineStr">
        <is>
          <t>A PREFEITURA DE BELÉM DECRETOU SITUAÇÃO DE EMERGÊNCIA SOCIAL NA CIDADE EM RAZÃO DO PROCESSO MIGRATÓRIO DE ÍNDIOS VENEZUELANOS DA ETNIA WARAO PARA A CAPITAL PARAENSE. A PREVISÃO É DE QUE A MEDIDA SEJA ASSINADA PELO PREFEITO ZENALDO COUTINHO NESTA TERÇ</t>
        </is>
      </c>
      <c r="J2095" t="inlineStr">
        <is>
          <t>BELÉM, BELEM SITUACAO EMERGENCIA INDIOS VENEZUELANOS, PARÃ¡</t>
        </is>
      </c>
      <c r="K2095" t="n">
        <v>3</v>
      </c>
      <c r="L2095" t="n">
        <v>1</v>
      </c>
      <c r="M2095" t="n">
        <v>0</v>
      </c>
      <c r="N2095" t="n">
        <v>0</v>
      </c>
      <c r="O2095" t="n">
        <v>8</v>
      </c>
      <c r="P2095">
        <f>HYPERLINK("https://portalamazonia.com/noticias/cidades/belem-decreta-situacao-de-emergencia-com-chegada-de-indios-venezuelanos", "URL")</f>
        <v/>
      </c>
      <c r="Q2095">
        <f>HYPERLINK("https://raw.githubusercontent.com/marcosmapl/dataset_imigrantes/main/materias_filtered/portal_amazonia/venezuelanos/2018/06_jul/html/15149.15149_1521.html", "HTML")</f>
        <v/>
      </c>
      <c r="R2095">
        <f>HYPERLINK("https://raw.githubusercontent.com/marcosmapl/dataset_imigrantes/main/materias_filtered/portal_amazonia/venezuelanos/2018/06_jul/txt/15149.15149_1521.txt", "TXT")</f>
        <v/>
      </c>
    </row>
    <row r="2096">
      <c r="A2096" s="1" t="n">
        <v>2094</v>
      </c>
      <c r="B2096" t="n">
        <v>2018</v>
      </c>
      <c r="C2096" s="2" t="n">
        <v>43296.37547515046</v>
      </c>
      <c r="D2096" t="inlineStr">
        <is>
          <t>G1</t>
        </is>
      </c>
      <c r="E2096" t="inlineStr">
        <is>
          <t>VENEZUELANOS</t>
        </is>
      </c>
      <c r="F2096" t="inlineStr">
        <is>
          <t>GOIÁS</t>
        </is>
      </c>
      <c r="G2096" t="inlineStr">
        <is>
          <t>VANESSA MARTINS, G1 GO</t>
        </is>
      </c>
      <c r="H2096" t="inlineStr">
        <is>
          <t>FAMÍLIA VENEZUELANA FOGE DA CRISE POLÍTICA E ECONÔMICA NO PAÍS DE ORIGEM E BUSCA EMPREGO EM GOIÂNIA</t>
        </is>
      </c>
      <c r="I2096" t="inlineStr">
        <is>
          <t>APÓS UMA VIAGEM DE 5 MIL KM, OS REFUGIADOS PROCURAM REFAZER A VIDA NA CAPITAL GOIANA E TRAZER OS PARENTES.</t>
        </is>
      </c>
      <c r="J2096" t="inlineStr"/>
      <c r="K2096" t="n">
        <v>0</v>
      </c>
      <c r="L2096" t="n">
        <v>2</v>
      </c>
      <c r="M2096" t="n">
        <v>1</v>
      </c>
      <c r="N2096" t="n">
        <v>0</v>
      </c>
      <c r="O2096" t="n">
        <v>4</v>
      </c>
      <c r="P2096">
        <f>HYPERLINK("https://g1.globo.com/go/goias/noticia/familia-venezuelana-foge-da-crise-politica-e-economica-no-pais-de-origem-e-busca-emprego-em-goiania.ghtml", "URL")</f>
        <v/>
      </c>
      <c r="Q2096">
        <f>HYPERLINK("https://raw.githubusercontent.com/marcosmapl/dataset_imigrantes/main/materias_filtered/g1/venezuelanos/2018/06_jul/html/g1_63cdd4d4-232c-11ed-b24f-6dbe51e79fca_4302.html", "HTML")</f>
        <v/>
      </c>
      <c r="R2096">
        <f>HYPERLINK("https://raw.githubusercontent.com/marcosmapl/dataset_imigrantes/main/materias_filtered/g1/venezuelanos/2018/06_jul/txt/g1_63cdd4d4-232c-11ed-b24f-6dbe51e79fca_4302.txt", "TXT")</f>
        <v/>
      </c>
    </row>
    <row r="2097">
      <c r="A2097" s="1" t="n">
        <v>2095</v>
      </c>
      <c r="B2097" t="n">
        <v>2018</v>
      </c>
      <c r="C2097" s="2" t="n">
        <v>43295.85547707176</v>
      </c>
      <c r="D2097" t="inlineStr">
        <is>
          <t>G1</t>
        </is>
      </c>
      <c r="E2097" t="inlineStr">
        <is>
          <t>HAITIANOS</t>
        </is>
      </c>
      <c r="F2097" t="inlineStr">
        <is>
          <t>MUNDO</t>
        </is>
      </c>
      <c r="G2097" t="inlineStr">
        <is>
          <t>G1</t>
        </is>
      </c>
      <c r="H2097" t="inlineStr">
        <is>
          <t>PREMIÊ DO HAITI ANUNCIA RENÚNCIA EM MEIO A CRISE GERADA POR ALTA DE COMBUSTÍVEIS</t>
        </is>
      </c>
      <c r="I2097" t="inlineStr">
        <is>
          <t>JACK GUY LAFONTANT COMUNICOU QUE PRESIDENTE JOVENEL MOÏSE ACEITOU SEU AFASTAMENTO DURANTE SESSÃO DO CONGRESSO QUE PREPARAVA SUA DESTITUIÇÃO. GOVERNO VOLTOU ATRÁS EM AUMENTOS DE ATÉ 50% NOS PREÇOS DOS COMBUSTÍVEIS APÓS ONDA DE VIOLÊNCIA NO PAÍS.</t>
        </is>
      </c>
      <c r="J2097" t="inlineStr"/>
      <c r="K2097" t="n">
        <v>0</v>
      </c>
      <c r="L2097" t="n">
        <v>2</v>
      </c>
      <c r="M2097" t="n">
        <v>1</v>
      </c>
      <c r="N2097" t="n">
        <v>0</v>
      </c>
      <c r="O2097" t="n">
        <v>0</v>
      </c>
      <c r="P2097">
        <f>HYPERLINK("https://g1.globo.com/mundo/noticia/premier-do-haiti-anuncia-renuncia-em-meio-a-crise-da-alta-de-combustiveis.ghtml", "URL")</f>
        <v/>
      </c>
      <c r="Q2097">
        <f>HYPERLINK("https://raw.githubusercontent.com/marcosmapl/dataset_imigrantes/main/materias_filtered/g1/haitianos/2018/06_jul/html/g1_76c337be-230e-11ed-b24f-6dbe51e79fca_2739.html", "HTML")</f>
        <v/>
      </c>
      <c r="R2097">
        <f>HYPERLINK("https://raw.githubusercontent.com/marcosmapl/dataset_imigrantes/main/materias_filtered/g1/haitianos/2018/06_jul/txt/g1_76c337be-230e-11ed-b24f-6dbe51e79fca_2739.txt", "TXT")</f>
        <v/>
      </c>
    </row>
    <row r="2098">
      <c r="A2098" s="1" t="n">
        <v>2096</v>
      </c>
      <c r="B2098" t="n">
        <v>2018</v>
      </c>
      <c r="C2098" s="2" t="n">
        <v>43295.55861414352</v>
      </c>
      <c r="D2098" t="inlineStr">
        <is>
          <t>G1</t>
        </is>
      </c>
      <c r="E2098" t="inlineStr">
        <is>
          <t>VENEZUELANOS</t>
        </is>
      </c>
      <c r="F2098" t="inlineStr">
        <is>
          <t>RORAIMA</t>
        </is>
      </c>
      <c r="G2098" t="inlineStr">
        <is>
          <t>G1 RR</t>
        </is>
      </c>
      <c r="H2098" t="inlineStr">
        <is>
          <t>JOVENS SÃO FLAGRADOS FURTANDO FRASCOS DE SHAMPOO E CONDICIONADOR EM LOJA NO CENTRO DE BOA VISTA</t>
        </is>
      </c>
      <c r="I2098" t="inlineStr">
        <is>
          <t>SUSPEITOS ADMITIRAM CRIME E DISSERAM QUE PRETENDIAM VENDER OS ITENS PARA VENEZUELANAS.</t>
        </is>
      </c>
      <c r="J2098" t="inlineStr"/>
      <c r="K2098" t="n">
        <v>0</v>
      </c>
      <c r="L2098" t="n">
        <v>1</v>
      </c>
      <c r="M2098" t="n">
        <v>0</v>
      </c>
      <c r="N2098" t="n">
        <v>0</v>
      </c>
      <c r="O2098" t="n">
        <v>0</v>
      </c>
      <c r="P2098">
        <f>HYPERLINK("https://g1.globo.com/rr/roraima/noticia/jovens-sao-flagrados-furtando-frascos-de-shampoo-e-condicionador-em-loja-no-centro-de-boa-vista.ghtml", "URL")</f>
        <v/>
      </c>
      <c r="Q2098">
        <f>HYPERLINK("https://raw.githubusercontent.com/marcosmapl/dataset_imigrantes/main/materias_filtered/g1/venezuelanos/2018/06_jul/html/g1_2d19631a-2307-11ed-b24f-6dbe51e79fca_2301.html", "HTML")</f>
        <v/>
      </c>
      <c r="R2098">
        <f>HYPERLINK("https://raw.githubusercontent.com/marcosmapl/dataset_imigrantes/main/materias_filtered/g1/venezuelanos/2018/06_jul/txt/g1_2d19631a-2307-11ed-b24f-6dbe51e79fca_2301.txt", "TXT")</f>
        <v/>
      </c>
    </row>
    <row r="2099">
      <c r="A2099" s="1" t="n">
        <v>2097</v>
      </c>
      <c r="B2099" t="n">
        <v>2018</v>
      </c>
      <c r="C2099" s="2" t="n">
        <v>43295.01640541667</v>
      </c>
      <c r="D2099" t="inlineStr">
        <is>
          <t>G1</t>
        </is>
      </c>
      <c r="E2099" t="inlineStr">
        <is>
          <t>VENEZUELANOS</t>
        </is>
      </c>
      <c r="F2099" t="inlineStr">
        <is>
          <t>RORAIMA</t>
        </is>
      </c>
      <c r="G2099" t="inlineStr">
        <is>
          <t>MARCELO MARQUES, G1 RR</t>
        </is>
      </c>
      <c r="H2099" t="inlineStr">
        <is>
          <t>CORPO DE VENEZUELANA GRÁVIDA É ENCONTRADO ENTERRADO EM CHÁCARA NA ZONA RURAL DE BOA VISTA</t>
        </is>
      </c>
      <c r="I2099" t="inlineStr">
        <is>
          <t>MARIDO DA JOVEM É SUSPEITO PELO CRIME, DIZ POLÍCIA. VÍTIMA FOI LOCALIZADA AO LADO DE ROUPAS QUEIMADAS.</t>
        </is>
      </c>
      <c r="J2099" t="inlineStr"/>
      <c r="K2099" t="n">
        <v>0</v>
      </c>
      <c r="L2099" t="n">
        <v>1</v>
      </c>
      <c r="M2099" t="n">
        <v>0</v>
      </c>
      <c r="N2099" t="n">
        <v>0</v>
      </c>
      <c r="O2099" t="n">
        <v>0</v>
      </c>
      <c r="P2099">
        <f>HYPERLINK("https://g1.globo.com/rr/roraima/noticia/corpo-de-venezuelana-gravida-e-encontrado-enterrado-em-chacara-na-zona-rural-de-boa-vista.ghtml", "URL")</f>
        <v/>
      </c>
      <c r="Q2099">
        <f>HYPERLINK("https://raw.githubusercontent.com/marcosmapl/dataset_imigrantes/main/materias_filtered/g1/venezuelanos/2018/06_jul/html/g1_e3d797bc-231f-11ed-b24f-6dbe51e79fca_3650.html", "HTML")</f>
        <v/>
      </c>
      <c r="R2099">
        <f>HYPERLINK("https://raw.githubusercontent.com/marcosmapl/dataset_imigrantes/main/materias_filtered/g1/venezuelanos/2018/06_jul/txt/g1_e3d797bc-231f-11ed-b24f-6dbe51e79fca_3650.txt", "TXT")</f>
        <v/>
      </c>
    </row>
    <row r="2100">
      <c r="A2100" s="1" t="n">
        <v>2098</v>
      </c>
      <c r="B2100" t="n">
        <v>2018</v>
      </c>
      <c r="C2100" s="2" t="n">
        <v>43293.94531262731</v>
      </c>
      <c r="D2100" t="inlineStr">
        <is>
          <t>G1</t>
        </is>
      </c>
      <c r="E2100" t="inlineStr">
        <is>
          <t>VENEZUELANOS</t>
        </is>
      </c>
      <c r="F2100" t="inlineStr">
        <is>
          <t>RORAIMA</t>
        </is>
      </c>
      <c r="G2100" t="inlineStr">
        <is>
          <t>JACKSON FÉLIX, G1 RR</t>
        </is>
      </c>
      <c r="H2100" t="inlineStr">
        <is>
          <t>VENEZUELANA COM MENINGITE É CASO ISOLADO E NÃO HÁ RISCO DE EPIDEMIA EM RORAIMA, DECLARA MÉDICO</t>
        </is>
      </c>
      <c r="I2100" t="inlineStr">
        <is>
          <t>PACIENTE DE 32 ANOS RESPIRA COM AJUDA DE APARELHOS E SEGUE EM OBSERVAÇÃO NO HOSPITAL GERAL DE RORAIMA, EM BOA VISTA. ESTADO DE SAÚDE É GRAVE.</t>
        </is>
      </c>
      <c r="J2100" t="inlineStr"/>
      <c r="K2100" t="n">
        <v>0</v>
      </c>
      <c r="L2100" t="n">
        <v>2</v>
      </c>
      <c r="M2100" t="n">
        <v>0</v>
      </c>
      <c r="N2100" t="n">
        <v>0</v>
      </c>
      <c r="O2100" t="n">
        <v>3</v>
      </c>
      <c r="P2100">
        <f>HYPERLINK("https://g1.globo.com/rr/roraima/noticia/venezuelana-com-meningite-e-caso-isolado-e-nao-ha-risco-de-epidemia-em-roraima-diz-medico.ghtml", "URL")</f>
        <v/>
      </c>
      <c r="Q2100">
        <f>HYPERLINK("https://raw.githubusercontent.com/marcosmapl/dataset_imigrantes/main/materias_filtered/g1/venezuelanos/2018/06_jul/html/g1_9aba07d4-2326-11ed-b24f-6dbe51e79fca_3986.html", "HTML")</f>
        <v/>
      </c>
      <c r="R2100">
        <f>HYPERLINK("https://raw.githubusercontent.com/marcosmapl/dataset_imigrantes/main/materias_filtered/g1/venezuelanos/2018/06_jul/txt/g1_9aba07d4-2326-11ed-b24f-6dbe51e79fca_3986.txt", "TXT")</f>
        <v/>
      </c>
    </row>
    <row r="2101">
      <c r="A2101" s="1" t="n">
        <v>2099</v>
      </c>
      <c r="B2101" t="n">
        <v>2018</v>
      </c>
      <c r="C2101" s="2" t="n">
        <v>43292.90860540509</v>
      </c>
      <c r="D2101" t="inlineStr">
        <is>
          <t>G1</t>
        </is>
      </c>
      <c r="E2101" t="inlineStr">
        <is>
          <t>VENEZUELANOS</t>
        </is>
      </c>
      <c r="F2101" t="inlineStr">
        <is>
          <t>RORAIMA</t>
        </is>
      </c>
      <c r="G2101" t="inlineStr">
        <is>
          <t>G1 RR</t>
        </is>
      </c>
      <c r="H2101" t="inlineStr">
        <is>
          <t>VENEZUELANA SUSPEITA DE FAZER PROCEDIMENTOS MÉDICOS DE FORMA ILEGAL É PRESA EM BOA VISTA</t>
        </is>
      </c>
      <c r="I2101" t="inlineStr">
        <is>
          <t>MULHER TAMBÉM REALIZAVA PROCEDIMENTOS ESTÉTICOS EM CONDIÇÕES INSALUBRES, DIZ CRM.</t>
        </is>
      </c>
      <c r="J2101" t="inlineStr"/>
      <c r="K2101" t="n">
        <v>0</v>
      </c>
      <c r="L2101" t="n">
        <v>2</v>
      </c>
      <c r="M2101" t="n">
        <v>0</v>
      </c>
      <c r="N2101" t="n">
        <v>0</v>
      </c>
      <c r="O2101" t="n">
        <v>0</v>
      </c>
      <c r="P2101">
        <f>HYPERLINK("https://g1.globo.com/rr/roraima/noticia/venezuelana-suspeita-de-fazer-procedimentos-medicos-de-forma-ilegal-e-presa-em-boa-vista.ghtml", "URL")</f>
        <v/>
      </c>
      <c r="Q2101">
        <f>HYPERLINK("https://raw.githubusercontent.com/marcosmapl/dataset_imigrantes/main/materias_filtered/g1/venezuelanos/2018/06_jul/html/g1_b2798e56-230f-11ed-b24f-6dbe51e79fca_2813.html", "HTML")</f>
        <v/>
      </c>
      <c r="R2101">
        <f>HYPERLINK("https://raw.githubusercontent.com/marcosmapl/dataset_imigrantes/main/materias_filtered/g1/venezuelanos/2018/06_jul/txt/g1_b2798e56-230f-11ed-b24f-6dbe51e79fca_2813.txt", "TXT")</f>
        <v/>
      </c>
    </row>
    <row r="2102">
      <c r="A2102" s="1" t="n">
        <v>2100</v>
      </c>
      <c r="B2102" t="n">
        <v>2018</v>
      </c>
      <c r="C2102" s="2" t="n">
        <v>43292.8559084375</v>
      </c>
      <c r="D2102" t="inlineStr">
        <is>
          <t>G1</t>
        </is>
      </c>
      <c r="E2102" t="inlineStr">
        <is>
          <t>HAITIANOS</t>
        </is>
      </c>
      <c r="F2102" t="inlineStr">
        <is>
          <t>CORUMBÁ E REGIÃO</t>
        </is>
      </c>
      <c r="G2102" t="inlineStr">
        <is>
          <t>TV MORENA</t>
        </is>
      </c>
      <c r="H2102" t="inlineStr">
        <is>
          <t>POPULAÇÃO DE CORUMBÁ, MS, SE MOBILIZA PARA AJUDAR IMIGRANTES HAITIANOS QUE SOFREM COM O FRIO</t>
        </is>
      </c>
      <c r="I2102" t="inlineStr">
        <is>
          <t>COMERCIANTES E MORADORES CEDEM CASAS PARA IMIGRANTES NO PERÍODO DE NOITES FRIAS. SEGUNDO PASTORAL DA MOBILIDADE HUMANA, PELO MENOS 300 HAITIANOS ESTÃO NA CIDADE.</t>
        </is>
      </c>
      <c r="J2102" t="inlineStr"/>
      <c r="K2102" t="n">
        <v>0</v>
      </c>
      <c r="L2102" t="n">
        <v>1</v>
      </c>
      <c r="M2102" t="n">
        <v>0</v>
      </c>
      <c r="N2102" t="n">
        <v>0</v>
      </c>
      <c r="O2102" t="n">
        <v>0</v>
      </c>
      <c r="P2102">
        <f>HYPERLINK("https://g1.globo.com/ms/corumba-e-regiao/noticia/populacao-de-corumba-ms-se-mobiliza-para-ajudar-imigrantes-haitianos-que-sofrem-com-o-frio.ghtml", "URL")</f>
        <v/>
      </c>
      <c r="Q2102">
        <f>HYPERLINK("https://raw.githubusercontent.com/marcosmapl/dataset_imigrantes/main/materias_filtered/g1/haitianos/2018/06_jul/html/g1_f05d8494-22fa-11ed-b24f-6dbe51e79fca_2252.html", "HTML")</f>
        <v/>
      </c>
      <c r="R2102">
        <f>HYPERLINK("https://raw.githubusercontent.com/marcosmapl/dataset_imigrantes/main/materias_filtered/g1/haitianos/2018/06_jul/txt/g1_f05d8494-22fa-11ed-b24f-6dbe51e79fca_2252.txt", "TXT")</f>
        <v/>
      </c>
    </row>
    <row r="2103">
      <c r="A2103" s="1" t="n">
        <v>2101</v>
      </c>
      <c r="B2103" t="n">
        <v>2018</v>
      </c>
      <c r="C2103" s="2" t="n">
        <v>43292.80124849537</v>
      </c>
      <c r="D2103" t="inlineStr">
        <is>
          <t>G1</t>
        </is>
      </c>
      <c r="E2103" t="inlineStr">
        <is>
          <t>VENEZUELANOS</t>
        </is>
      </c>
      <c r="F2103" t="inlineStr">
        <is>
          <t>RORAIMA</t>
        </is>
      </c>
      <c r="G2103" t="inlineStr">
        <is>
          <t>G1 RR</t>
        </is>
      </c>
      <c r="H2103" t="inlineStr">
        <is>
          <t>VENEZUELANA É INTERNADA COM MENINGITE BACTERIANA NO HOSPITAL GERAL DE RORAIMA</t>
        </is>
      </c>
      <c r="I2103" t="inlineStr">
        <is>
          <t>SECRETARIA ESTADUAL DE SAÚDE INFORMOU QUE PACIENTE ESTÁ EM OBSERVAÇÃO EM BOA VISTA. QUADRO DE SAÚDE É ESTÁVEL.</t>
        </is>
      </c>
      <c r="J2103" t="inlineStr"/>
      <c r="K2103" t="n">
        <v>0</v>
      </c>
      <c r="L2103" t="n">
        <v>1</v>
      </c>
      <c r="M2103" t="n">
        <v>0</v>
      </c>
      <c r="N2103" t="n">
        <v>0</v>
      </c>
      <c r="O2103" t="n">
        <v>0</v>
      </c>
      <c r="P2103">
        <f>HYPERLINK("https://g1.globo.com/rr/roraima/noticia/venezuelana-e-internada-com-meningite-bacteriana-no-hospital-geral-de-roraima.ghtml", "URL")</f>
        <v/>
      </c>
      <c r="Q2103">
        <f>HYPERLINK("https://raw.githubusercontent.com/marcosmapl/dataset_imigrantes/main/materias_filtered/g1/venezuelanos/2018/06_jul/html/g1_a3919e50-230b-11ed-b24f-6dbe51e79fca_2577.html", "HTML")</f>
        <v/>
      </c>
      <c r="R2103">
        <f>HYPERLINK("https://raw.githubusercontent.com/marcosmapl/dataset_imigrantes/main/materias_filtered/g1/venezuelanos/2018/06_jul/txt/g1_a3919e50-230b-11ed-b24f-6dbe51e79fca_2577.txt", "TXT")</f>
        <v/>
      </c>
    </row>
    <row r="2104">
      <c r="A2104" s="1" t="n">
        <v>2102</v>
      </c>
      <c r="B2104" t="n">
        <v>2018</v>
      </c>
      <c r="C2104" s="2" t="n">
        <v>43292.60448266203</v>
      </c>
      <c r="D2104" t="inlineStr">
        <is>
          <t>G1</t>
        </is>
      </c>
      <c r="E2104" t="inlineStr">
        <is>
          <t>VENEZUELANOS</t>
        </is>
      </c>
      <c r="F2104" t="inlineStr">
        <is>
          <t>AMAZONAS</t>
        </is>
      </c>
      <c r="G2104" t="inlineStr">
        <is>
          <t>IVE RYLO, G1 AM</t>
        </is>
      </c>
      <c r="H2104" t="inlineStr">
        <is>
          <t>COM PLACAS DE PAPELÃO, IMIGRANTES VENEZUELANAS PEDEM EMPREGO EM RUA DE MANAUS: 'QUEREMOS SOBREVIVER DO NOSSO SUOR'</t>
        </is>
      </c>
      <c r="I2104" t="inlineStr">
        <is>
          <t>MULHERES E CRIANÇAS ENFRENTAM CALOR E FOME EM BUSCA DE EMPREGO, EM SEMÁFORO DA ZONA NORTE DA CAPITAL.</t>
        </is>
      </c>
      <c r="J2104" t="inlineStr"/>
      <c r="K2104" t="n">
        <v>0</v>
      </c>
      <c r="L2104" t="n">
        <v>2</v>
      </c>
      <c r="M2104" t="n">
        <v>0</v>
      </c>
      <c r="N2104" t="n">
        <v>0</v>
      </c>
      <c r="O2104" t="n">
        <v>2</v>
      </c>
      <c r="P2104">
        <f>HYPERLINK("https://g1.globo.com/am/amazonas/noticia/com-placas-de-papelao-imigrantes-venezuelanas-pedem-emprego-em-rua-de-manaus-queremos-sobreviver-do-nosso-suor.ghtml", "URL")</f>
        <v/>
      </c>
      <c r="Q2104">
        <f>HYPERLINK("https://raw.githubusercontent.com/marcosmapl/dataset_imigrantes/main/materias_filtered/g1/venezuelanos/2018/06_jul/html/g1_c1c174aa-2323-11ed-b24f-6dbe51e79fca_3827.html", "HTML")</f>
        <v/>
      </c>
      <c r="R2104">
        <f>HYPERLINK("https://raw.githubusercontent.com/marcosmapl/dataset_imigrantes/main/materias_filtered/g1/venezuelanos/2018/06_jul/txt/g1_c1c174aa-2323-11ed-b24f-6dbe51e79fca_3827.txt", "TXT")</f>
        <v/>
      </c>
    </row>
    <row r="2105">
      <c r="A2105" s="1" t="n">
        <v>2103</v>
      </c>
      <c r="B2105" t="n">
        <v>2018</v>
      </c>
      <c r="C2105" s="2" t="n">
        <v>43291.85237268519</v>
      </c>
      <c r="D2105" t="inlineStr">
        <is>
          <t>A CRITICA</t>
        </is>
      </c>
      <c r="E2105" t="inlineStr">
        <is>
          <t>AMBOS</t>
        </is>
      </c>
      <c r="F2105" t="inlineStr">
        <is>
          <t>MANAUS</t>
        </is>
      </c>
      <c r="G2105" t="inlineStr">
        <is>
          <t>OSWALDO NETO</t>
        </is>
      </c>
      <c r="H2105" t="inlineStr">
        <is>
          <t>DECISÃO JUDICIAL AMEAÇA PERMANÊNCIA DE INDÍGENAS EM ÁREA DA SUFRAMA NA ZONA LESTE</t>
        </is>
      </c>
      <c r="I2105" t="inlineStr">
        <is>
          <t>INDÍGENAS DE VÁRIAS ETNIAS PEDIRAM APOIO DA DEFENSORIA PÚBLICA APÓS MANDADO DETERMINAR A SAÍDA DO GRUPO DO TERRENO, LOCALIZADO NO BAIRRO GRANDE VITÓRIA</t>
        </is>
      </c>
      <c r="J2105" t="inlineStr"/>
      <c r="K2105" t="n">
        <v>0</v>
      </c>
      <c r="L2105" t="n">
        <v>1</v>
      </c>
      <c r="M2105" t="n">
        <v>0</v>
      </c>
      <c r="N2105" t="n">
        <v>0</v>
      </c>
      <c r="O2105" t="n">
        <v>0</v>
      </c>
      <c r="P2105">
        <f>HYPERLINK("https://www.acritica.com/manaus/decis-o-judicial-ameaca-permanencia-de-indigenas-em-area-da-suframa-na-zona-leste-1.192623", "URL")</f>
        <v/>
      </c>
      <c r="Q2105">
        <f>HYPERLINK("https://raw.githubusercontent.com/marcosmapl/dataset_imigrantes/main/materias_filtered/a_critica/ambos/2018/06_jul/html/1.192623_1284.html", "HTML")</f>
        <v/>
      </c>
      <c r="R2105">
        <f>HYPERLINK("https://raw.githubusercontent.com/marcosmapl/dataset_imigrantes/main/materias_filtered/a_critica/ambos/2018/06_jul/txt/1.192623_1284.txt", "TXT")</f>
        <v/>
      </c>
    </row>
    <row r="2106">
      <c r="A2106" s="1" t="n">
        <v>2104</v>
      </c>
      <c r="B2106" t="n">
        <v>2018</v>
      </c>
      <c r="C2106" s="2" t="n">
        <v>43290.87840652778</v>
      </c>
      <c r="D2106" t="inlineStr">
        <is>
          <t>G1</t>
        </is>
      </c>
      <c r="E2106" t="inlineStr">
        <is>
          <t>VENEZUELANOS</t>
        </is>
      </c>
      <c r="F2106" t="inlineStr">
        <is>
          <t>RORAIMA</t>
        </is>
      </c>
      <c r="G2106" t="inlineStr">
        <is>
          <t>ALAN CHAVES, G1 RR</t>
        </is>
      </c>
      <c r="H2106" t="inlineStr">
        <is>
          <t>NO ANIVERSÁRIO DE 128 ANOS DE BOA VISTA, PREFEITA CITA MELHORIAS E SE DIZ PREOCUPADA COM A IMIGRAÇÃO VENEZUELANA</t>
        </is>
      </c>
      <c r="I2106" t="inlineStr">
        <is>
          <t>CIDADE COMPLETOU 128 ANOS NESTA SEGUNDA (9). TERESA SURITA (MDB) DISSE QUE MP QUE LIBEROU R$ 190 MILHÕES PARA RORAIMA DEVE EXPIRAR HOJE. "A GENTE PRECISA COLOCAR AS NOSSAS NECESSIDADES DESSA MEDIDA PROVISÓRIA", DIZ.</t>
        </is>
      </c>
      <c r="J2106" t="inlineStr"/>
      <c r="K2106" t="n">
        <v>0</v>
      </c>
      <c r="L2106" t="n">
        <v>2</v>
      </c>
      <c r="M2106" t="n">
        <v>0</v>
      </c>
      <c r="N2106" t="n">
        <v>0</v>
      </c>
      <c r="O2106" t="n">
        <v>1</v>
      </c>
      <c r="P2106">
        <f>HYPERLINK("https://g1.globo.com/rr/roraima/noticia/no-aniversario-de-128-anos-de-boa-vista-prefeita-cita-melhorias-e-se-diz-preocupada-com-imigracao-venezuelana.ghtml", "URL")</f>
        <v/>
      </c>
      <c r="Q2106">
        <f>HYPERLINK("https://raw.githubusercontent.com/marcosmapl/dataset_imigrantes/main/materias_filtered/g1/venezuelanos/2018/06_jul/html/g1_96475cbe-230e-11ed-b24f-6dbe51e79fca_2746.html", "HTML")</f>
        <v/>
      </c>
      <c r="R2106">
        <f>HYPERLINK("https://raw.githubusercontent.com/marcosmapl/dataset_imigrantes/main/materias_filtered/g1/venezuelanos/2018/06_jul/txt/g1_96475cbe-230e-11ed-b24f-6dbe51e79fca_2746.txt", "TXT")</f>
        <v/>
      </c>
    </row>
    <row r="2107">
      <c r="A2107" s="1" t="n">
        <v>2105</v>
      </c>
      <c r="B2107" t="n">
        <v>2018</v>
      </c>
      <c r="C2107" s="2" t="n">
        <v>43290.58263888889</v>
      </c>
      <c r="D2107" t="inlineStr">
        <is>
          <t>PORTAL AMAZONIA</t>
        </is>
      </c>
      <c r="E2107" t="inlineStr">
        <is>
          <t>VENEZUELANOS</t>
        </is>
      </c>
      <c r="F2107" t="inlineStr">
        <is>
          <t>CIDADES</t>
        </is>
      </c>
      <c r="G2107" t="inlineStr">
        <is>
          <t>REDAÇÃO</t>
        </is>
      </c>
      <c r="H2107" t="inlineStr">
        <is>
          <t>BOA VISTA COMPLETA 128 ANOS DE HISTÓRIAS, FATOS E CURIOSIDADES. CONFIRA</t>
        </is>
      </c>
      <c r="I2107" t="inlineStr">
        <is>
          <t>A CIDADE DE BOA VISTA, CAPITAL DE RORAIMA, É A ANIVERSARIANTE DO DIA, E COMPLETA NESTA SEGUNDA-FEIRA (9), 128 ANOS DE HISTÓRIAS. COM A POPULAÇÃO DE QUASE 400 MIL PESSOAS, BOA VISTA SOFRE OS PROBLEMAS E DESAFIOS DE QUALQUER CIDADE GRANDE.A EQUIPE DO P</t>
        </is>
      </c>
      <c r="J2107" t="inlineStr">
        <is>
          <t>ANIVERSARIO BOA VISTA 128 ANOS</t>
        </is>
      </c>
      <c r="K2107" t="n">
        <v>1</v>
      </c>
      <c r="L2107" t="n">
        <v>5</v>
      </c>
      <c r="M2107" t="n">
        <v>0</v>
      </c>
      <c r="N2107" t="n">
        <v>0</v>
      </c>
      <c r="O2107" t="n">
        <v>6</v>
      </c>
      <c r="P2107">
        <f>HYPERLINK("https://portalamazonia.com/noticias/cidades/boa-vista-completa-128-anos-de-historias-fatos-e-curiosidades-confira", "URL")</f>
        <v/>
      </c>
      <c r="Q2107">
        <f>HYPERLINK("https://raw.githubusercontent.com/marcosmapl/dataset_imigrantes/main/materias_filtered/portal_amazonia/venezuelanos/2018/06_jul/html/14978.14978_1466.html", "HTML")</f>
        <v/>
      </c>
      <c r="R2107">
        <f>HYPERLINK("https://raw.githubusercontent.com/marcosmapl/dataset_imigrantes/main/materias_filtered/portal_amazonia/venezuelanos/2018/06_jul/txt/14978.14978_1466.txt", "TXT")</f>
        <v/>
      </c>
    </row>
    <row r="2108">
      <c r="A2108" s="1" t="n">
        <v>2106</v>
      </c>
      <c r="B2108" t="n">
        <v>2018</v>
      </c>
      <c r="C2108" s="2" t="n">
        <v>43289.61736111111</v>
      </c>
      <c r="D2108" t="inlineStr">
        <is>
          <t>PORTAL AMAZONIA</t>
        </is>
      </c>
      <c r="E2108" t="inlineStr">
        <is>
          <t>VENEZUELANOS</t>
        </is>
      </c>
      <c r="F2108" t="inlineStr">
        <is>
          <t>CIDADES</t>
        </is>
      </c>
      <c r="G2108" t="inlineStr">
        <is>
          <t>REDAÇÃO</t>
        </is>
      </c>
      <c r="H2108" t="inlineStr">
        <is>
          <t>MPF, MPT E DPU RECOMENDAM MELHORIAS NO ACOLHIMENTO A INDÍGENAS VENEZUELANOS EM SANTARÉM</t>
        </is>
      </c>
      <c r="I2108" t="inlineStr">
        <is>
          <t>O MINISTÉRIO PÚBLICO FEDERAL (MPF), O MINISTÉRIO PÚBLICO DO TRABALHO (MPT) E A DEFENSORIA PÚBLICA DA UNIÃO (DPU) ENCAMINHARAM, NA ÚLTIMA SEMANA, NOTIFICAÇÃO A VÁRIOS ÓRGÃOS PÚBLICOS EM QUE RECOMENDAM MELHORIAS NO ACOLHIMENTO AOS INDÍGENAS VENEZUELANO</t>
        </is>
      </c>
      <c r="J2108" t="inlineStr">
        <is>
          <t>INDÍGENAS, SANTARÉM, WARAO</t>
        </is>
      </c>
      <c r="K2108" t="n">
        <v>3</v>
      </c>
      <c r="L2108" t="n">
        <v>3</v>
      </c>
      <c r="M2108" t="n">
        <v>0</v>
      </c>
      <c r="N2108" t="n">
        <v>0</v>
      </c>
      <c r="O2108" t="n">
        <v>8</v>
      </c>
      <c r="P2108">
        <f>HYPERLINK("https://portalamazonia.com/noticias/cidades/mpf-mpt-e-dpu-recomendam-melhorias-no-acolhimento-a-indigenas-venezuelanos-em-santarem", "URL")</f>
        <v/>
      </c>
      <c r="Q2108">
        <f>HYPERLINK("https://raw.githubusercontent.com/marcosmapl/dataset_imigrantes/main/materias_filtered/portal_amazonia/venezuelanos/2018/06_jul/html/14967.14967_1532.html", "HTML")</f>
        <v/>
      </c>
      <c r="R2108">
        <f>HYPERLINK("https://raw.githubusercontent.com/marcosmapl/dataset_imigrantes/main/materias_filtered/portal_amazonia/venezuelanos/2018/06_jul/txt/14967.14967_1532.txt", "TXT")</f>
        <v/>
      </c>
    </row>
    <row r="2109">
      <c r="A2109" s="1" t="n">
        <v>2107</v>
      </c>
      <c r="B2109" t="n">
        <v>2018</v>
      </c>
      <c r="C2109" s="2" t="n">
        <v>43289.61115740741</v>
      </c>
      <c r="D2109" t="inlineStr">
        <is>
          <t>A CRITICA</t>
        </is>
      </c>
      <c r="E2109" t="inlineStr">
        <is>
          <t>VENEZUELANOS</t>
        </is>
      </c>
      <c r="F2109" t="inlineStr">
        <is>
          <t>POLICIA</t>
        </is>
      </c>
      <c r="G2109" t="inlineStr">
        <is>
          <t>LARISSA GOLVIN</t>
        </is>
      </c>
      <c r="H2109" t="inlineStr">
        <is>
          <t>DROGAS AVALIADAS EM R$ 800 MIL SÃO APREENDIDAS EM EMBARCAÇÕES DO AM</t>
        </is>
      </c>
      <c r="I2109" t="inlineStr">
        <is>
          <t>A POLÍCIA CIVIL FEZ DUAS APREENSÕES DE DROGAS NESTE FIM DE SEMANA DURANTE A OPERAÇÃO BANZEIRO. DUAS PESSOAS FORAM PRESAS</t>
        </is>
      </c>
      <c r="J2109" t="inlineStr"/>
      <c r="K2109" t="n">
        <v>0</v>
      </c>
      <c r="L2109" t="n">
        <v>1</v>
      </c>
      <c r="M2109" t="n">
        <v>0</v>
      </c>
      <c r="N2109" t="n">
        <v>0</v>
      </c>
      <c r="O2109" t="n">
        <v>0</v>
      </c>
      <c r="P2109">
        <f>HYPERLINK("https://www.acritica.com/policia/drogas-avaliadas-em-r-800-mil-s-o-apreendidas-em-embarcac-es-do-am-1.192530", "URL")</f>
        <v/>
      </c>
      <c r="Q2109">
        <f>HYPERLINK("https://raw.githubusercontent.com/marcosmapl/dataset_imigrantes/main/materias_filtered/a_critica/venezuelanos/2018/06_jul/html/1.192530_102.html", "HTML")</f>
        <v/>
      </c>
      <c r="R2109">
        <f>HYPERLINK("https://raw.githubusercontent.com/marcosmapl/dataset_imigrantes/main/materias_filtered/a_critica/venezuelanos/2018/06_jul/txt/1.192530_102.txt", "TXT")</f>
        <v/>
      </c>
    </row>
    <row r="2110">
      <c r="A2110" s="1" t="n">
        <v>2108</v>
      </c>
      <c r="B2110" t="n">
        <v>2018</v>
      </c>
      <c r="C2110" s="2" t="n">
        <v>43289.48231481481</v>
      </c>
      <c r="D2110" t="inlineStr">
        <is>
          <t>A CRITICA</t>
        </is>
      </c>
      <c r="E2110" t="inlineStr">
        <is>
          <t>VENEZUELANOS</t>
        </is>
      </c>
      <c r="F2110" t="inlineStr">
        <is>
          <t>MANAUS</t>
        </is>
      </c>
      <c r="G2110" t="inlineStr">
        <is>
          <t>ALIK MENEZES</t>
        </is>
      </c>
      <c r="H2110" t="inlineStr">
        <is>
          <t>AO CHEGAREM EM MANAUS, VENEZUELANOS SE DEPARAM COM 'GUERRA' PARA VAGAS DE TRABALHO</t>
        </is>
      </c>
      <c r="I2110" t="inlineStr">
        <is>
          <t>FUGINDO DA CRISE NA VENEZUELA, OS IMIGRANTES TÊM FÉ QUE POSSAM RECOMEÇAR SUAS VIDAS NO BRASIL, MAS CONSEGUIR EMPREGO FORMAL NÃO TEM SIDO UMA TAREFA FÁCIL</t>
        </is>
      </c>
      <c r="J2110" t="inlineStr"/>
      <c r="K2110" t="n">
        <v>0</v>
      </c>
      <c r="L2110" t="n">
        <v>1</v>
      </c>
      <c r="M2110" t="n">
        <v>0</v>
      </c>
      <c r="N2110" t="n">
        <v>0</v>
      </c>
      <c r="O2110" t="n">
        <v>0</v>
      </c>
      <c r="P2110">
        <f>HYPERLINK("https://www.acritica.com/manaus/ao-chegarem-em-manaus-venezuelanos-se-deparam-com-guerra-para-vagas-de-trabalho-1.192311", "URL")</f>
        <v/>
      </c>
      <c r="Q2110">
        <f>HYPERLINK("https://raw.githubusercontent.com/marcosmapl/dataset_imigrantes/main/materias_filtered/a_critica/venezuelanos/2018/06_jul/html/1.192311_607.html", "HTML")</f>
        <v/>
      </c>
      <c r="R2110">
        <f>HYPERLINK("https://raw.githubusercontent.com/marcosmapl/dataset_imigrantes/main/materias_filtered/a_critica/venezuelanos/2018/06_jul/txt/1.192311_607.txt", "TXT")</f>
        <v/>
      </c>
    </row>
    <row r="2111">
      <c r="A2111" s="1" t="n">
        <v>2109</v>
      </c>
      <c r="B2111" t="n">
        <v>2018</v>
      </c>
      <c r="C2111" s="2" t="n">
        <v>43286.78430053241</v>
      </c>
      <c r="D2111" t="inlineStr">
        <is>
          <t>G1</t>
        </is>
      </c>
      <c r="E2111" t="inlineStr">
        <is>
          <t>HAITIANOS</t>
        </is>
      </c>
      <c r="F2111" t="inlineStr">
        <is>
          <t>CORUMBÁ E REGIÃO</t>
        </is>
      </c>
      <c r="G2111" t="inlineStr">
        <is>
          <t>CARLA SALENTIM, TV MORENA</t>
        </is>
      </c>
      <c r="H2111" t="inlineStr">
        <is>
          <t>CORUMBÁ, MS, SE TRANSFORMA NA NOVA ROTA DE ENTRADA ILEGAL DE ESTRANGEIROS NO BRASIL</t>
        </is>
      </c>
      <c r="I2111" t="inlineStr">
        <is>
          <t>SÓ EM 2018,  A POLÍCIA FEDERAL NOTIFICOU NA CIDADE 230 IMIGRANTES QUE ENTRARAM NO PAÍS DE MANEIRA IRREGULAR, A DEIXAREM O TERRITÓRIO BRASILEIRO.</t>
        </is>
      </c>
      <c r="J2111" t="inlineStr"/>
      <c r="K2111" t="n">
        <v>0</v>
      </c>
      <c r="L2111" t="n">
        <v>1</v>
      </c>
      <c r="M2111" t="n">
        <v>0</v>
      </c>
      <c r="N2111" t="n">
        <v>0</v>
      </c>
      <c r="O2111" t="n">
        <v>0</v>
      </c>
      <c r="P2111">
        <f>HYPERLINK("https://g1.globo.com/ms/corumba-e-regiao/noticia/corumba-ms-se-transforma-na-nova-rota-de-entrada-ilegal-de-estrangeiros-no-brasil.ghtml", "URL")</f>
        <v/>
      </c>
      <c r="Q2111">
        <f>HYPERLINK("https://raw.githubusercontent.com/marcosmapl/dataset_imigrantes/main/materias_filtered/g1/haitianos/2018/06_jul/html/g1_00ba51a6-2309-11ed-b24f-6dbe51e79fca_2419.html", "HTML")</f>
        <v/>
      </c>
      <c r="R2111">
        <f>HYPERLINK("https://raw.githubusercontent.com/marcosmapl/dataset_imigrantes/main/materias_filtered/g1/haitianos/2018/06_jul/txt/g1_00ba51a6-2309-11ed-b24f-6dbe51e79fca_2419.txt", "TXT")</f>
        <v/>
      </c>
    </row>
    <row r="2112">
      <c r="A2112" s="1" t="n">
        <v>2110</v>
      </c>
      <c r="B2112" t="n">
        <v>2018</v>
      </c>
      <c r="C2112" s="2" t="n">
        <v>43286.54465277777</v>
      </c>
      <c r="D2112" t="inlineStr">
        <is>
          <t>A CRITICA</t>
        </is>
      </c>
      <c r="E2112" t="inlineStr">
        <is>
          <t>VENEZUELANOS</t>
        </is>
      </c>
      <c r="F2112" t="inlineStr">
        <is>
          <t>MANAUS</t>
        </is>
      </c>
      <c r="G2112" t="inlineStr">
        <is>
          <t>ACRÍTICA.COM</t>
        </is>
      </c>
      <c r="H2112" t="inlineStr">
        <is>
          <t>ÓRGÃOS FEDERAIS COBRAM CONCLUSÃO DE ABRIGO PARA VENEZUELANOS EM MANAUS</t>
        </is>
      </c>
      <c r="I2112" t="inlineStr">
        <is>
          <t>SECRETARIAS ESTADUAIS E MUNICIPAIS HAVIAM PROMETIDO ENTREGAR CRONOGRAMA DE OBRAS ATÉ MARÇO PASSADO, O QUE NUNCA FOI FEITO, SEGUNDO O MPF</t>
        </is>
      </c>
      <c r="J2112" t="inlineStr"/>
      <c r="K2112" t="n">
        <v>0</v>
      </c>
      <c r="L2112" t="n">
        <v>1</v>
      </c>
      <c r="M2112" t="n">
        <v>0</v>
      </c>
      <c r="N2112" t="n">
        <v>0</v>
      </c>
      <c r="O2112" t="n">
        <v>0</v>
      </c>
      <c r="P2112">
        <f>HYPERLINK("https://www.acritica.com/manaus/org-os-federais-cobram-conclus-o-de-abrigo-para-venezuelanos-em-manaus-1.192254", "URL")</f>
        <v/>
      </c>
      <c r="Q2112">
        <f>HYPERLINK("https://raw.githubusercontent.com/marcosmapl/dataset_imigrantes/main/materias_filtered/a_critica/venezuelanos/2018/06_jul/html/1.192254_155.html", "HTML")</f>
        <v/>
      </c>
      <c r="R2112">
        <f>HYPERLINK("https://raw.githubusercontent.com/marcosmapl/dataset_imigrantes/main/materias_filtered/a_critica/venezuelanos/2018/06_jul/txt/1.192254_155.txt", "TXT")</f>
        <v/>
      </c>
    </row>
    <row r="2113">
      <c r="A2113" s="1" t="n">
        <v>2111</v>
      </c>
      <c r="B2113" t="n">
        <v>2018</v>
      </c>
      <c r="C2113" s="2" t="n">
        <v>43286.52013888889</v>
      </c>
      <c r="D2113" t="inlineStr">
        <is>
          <t>PORTAL AMAZONIA</t>
        </is>
      </c>
      <c r="E2113" t="inlineStr">
        <is>
          <t>VENEZUELANOS</t>
        </is>
      </c>
      <c r="F2113" t="inlineStr">
        <is>
          <t>CIDADES</t>
        </is>
      </c>
      <c r="G2113" t="inlineStr">
        <is>
          <t>REDAÇÃO</t>
        </is>
      </c>
      <c r="H2113" t="inlineStr">
        <is>
          <t>GRUPO DE VENEZUELANOS É LEVADO PARA ABRIGO TEMPORÁRIO EM MANAUS</t>
        </is>
      </c>
      <c r="I2113" t="inlineStr">
        <is>
          <t>UM GRUPO DE VENEZUELANOS QUE VIVIA NA ÁREA DA RODOVIÁRIA E VIADUTO DE FLORES, NA ZONA CENTRO SUL DE MANAUS (AM), FOI TRANSFERIDO PARA UM ABRIGO DA PREFEITURA. O ABRIGO QUE FICA NO BAIRRO ALFREDO NASCIMENTO, NA ZONA NORTE. ELES PERMANECEM NO LOCAL ATÉ</t>
        </is>
      </c>
      <c r="J2113" t="inlineStr">
        <is>
          <t>ABRIGO, MANAUS, VENEZUELANOS</t>
        </is>
      </c>
      <c r="K2113" t="n">
        <v>3</v>
      </c>
      <c r="L2113" t="n">
        <v>1</v>
      </c>
      <c r="M2113" t="n">
        <v>0</v>
      </c>
      <c r="N2113" t="n">
        <v>0</v>
      </c>
      <c r="O2113" t="n">
        <v>8</v>
      </c>
      <c r="P2113">
        <f>HYPERLINK("https://portalamazonia.com/noticias/cidades/grupo-de-venezuelanos-e-levado-para-abrigo-temporario-em-manaus", "URL")</f>
        <v/>
      </c>
      <c r="Q2113">
        <f>HYPERLINK("https://raw.githubusercontent.com/marcosmapl/dataset_imigrantes/main/materias_filtered/portal_amazonia/venezuelanos/2018/06_jul/html/14927.25437_1574.html", "HTML")</f>
        <v/>
      </c>
      <c r="R2113">
        <f>HYPERLINK("https://raw.githubusercontent.com/marcosmapl/dataset_imigrantes/main/materias_filtered/portal_amazonia/venezuelanos/2018/06_jul/txt/14927.25437_1574.txt", "TXT")</f>
        <v/>
      </c>
    </row>
    <row r="2114">
      <c r="A2114" s="1" t="n">
        <v>2112</v>
      </c>
      <c r="B2114" t="n">
        <v>2018</v>
      </c>
      <c r="C2114" s="2" t="n">
        <v>43286.48055555556</v>
      </c>
      <c r="D2114" t="inlineStr">
        <is>
          <t>PORTAL AMAZONIA</t>
        </is>
      </c>
      <c r="E2114" t="inlineStr">
        <is>
          <t>VENEZUELANOS</t>
        </is>
      </c>
      <c r="F2114" t="inlineStr">
        <is>
          <t>CIDADES</t>
        </is>
      </c>
      <c r="G2114" t="inlineStr">
        <is>
          <t>REDAÇÃO</t>
        </is>
      </c>
      <c r="H2114" t="inlineStr">
        <is>
          <t>EPIDEMIA DE SARAMPO AMEAÇA INDÍGENAS YANOMAMI DE RORAIMA E DA VENEZUELA</t>
        </is>
      </c>
      <c r="I2114" t="inlineStr">
        <is>
          <t>EPIDEMIA DE SARAMPO JÁ ATINGE INDÍGENAS YANOMAMI TANTO NO BRASIL QUANTO NA VENEZUELA.A ORGANIZAÇÃO SURVIVAL INTERNATIONAL TEM DENUNCIADO A SITUAÇÃO E ALERTA PARA O RISCO DE EXTERMÍNIO DE INDÍGENAS ISOLADOS.DE ACORDO COM A PESQUISADORA DA ENTIDADE, SA</t>
        </is>
      </c>
      <c r="J2114" t="inlineStr">
        <is>
          <t>EPIDEMIA, RORAIMA, SARAMPO, VENEZUELA, YANOMAMI</t>
        </is>
      </c>
      <c r="K2114" t="n">
        <v>5</v>
      </c>
      <c r="L2114" t="n">
        <v>1</v>
      </c>
      <c r="M2114" t="n">
        <v>0</v>
      </c>
      <c r="N2114" t="n">
        <v>0</v>
      </c>
      <c r="O2114" t="n">
        <v>10</v>
      </c>
      <c r="P2114">
        <f>HYPERLINK("https://portalamazonia.com/noticias/cidades/epidemia-de-sarampo-ameaca-indigenas-yanomami-de-roraima-e-da-venezuela", "URL")</f>
        <v/>
      </c>
      <c r="Q2114">
        <f>HYPERLINK("https://raw.githubusercontent.com/marcosmapl/dataset_imigrantes/main/materias_filtered/portal_amazonia/venezuelanos/2018/06_jul/html/14922.14922_1557.html", "HTML")</f>
        <v/>
      </c>
      <c r="R2114">
        <f>HYPERLINK("https://raw.githubusercontent.com/marcosmapl/dataset_imigrantes/main/materias_filtered/portal_amazonia/venezuelanos/2018/06_jul/txt/14922.14922_1557.txt", "TXT")</f>
        <v/>
      </c>
    </row>
    <row r="2115">
      <c r="A2115" s="1" t="n">
        <v>2113</v>
      </c>
      <c r="B2115" t="n">
        <v>2018</v>
      </c>
      <c r="C2115" s="2" t="n">
        <v>43286.03656895833</v>
      </c>
      <c r="D2115" t="inlineStr">
        <is>
          <t>G1</t>
        </is>
      </c>
      <c r="E2115" t="inlineStr">
        <is>
          <t>HAITIANOS</t>
        </is>
      </c>
      <c r="F2115" t="inlineStr">
        <is>
          <t>SANTA CATARINA</t>
        </is>
      </c>
      <c r="G2115" t="inlineStr">
        <is>
          <t>NSC TV</t>
        </is>
      </c>
      <c r="H2115" t="inlineStr">
        <is>
          <t>FOGO EM EMPRESA DE ITAJAÍ COMEÇOU EM ÁREA QUE DEVERIA ESTAR DESATIVADA, DIZ FUNDAÇÃO DE MEIO AMBIENTE</t>
        </is>
      </c>
      <c r="I2115" t="inlineStr">
        <is>
          <t>EM 2016, DOIS HAITIANOS FORAM ATINGIDOS POR EXPLOSÃO NO LOCAL. UM DELES MORREU.</t>
        </is>
      </c>
      <c r="J2115" t="inlineStr"/>
      <c r="K2115" t="n">
        <v>0</v>
      </c>
      <c r="L2115" t="n">
        <v>1</v>
      </c>
      <c r="M2115" t="n">
        <v>1</v>
      </c>
      <c r="N2115" t="n">
        <v>0</v>
      </c>
      <c r="O2115" t="n">
        <v>2</v>
      </c>
      <c r="P2115">
        <f>HYPERLINK("https://g1.globo.com/sc/santa-catarina/noticia/fogo-em-empresa-de-itajai-comecou-em-area-que-deveria-estar-desativada-diz-fundacao-de-meio-ambiente.ghtml", "URL")</f>
        <v/>
      </c>
      <c r="Q2115">
        <f>HYPERLINK("https://raw.githubusercontent.com/marcosmapl/dataset_imigrantes/main/materias_filtered/g1/haitianos/2018/06_jul/html/g1_afcfbe66-2326-11ed-b24f-6dbe51e79fca_3992.html", "HTML")</f>
        <v/>
      </c>
      <c r="R2115">
        <f>HYPERLINK("https://raw.githubusercontent.com/marcosmapl/dataset_imigrantes/main/materias_filtered/g1/haitianos/2018/06_jul/txt/g1_afcfbe66-2326-11ed-b24f-6dbe51e79fca_3992.txt", "TXT")</f>
        <v/>
      </c>
    </row>
    <row r="2116">
      <c r="A2116" s="1" t="n">
        <v>2114</v>
      </c>
      <c r="B2116" t="n">
        <v>2018</v>
      </c>
      <c r="C2116" s="2" t="n">
        <v>43285.88402777778</v>
      </c>
      <c r="D2116" t="inlineStr">
        <is>
          <t>A CRITICA</t>
        </is>
      </c>
      <c r="E2116" t="inlineStr">
        <is>
          <t>VENEZUELANOS</t>
        </is>
      </c>
      <c r="F2116" t="inlineStr">
        <is>
          <t>MANAUS</t>
        </is>
      </c>
      <c r="G2116" t="inlineStr">
        <is>
          <t>ISABELLA PINA</t>
        </is>
      </c>
      <c r="H2116" t="inlineStr">
        <is>
          <t>FOME, SAUDADE E ESPERANÇA: POR VIDA MELHOR, VENEZUELANOS HABITAM SEMÁFORO DE MANAUS</t>
        </is>
      </c>
      <c r="I2116" t="inlineStr">
        <is>
          <t>GRUPO DE IMIGRANTES OSTENTAM CARTAZES COM PEDIDOS DE EMPREGO E AJUDA FINANCEIRA PARA SUSTENTO. DE CRIANÇAS A IDOSOS, A LUTA SE REPETE EM DISCURSOS SOFRIDOS SOB O SOL DA CAPITAL. GRUPO VAI, TODOS OS DIAS, À RUA</t>
        </is>
      </c>
      <c r="J2116" t="inlineStr"/>
      <c r="K2116" t="n">
        <v>0</v>
      </c>
      <c r="L2116" t="n">
        <v>1</v>
      </c>
      <c r="M2116" t="n">
        <v>0</v>
      </c>
      <c r="N2116" t="n">
        <v>0</v>
      </c>
      <c r="O2116" t="n">
        <v>0</v>
      </c>
      <c r="P2116">
        <f>HYPERLINK("https://www.acritica.com/manaus/fome-saudade-e-esperanca-por-vida-melhor-venezuelanos-habitam-semaforo-de-manaus-1.192025", "URL")</f>
        <v/>
      </c>
      <c r="Q2116">
        <f>HYPERLINK("https://raw.githubusercontent.com/marcosmapl/dataset_imigrantes/main/materias_filtered/a_critica/venezuelanos/2018/06_jul/html/1.192025_206.html", "HTML")</f>
        <v/>
      </c>
      <c r="R2116">
        <f>HYPERLINK("https://raw.githubusercontent.com/marcosmapl/dataset_imigrantes/main/materias_filtered/a_critica/venezuelanos/2018/06_jul/txt/1.192025_206.txt", "TXT")</f>
        <v/>
      </c>
    </row>
    <row r="2117">
      <c r="A2117" s="1" t="n">
        <v>2115</v>
      </c>
      <c r="B2117" t="n">
        <v>2018</v>
      </c>
      <c r="C2117" s="2" t="n">
        <v>43285.69390428241</v>
      </c>
      <c r="D2117" t="inlineStr">
        <is>
          <t>G1</t>
        </is>
      </c>
      <c r="E2117" t="inlineStr">
        <is>
          <t>HAITIANOS</t>
        </is>
      </c>
      <c r="F2117" t="inlineStr">
        <is>
          <t>SANTA CATARINA</t>
        </is>
      </c>
      <c r="G2117" t="inlineStr">
        <is>
          <t>G1 SC</t>
        </is>
      </c>
      <c r="H2117" t="inlineStr">
        <is>
          <t>FÁBRICA QUE PEGOU FOGO EM SC TEVE EXPLOSÃO EM 2016 QUE DEIXOU UM HAITIANO MORTO E OUTRO COM 90% DO CORPO QUEIMADO</t>
        </is>
      </c>
      <c r="I2117" t="inlineStr">
        <is>
          <t>EMPRESA EM ITAJAÍ FICARÁ INTERDITADA NESTA QUARTA-FEIRA (4) PARA PERÍCIA. EM JANEIRO DESTE ANO, VAZAMENTO DE GÁS TAMBÉM INTERDITOU LOCAL PROVISORIAMENTE.</t>
        </is>
      </c>
      <c r="J2117" t="inlineStr"/>
      <c r="K2117" t="n">
        <v>0</v>
      </c>
      <c r="L2117" t="n">
        <v>1</v>
      </c>
      <c r="M2117" t="n">
        <v>1</v>
      </c>
      <c r="N2117" t="n">
        <v>0</v>
      </c>
      <c r="O2117" t="n">
        <v>4</v>
      </c>
      <c r="P2117">
        <f>HYPERLINK("https://g1.globo.com/sc/santa-catarina/noticia/fabrica-que-pegou-fogo-em-sc-teve-explosao-em-2016-que-deixou-um-haitiano-morto-e-outro-com-90-do-corpo-queimado.ghtml", "URL")</f>
        <v/>
      </c>
      <c r="Q2117">
        <f>HYPERLINK("https://raw.githubusercontent.com/marcosmapl/dataset_imigrantes/main/materias_filtered/g1/haitianos/2018/06_jul/html/g1_df0502c0-22f6-11ed-b24f-6dbe51e79fca_2044.html", "HTML")</f>
        <v/>
      </c>
      <c r="R2117">
        <f>HYPERLINK("https://raw.githubusercontent.com/marcosmapl/dataset_imigrantes/main/materias_filtered/g1/haitianos/2018/06_jul/txt/g1_df0502c0-22f6-11ed-b24f-6dbe51e79fca_2044.txt", "TXT")</f>
        <v/>
      </c>
    </row>
    <row r="2118">
      <c r="A2118" s="1" t="n">
        <v>2116</v>
      </c>
      <c r="B2118" t="n">
        <v>2018</v>
      </c>
      <c r="C2118" s="2" t="n">
        <v>43285.59861111111</v>
      </c>
      <c r="D2118" t="inlineStr">
        <is>
          <t>A CRITICA</t>
        </is>
      </c>
      <c r="E2118" t="inlineStr">
        <is>
          <t>VENEZUELANOS</t>
        </is>
      </c>
      <c r="F2118" t="inlineStr">
        <is>
          <t>MANAUS</t>
        </is>
      </c>
      <c r="G2118" t="inlineStr">
        <is>
          <t>SILANE SOUZA</t>
        </is>
      </c>
      <c r="H2118" t="inlineStr">
        <is>
          <t>POLÍCIA INVESTIGA VENDA DE REMÉDIOS CLANDESTINOS NO CENTRO DE MANAUS</t>
        </is>
      </c>
      <c r="I2118" t="inlineStr">
        <is>
          <t>SEGUNDO A POLÍCIA, INFRATORES ESTÃO SENDO IDENTIFICADOS, AUTUADOS E INDICIADOS, E TENDO OS MEDICAMENTOS APREENDIDOS</t>
        </is>
      </c>
      <c r="J2118" t="inlineStr"/>
      <c r="K2118" t="n">
        <v>0</v>
      </c>
      <c r="L2118" t="n">
        <v>1</v>
      </c>
      <c r="M2118" t="n">
        <v>0</v>
      </c>
      <c r="N2118" t="n">
        <v>0</v>
      </c>
      <c r="O2118" t="n">
        <v>0</v>
      </c>
      <c r="P2118">
        <f>HYPERLINK("https://www.acritica.com/manaus/policia-investiga-venda-de-remedios-clandestinos-no-centro-de-manaus-1.192069", "URL")</f>
        <v/>
      </c>
      <c r="Q2118">
        <f>HYPERLINK("https://raw.githubusercontent.com/marcosmapl/dataset_imigrantes/main/materias_filtered/a_critica/venezuelanos/2018/06_jul/html/1.192069_1318.html", "HTML")</f>
        <v/>
      </c>
      <c r="R2118">
        <f>HYPERLINK("https://raw.githubusercontent.com/marcosmapl/dataset_imigrantes/main/materias_filtered/a_critica/venezuelanos/2018/06_jul/txt/1.192069_1318.txt", "TXT")</f>
        <v/>
      </c>
    </row>
    <row r="2119">
      <c r="A2119" s="1" t="n">
        <v>2117</v>
      </c>
      <c r="B2119" t="n">
        <v>2018</v>
      </c>
      <c r="C2119" s="2" t="n">
        <v>43285.49375</v>
      </c>
      <c r="D2119" t="inlineStr">
        <is>
          <t>PORTAL AMAZONIA</t>
        </is>
      </c>
      <c r="E2119" t="inlineStr">
        <is>
          <t>VENEZUELANOS</t>
        </is>
      </c>
      <c r="F2119" t="inlineStr">
        <is>
          <t>CIDADES</t>
        </is>
      </c>
      <c r="G2119" t="inlineStr">
        <is>
          <t>REDAÇÃO</t>
        </is>
      </c>
      <c r="H2119" t="inlineStr">
        <is>
          <t>MAIS 163 VENEZUELANOS SÃO TRANSFERIDOS DE RORAIMA PARA OUTROS ESTADOS</t>
        </is>
      </c>
      <c r="I2119" t="inlineStr">
        <is>
          <t>UM VOO DA FORÇA AÉREA BRASILEIRA (FAB) TRANSPORTOU, NESTA TERÇA-FEIRA (3), UM GRUPO DE 163 VENEZUELANOS QUE ESTAVAM EM BOA VISTA, CAPITAL DE RORAIMA, PARA OS ESTADOS DE PERNAMBUCO, DA PARAÍBA E DO RIO DE JANEIRO. DESTES, 69 SEGUIRAM PARA O MUNIC</t>
        </is>
      </c>
      <c r="J2119" t="inlineStr">
        <is>
          <t>IMIGRANTES VENEZUELANOS, RORAIMA, TRANSFERENCIA</t>
        </is>
      </c>
      <c r="K2119" t="n">
        <v>3</v>
      </c>
      <c r="L2119" t="n">
        <v>2</v>
      </c>
      <c r="M2119" t="n">
        <v>0</v>
      </c>
      <c r="N2119" t="n">
        <v>0</v>
      </c>
      <c r="O2119" t="n">
        <v>8</v>
      </c>
      <c r="P2119">
        <f>HYPERLINK("https://portalamazonia.com/noticias/cidades/mais-163-venezuelanos-sao-transferidos-de-roraima-para-outros-estados", "URL")</f>
        <v/>
      </c>
      <c r="Q2119">
        <f>HYPERLINK("https://raw.githubusercontent.com/marcosmapl/dataset_imigrantes/main/materias_filtered/portal_amazonia/venezuelanos/2018/06_jul/html/14892.14892_1472.html", "HTML")</f>
        <v/>
      </c>
      <c r="R2119">
        <f>HYPERLINK("https://raw.githubusercontent.com/marcosmapl/dataset_imigrantes/main/materias_filtered/portal_amazonia/venezuelanos/2018/06_jul/txt/14892.14892_1472.txt", "TXT")</f>
        <v/>
      </c>
    </row>
    <row r="2120">
      <c r="A2120" s="1" t="n">
        <v>2118</v>
      </c>
      <c r="B2120" t="n">
        <v>2018</v>
      </c>
      <c r="C2120" s="2" t="n">
        <v>43285.375</v>
      </c>
      <c r="D2120" t="inlineStr">
        <is>
          <t>A CRITICA</t>
        </is>
      </c>
      <c r="E2120" t="inlineStr">
        <is>
          <t>VENEZUELANOS</t>
        </is>
      </c>
      <c r="F2120" t="inlineStr">
        <is>
          <t>OPINIAO</t>
        </is>
      </c>
      <c r="G2120" t="inlineStr"/>
      <c r="H2120" t="inlineStr">
        <is>
          <t>UNIÃO CONTRA O SARAMPO</t>
        </is>
      </c>
      <c r="I2120" t="inlineStr"/>
      <c r="J2120" t="inlineStr"/>
      <c r="K2120" t="n">
        <v>0</v>
      </c>
      <c r="L2120" t="n">
        <v>1</v>
      </c>
      <c r="M2120" t="n">
        <v>0</v>
      </c>
      <c r="N2120" t="n">
        <v>0</v>
      </c>
      <c r="O2120" t="n">
        <v>0</v>
      </c>
      <c r="P2120">
        <f>HYPERLINK("https://www.acritica.com/opiniao/uni-o-contra-o-sarampo-1.230435", "URL")</f>
        <v/>
      </c>
      <c r="Q2120">
        <f>HYPERLINK("https://raw.githubusercontent.com/marcosmapl/dataset_imigrantes/main/materias_filtered/a_critica/venezuelanos/2018/06_jul/html/1.230435_63.html", "HTML")</f>
        <v/>
      </c>
      <c r="R2120">
        <f>HYPERLINK("https://raw.githubusercontent.com/marcosmapl/dataset_imigrantes/main/materias_filtered/a_critica/venezuelanos/2018/06_jul/txt/1.230435_63.txt", "TXT")</f>
        <v/>
      </c>
    </row>
    <row r="2121">
      <c r="A2121" s="1" t="n">
        <v>2119</v>
      </c>
      <c r="B2121" t="n">
        <v>2018</v>
      </c>
      <c r="C2121" s="2" t="n">
        <v>43285.01390631944</v>
      </c>
      <c r="D2121" t="inlineStr">
        <is>
          <t>G1</t>
        </is>
      </c>
      <c r="E2121" t="inlineStr">
        <is>
          <t>VENEZUELANOS</t>
        </is>
      </c>
      <c r="F2121" t="inlineStr">
        <is>
          <t>AMAZONAS</t>
        </is>
      </c>
      <c r="G2121" t="inlineStr">
        <is>
          <t>G1 AM</t>
        </is>
      </c>
      <c r="H2121" t="inlineStr">
        <is>
          <t>VENEZUELANO É DETIDO POR VENDA ILEGAL DE REMÉDIOS NO CENTRO DE MANAUS</t>
        </is>
      </c>
      <c r="I2121" t="inlineStr">
        <is>
          <t>DURANTE DEPOIMENTO, HOMEM DISSE QUE VENDIA OS MEDICAMENTOS POR NÃO TER OUTRA FONTE DE RENDA.</t>
        </is>
      </c>
      <c r="J2121" t="inlineStr"/>
      <c r="K2121" t="n">
        <v>0</v>
      </c>
      <c r="L2121" t="n">
        <v>1</v>
      </c>
      <c r="M2121" t="n">
        <v>0</v>
      </c>
      <c r="N2121" t="n">
        <v>0</v>
      </c>
      <c r="O2121" t="n">
        <v>0</v>
      </c>
      <c r="P2121">
        <f>HYPERLINK("https://g1.globo.com/am/amazonas/noticia/venezuelano-e-detido-por-venda-ilegal-de-remedios-no-centro-de-manaus.ghtml", "URL")</f>
        <v/>
      </c>
      <c r="Q2121">
        <f>HYPERLINK("https://raw.githubusercontent.com/marcosmapl/dataset_imigrantes/main/materias_filtered/g1/venezuelanos/2018/06_jul/html/g1_dd1c44dc-2323-11ed-b24f-6dbe51e79fca_3833.html", "HTML")</f>
        <v/>
      </c>
      <c r="R2121">
        <f>HYPERLINK("https://raw.githubusercontent.com/marcosmapl/dataset_imigrantes/main/materias_filtered/g1/venezuelanos/2018/06_jul/txt/g1_dd1c44dc-2323-11ed-b24f-6dbe51e79fca_3833.txt", "TXT")</f>
        <v/>
      </c>
    </row>
    <row r="2122">
      <c r="A2122" s="1" t="n">
        <v>2120</v>
      </c>
      <c r="B2122" t="n">
        <v>2018</v>
      </c>
      <c r="C2122" s="2" t="n">
        <v>43283.78611111111</v>
      </c>
      <c r="D2122" t="inlineStr">
        <is>
          <t>A CRITICA</t>
        </is>
      </c>
      <c r="E2122" t="inlineStr">
        <is>
          <t>VENEZUELANOS</t>
        </is>
      </c>
      <c r="F2122" t="inlineStr"/>
      <c r="G2122" t="inlineStr">
        <is>
          <t>ACRÍTICA.COM</t>
        </is>
      </c>
      <c r="H2122" t="inlineStr">
        <is>
          <t>NÚMERO DE CASOS CONFIRMADOS DE SARAMPO NO AMAZONAS JÁ SUPERA O DE RORAIMA</t>
        </is>
      </c>
      <c r="I2122" t="inlineStr">
        <is>
          <t>ESTADO ATINGIU A MARCA DE 263 REGISTROS CONTRA 200 DO ESTADO VIZINHO, ÁREA ONDE INICIOU O SURTO DA DOENÇA DEVIDO À CHEGADA DE IMIGRANTES VENEZUELANOS</t>
        </is>
      </c>
      <c r="J2122" t="inlineStr"/>
      <c r="K2122" t="n">
        <v>0</v>
      </c>
      <c r="L2122" t="n">
        <v>1</v>
      </c>
      <c r="M2122" t="n">
        <v>0</v>
      </c>
      <c r="N2122" t="n">
        <v>0</v>
      </c>
      <c r="O2122" t="n">
        <v>0</v>
      </c>
      <c r="P2122">
        <f>HYPERLINK("https://www.acritica.com/numero-de-casos-confirmados-de-sarampo-no-amazonas-ja-supera-o-de-roraima-1.191996", "URL")</f>
        <v/>
      </c>
      <c r="Q2122">
        <f>HYPERLINK("https://raw.githubusercontent.com/marcosmapl/dataset_imigrantes/main/materias_filtered/a_critica/venezuelanos/2018/06_jul/html/1.191996_1011.html", "HTML")</f>
        <v/>
      </c>
      <c r="R2122">
        <f>HYPERLINK("https://raw.githubusercontent.com/marcosmapl/dataset_imigrantes/main/materias_filtered/a_critica/venezuelanos/2018/06_jul/txt/1.191996_1011.txt", "TXT")</f>
        <v/>
      </c>
    </row>
    <row r="2123">
      <c r="A2123" s="1" t="n">
        <v>2121</v>
      </c>
      <c r="B2123" t="n">
        <v>2018</v>
      </c>
      <c r="C2123" s="2" t="n">
        <v>43279.9573153588</v>
      </c>
      <c r="D2123" t="inlineStr">
        <is>
          <t>G1</t>
        </is>
      </c>
      <c r="E2123" t="inlineStr">
        <is>
          <t>HAITIANOS</t>
        </is>
      </c>
      <c r="F2123" t="inlineStr">
        <is>
          <t>RIO DE JANEIRO</t>
        </is>
      </c>
      <c r="G2123" t="inlineStr">
        <is>
          <t>RJTV</t>
        </is>
      </c>
      <c r="H2123" t="inlineStr">
        <is>
          <t>HAITIANOS EM CONDIÇÕES ANÁLOGAS À ESCRAVIDÃO SÃO RESGATADOS EM JACAREPAGUÁ, RIO</t>
        </is>
      </c>
      <c r="I2123" t="inlineStr">
        <is>
          <t>OS QUATRO ESTRANGEIROS TRABALHAVAM NUM EMPREENDIMENTO ILEGAL. APARTAMENTOS INACABADOS ERAM VENDIDOS POR R$ 45 MIL.</t>
        </is>
      </c>
      <c r="J2123" t="inlineStr"/>
      <c r="K2123" t="n">
        <v>0</v>
      </c>
      <c r="L2123" t="n">
        <v>1</v>
      </c>
      <c r="M2123" t="n">
        <v>1</v>
      </c>
      <c r="N2123" t="n">
        <v>0</v>
      </c>
      <c r="O2123" t="n">
        <v>0</v>
      </c>
      <c r="P2123">
        <f>HYPERLINK("https://g1.globo.com/rj/rio-de-janeiro/noticia/haitianos-em-condicoes-analogas-a-escravidao-sao-resgatados-em-jacarepagua-rio.ghtml", "URL")</f>
        <v/>
      </c>
      <c r="Q2123">
        <f>HYPERLINK("https://raw.githubusercontent.com/marcosmapl/dataset_imigrantes/main/materias_filtered/g1/haitianos/2018/05_jun/html/g1_05f89114-22fa-11ed-b24f-6dbe51e79fca_2195.html", "HTML")</f>
        <v/>
      </c>
      <c r="R2123">
        <f>HYPERLINK("https://raw.githubusercontent.com/marcosmapl/dataset_imigrantes/main/materias_filtered/g1/haitianos/2018/05_jun/txt/g1_05f89114-22fa-11ed-b24f-6dbe51e79fca_2195.txt", "TXT")</f>
        <v/>
      </c>
    </row>
    <row r="2124">
      <c r="A2124" s="1" t="n">
        <v>2122</v>
      </c>
      <c r="B2124" t="n">
        <v>2018</v>
      </c>
      <c r="C2124" s="2" t="n">
        <v>43279.52569444444</v>
      </c>
      <c r="D2124" t="inlineStr">
        <is>
          <t>PORTAL AMAZONIA</t>
        </is>
      </c>
      <c r="E2124" t="inlineStr">
        <is>
          <t>VENEZUELANOS</t>
        </is>
      </c>
      <c r="F2124" t="inlineStr">
        <is>
          <t>CIDADES</t>
        </is>
      </c>
      <c r="G2124" t="inlineStr">
        <is>
          <t>REDAÇÃO</t>
        </is>
      </c>
      <c r="H2124" t="inlineStr">
        <is>
          <t>BOMBEIRAS DE RORAIMA AUXILIAM GESTANTE EM PARTO DURANTE VOO</t>
        </is>
      </c>
      <c r="I2124" t="inlineStr">
        <is>
          <t>HÁ 14 ANOS NO CORPO DE BOMBEIROS MILITAR DE RORAIMA (CBMRR), A TENENTE MONIC SOARES VIVEU NA MADRUGADA DESTA QUARTA-FEIRA (27), UMA EXPERIÊNCIA ÚNICA. ELA E A SUBTENENTE ODILENE MARQUES AJUDARAM A MÉDICA FABRÍCIA FREITAS NUM PARTO REALIZADO A 35 MIL</t>
        </is>
      </c>
      <c r="J2124" t="inlineStr">
        <is>
          <t>MANAUS, RORAIMA, TRABALHO PARTO AVIAO, VENEZUELANOS</t>
        </is>
      </c>
      <c r="K2124" t="n">
        <v>4</v>
      </c>
      <c r="L2124" t="n">
        <v>3</v>
      </c>
      <c r="M2124" t="n">
        <v>0</v>
      </c>
      <c r="N2124" t="n">
        <v>0</v>
      </c>
      <c r="O2124" t="n">
        <v>9</v>
      </c>
      <c r="P2124">
        <f>HYPERLINK("https://portalamazonia.com/noticias/cidades/bombeiras-de-roraima-auxiliam-gestante-em-parto-durante-voo", "URL")</f>
        <v/>
      </c>
      <c r="Q2124">
        <f>HYPERLINK("https://raw.githubusercontent.com/marcosmapl/dataset_imigrantes/main/materias_filtered/portal_amazonia/venezuelanos/2018/05_jun/html/14802.14802_1547.html", "HTML")</f>
        <v/>
      </c>
      <c r="R2124">
        <f>HYPERLINK("https://raw.githubusercontent.com/marcosmapl/dataset_imigrantes/main/materias_filtered/portal_amazonia/venezuelanos/2018/05_jun/txt/14802.14802_1547.txt", "TXT")</f>
        <v/>
      </c>
    </row>
    <row r="2125">
      <c r="A2125" s="1" t="n">
        <v>2123</v>
      </c>
      <c r="B2125" t="n">
        <v>2018</v>
      </c>
      <c r="C2125" s="2" t="n">
        <v>43279.48708333333</v>
      </c>
      <c r="D2125" t="inlineStr">
        <is>
          <t>A CRITICA</t>
        </is>
      </c>
      <c r="E2125" t="inlineStr">
        <is>
          <t>VENEZUELANOS</t>
        </is>
      </c>
      <c r="F2125" t="inlineStr">
        <is>
          <t>OPINIAO</t>
        </is>
      </c>
      <c r="G2125" t="inlineStr"/>
      <c r="H2125" t="inlineStr">
        <is>
          <t>A QUESTÃO DOS REFUGIADOS</t>
        </is>
      </c>
      <c r="I2125" t="inlineStr"/>
      <c r="J2125" t="inlineStr"/>
      <c r="K2125" t="n">
        <v>0</v>
      </c>
      <c r="L2125" t="n">
        <v>1</v>
      </c>
      <c r="M2125" t="n">
        <v>0</v>
      </c>
      <c r="N2125" t="n">
        <v>0</v>
      </c>
      <c r="O2125" t="n">
        <v>0</v>
      </c>
      <c r="P2125">
        <f>HYPERLINK("https://www.acritica.com/opiniao/a-quest-o-dos-refugiados-1.230475", "URL")</f>
        <v/>
      </c>
      <c r="Q2125">
        <f>HYPERLINK("https://raw.githubusercontent.com/marcosmapl/dataset_imigrantes/main/materias_filtered/a_critica/venezuelanos/2018/05_jun/html/1.230475_877.html", "HTML")</f>
        <v/>
      </c>
      <c r="R2125">
        <f>HYPERLINK("https://raw.githubusercontent.com/marcosmapl/dataset_imigrantes/main/materias_filtered/a_critica/venezuelanos/2018/05_jun/txt/1.230475_877.txt", "TXT")</f>
        <v/>
      </c>
    </row>
    <row r="2126">
      <c r="A2126" s="1" t="n">
        <v>2124</v>
      </c>
      <c r="B2126" t="n">
        <v>2018</v>
      </c>
      <c r="C2126" s="2" t="n">
        <v>43279.375</v>
      </c>
      <c r="D2126" t="inlineStr">
        <is>
          <t>A CRITICA</t>
        </is>
      </c>
      <c r="E2126" t="inlineStr">
        <is>
          <t>VENEZUELANOS</t>
        </is>
      </c>
      <c r="F2126" t="inlineStr"/>
      <c r="G2126" t="inlineStr"/>
      <c r="H2126" t="inlineStr">
        <is>
          <t>FATOR ‘BETINHA’ COMPROMETE ATÉ DIPLOMACIA</t>
        </is>
      </c>
      <c r="I2126" t="inlineStr"/>
      <c r="J2126" t="inlineStr"/>
      <c r="K2126" t="n">
        <v>0</v>
      </c>
      <c r="L2126" t="n">
        <v>1</v>
      </c>
      <c r="M2126" t="n">
        <v>0</v>
      </c>
      <c r="N2126" t="n">
        <v>0</v>
      </c>
      <c r="O2126" t="n">
        <v>0</v>
      </c>
      <c r="P2126">
        <f>HYPERLINK("https://www.acritica.com/fator-betinha-compromete-ate-diplomacia-1.230481", "URL")</f>
        <v/>
      </c>
      <c r="Q2126">
        <f>HYPERLINK("https://raw.githubusercontent.com/marcosmapl/dataset_imigrantes/main/materias_filtered/a_critica/venezuelanos/2018/05_jun/html/1.230481_685.html", "HTML")</f>
        <v/>
      </c>
      <c r="R2126">
        <f>HYPERLINK("https://raw.githubusercontent.com/marcosmapl/dataset_imigrantes/main/materias_filtered/a_critica/venezuelanos/2018/05_jun/txt/1.230481_685.txt", "TXT")</f>
        <v/>
      </c>
    </row>
    <row r="2127">
      <c r="A2127" s="1" t="n">
        <v>2125</v>
      </c>
      <c r="B2127" t="n">
        <v>2018</v>
      </c>
      <c r="C2127" s="2" t="n">
        <v>43278.84791666667</v>
      </c>
      <c r="D2127" t="inlineStr">
        <is>
          <t>PORTAL AMAZONIA</t>
        </is>
      </c>
      <c r="E2127" t="inlineStr">
        <is>
          <t>VENEZUELANOS</t>
        </is>
      </c>
      <c r="F2127" t="inlineStr">
        <is>
          <t>CIDADES</t>
        </is>
      </c>
      <c r="G2127" t="inlineStr">
        <is>
          <t>REDAÇÃO</t>
        </is>
      </c>
      <c r="H2127" t="inlineStr">
        <is>
          <t>EM MANAUS, VICE-PRESIDENTE DOS EUA CRITICA MADURO E DEFENDE LIBERDADE</t>
        </is>
      </c>
      <c r="I2127" t="inlineStr">
        <is>
          <t>DURANTE VISITA A MANAUS PARA FORTALECER OS LAÇOS COM OS PAÍSES QUE ENFRENTAM UM NÚMERO CRESCENTE DE REFUGIADOS QUE FOGEM DA CRISE NA VENEZUELA, NA MANHÃ DESTA QUARTA-FEIRA (27), O VICE-PRESIDENTE DOS ESTADOS UNIDOS, MIKE PENCE, CRITICOU A CRISE NO</t>
        </is>
      </c>
      <c r="J2127" t="inlineStr">
        <is>
          <t>ABRIGOS VENEZUELANOS, IMIGRANTES VENEZUELANOS, MANAUS, MIKE PENCE VICE PRESIDENTE ESTADOS UNIDOS, NICOLÃ¡S MADURO, VENEZUELA, VENEZUELANOS</t>
        </is>
      </c>
      <c r="K2127" t="n">
        <v>7</v>
      </c>
      <c r="L2127" t="n">
        <v>4</v>
      </c>
      <c r="M2127" t="n">
        <v>0</v>
      </c>
      <c r="N2127" t="n">
        <v>0</v>
      </c>
      <c r="O2127" t="n">
        <v>12</v>
      </c>
      <c r="P2127">
        <f>HYPERLINK("https://portalamazonia.com/noticias/cidades/em-manaus-vice-presidente-dos-eua-critica-maduro-e-defende-liberdade", "URL")</f>
        <v/>
      </c>
      <c r="Q2127">
        <f>HYPERLINK("https://raw.githubusercontent.com/marcosmapl/dataset_imigrantes/main/materias_filtered/portal_amazonia/venezuelanos/2018/05_jun/html/14792.14792_1570.html", "HTML")</f>
        <v/>
      </c>
      <c r="R2127">
        <f>HYPERLINK("https://raw.githubusercontent.com/marcosmapl/dataset_imigrantes/main/materias_filtered/portal_amazonia/venezuelanos/2018/05_jun/txt/14792.14792_1570.txt", "TXT")</f>
        <v/>
      </c>
    </row>
    <row r="2128">
      <c r="A2128" s="1" t="n">
        <v>2126</v>
      </c>
      <c r="B2128" t="n">
        <v>2018</v>
      </c>
      <c r="C2128" s="2" t="n">
        <v>43278.72777777778</v>
      </c>
      <c r="D2128" t="inlineStr">
        <is>
          <t>A CRITICA</t>
        </is>
      </c>
      <c r="E2128" t="inlineStr">
        <is>
          <t>VENEZUELANOS</t>
        </is>
      </c>
      <c r="F2128" t="inlineStr">
        <is>
          <t>MANAUS</t>
        </is>
      </c>
      <c r="G2128" t="inlineStr">
        <is>
          <t>ALIK MENEZES</t>
        </is>
      </c>
      <c r="H2128" t="inlineStr">
        <is>
          <t>VICE-PRESIDENTE DOS EUA SE SOLIDARIZA COM CRIANÇAS IMIGRANTES EM ABRIGO DE MANAUS</t>
        </is>
      </c>
      <c r="I2128" t="inlineStr">
        <is>
          <t>REPRESENTANTE DO GOVERNO NORTE-AMERICANO, CRITICADO PELA POLÍTICA DE “TOLERÂNCIA ZERO” DE IMIGRAÇÃO NA FRONTEIRA COM O MÉXICO, PROMETEU US$ 1 MILHÃO PARA VENEZUELANOS ACOLHIDOS NO BRASIL</t>
        </is>
      </c>
      <c r="J2128" t="inlineStr"/>
      <c r="K2128" t="n">
        <v>0</v>
      </c>
      <c r="L2128" t="n">
        <v>1</v>
      </c>
      <c r="M2128" t="n">
        <v>0</v>
      </c>
      <c r="N2128" t="n">
        <v>0</v>
      </c>
      <c r="O2128" t="n">
        <v>2</v>
      </c>
      <c r="P2128">
        <f>HYPERLINK("https://www.acritica.com/manaus/vice-presidente-dos-eua-se-solidariza-com-criancas-imigrantes-em-abrigo-de-manaus-1.189975", "URL")</f>
        <v/>
      </c>
      <c r="Q2128">
        <f>HYPERLINK("https://raw.githubusercontent.com/marcosmapl/dataset_imigrantes/main/materias_filtered/a_critica/venezuelanos/2018/05_jun/html/1.189975_19.html", "HTML")</f>
        <v/>
      </c>
      <c r="R2128">
        <f>HYPERLINK("https://raw.githubusercontent.com/marcosmapl/dataset_imigrantes/main/materias_filtered/a_critica/venezuelanos/2018/05_jun/txt/1.189975_19.txt", "TXT")</f>
        <v/>
      </c>
    </row>
    <row r="2129">
      <c r="A2129" s="1" t="n">
        <v>2127</v>
      </c>
      <c r="B2129" t="n">
        <v>2018</v>
      </c>
      <c r="C2129" s="2" t="n">
        <v>43278.63958333333</v>
      </c>
      <c r="D2129" t="inlineStr">
        <is>
          <t>PORTAL AMAZONIA</t>
        </is>
      </c>
      <c r="E2129" t="inlineStr">
        <is>
          <t>VENEZUELANOS</t>
        </is>
      </c>
      <c r="F2129" t="inlineStr">
        <is>
          <t>CIDADES</t>
        </is>
      </c>
      <c r="G2129" t="inlineStr">
        <is>
          <t>REDAÇÃO</t>
        </is>
      </c>
      <c r="H2129" t="inlineStr">
        <is>
          <t>PENCE DESEMBARCA EM MANAUS E SEGUE PARA VISITA À ABRIGO DE IMIGRANTES VENEZUELANOS</t>
        </is>
      </c>
      <c r="I2129" t="inlineStr">
        <is>
          <t>DESEMBARCOU NA MANHÃ DESTA QUARTA-FEIRA (27) EM MANAUS, O VICE-PRESIDENTE DOS ESTADOS UNIDOS, MIKE PENCE E A SEGUNDA-DAMA, KAREN PENCE. NA AGENDA, PENCE E A ESPOSA FARÃO UMA VISITA AO ABRIGO DE IMIGRANTES VENEZUELANOS, ALÉM DE UM SOBREVOO PELO POLO I</t>
        </is>
      </c>
      <c r="J2129" t="inlineStr">
        <is>
          <t>ABRIGOS VENEZUELANOS, MANAUS, MIKE PENCE VICE PRESIDENTE ESTADOS UNIDOS</t>
        </is>
      </c>
      <c r="K2129" t="n">
        <v>3</v>
      </c>
      <c r="L2129" t="n">
        <v>3</v>
      </c>
      <c r="M2129" t="n">
        <v>0</v>
      </c>
      <c r="N2129" t="n">
        <v>0</v>
      </c>
      <c r="O2129" t="n">
        <v>8</v>
      </c>
      <c r="P2129">
        <f>HYPERLINK("https://portalamazonia.com/noticias/cidades/pence-desembarca-em-manaus-e-segue-para-visita-a-abrigo-de-imigrantes-venezuelanos", "URL")</f>
        <v/>
      </c>
      <c r="Q2129">
        <f>HYPERLINK("https://raw.githubusercontent.com/marcosmapl/dataset_imigrantes/main/materias_filtered/portal_amazonia/venezuelanos/2018/05_jun/html/14787.14787_1610.html", "HTML")</f>
        <v/>
      </c>
      <c r="R2129">
        <f>HYPERLINK("https://raw.githubusercontent.com/marcosmapl/dataset_imigrantes/main/materias_filtered/portal_amazonia/venezuelanos/2018/05_jun/txt/14787.14787_1610.txt", "TXT")</f>
        <v/>
      </c>
    </row>
    <row r="2130">
      <c r="A2130" s="1" t="n">
        <v>2128</v>
      </c>
      <c r="B2130" t="n">
        <v>2018</v>
      </c>
      <c r="C2130" s="2" t="n">
        <v>43278.61180555556</v>
      </c>
      <c r="D2130" t="inlineStr">
        <is>
          <t>A CRITICA</t>
        </is>
      </c>
      <c r="E2130" t="inlineStr">
        <is>
          <t>VENEZUELANOS</t>
        </is>
      </c>
      <c r="F2130" t="inlineStr">
        <is>
          <t>MANAUS</t>
        </is>
      </c>
      <c r="G2130" t="inlineStr">
        <is>
          <t>ACRÍTICA.COM</t>
        </is>
      </c>
      <c r="H2130" t="inlineStr">
        <is>
          <t>VICE-PRESIDENTE DOS EUA DESEMBARCA EM MANAUS PARA VISITAR ABRIGO DE VENEZUELANOS</t>
        </is>
      </c>
      <c r="I2130" t="inlineStr">
        <is>
          <t>MIKE PENCE CHEGOU AO AEROPORTO EDUARDO GOMES ÀS 10H25. UM ESQUEMA ESPECIAL DE SEGURANÇA FOI MONTADO PARA RECEBER O POLÍTICO NA CAPITAL AMAZONENSE</t>
        </is>
      </c>
      <c r="J2130" t="inlineStr"/>
      <c r="K2130" t="n">
        <v>0</v>
      </c>
      <c r="L2130" t="n">
        <v>1</v>
      </c>
      <c r="M2130" t="n">
        <v>0</v>
      </c>
      <c r="N2130" t="n">
        <v>0</v>
      </c>
      <c r="O2130" t="n">
        <v>1</v>
      </c>
      <c r="P2130">
        <f>HYPERLINK("https://www.acritica.com/manaus/vice-presidente-dos-eua-desembarca-em-manaus-para-visitar-abrigo-de-venezuelanos-1.189777", "URL")</f>
        <v/>
      </c>
      <c r="Q2130">
        <f>HYPERLINK("https://raw.githubusercontent.com/marcosmapl/dataset_imigrantes/main/materias_filtered/a_critica/venezuelanos/2018/05_jun/html/1.189777_976.html", "HTML")</f>
        <v/>
      </c>
      <c r="R2130">
        <f>HYPERLINK("https://raw.githubusercontent.com/marcosmapl/dataset_imigrantes/main/materias_filtered/a_critica/venezuelanos/2018/05_jun/txt/1.189777_976.txt", "TXT")</f>
        <v/>
      </c>
    </row>
    <row r="2131">
      <c r="A2131" s="1" t="n">
        <v>2129</v>
      </c>
      <c r="B2131" t="n">
        <v>2018</v>
      </c>
      <c r="C2131" s="2" t="n">
        <v>43278.53888888889</v>
      </c>
      <c r="D2131" t="inlineStr">
        <is>
          <t>A CRITICA</t>
        </is>
      </c>
      <c r="E2131" t="inlineStr">
        <is>
          <t>VENEZUELANOS</t>
        </is>
      </c>
      <c r="F2131" t="inlineStr">
        <is>
          <t>MANAUS</t>
        </is>
      </c>
      <c r="G2131" t="inlineStr">
        <is>
          <t>ALIK MENEZES</t>
        </is>
      </c>
      <c r="H2131" t="inlineStr">
        <is>
          <t>VISITA DO VICE-PRESIDENTE DOS EUA A ABRIGO DE VENEZUELANOS EM MANAUS ALTERA O TRÂNSITO</t>
        </is>
      </c>
      <c r="I2131" t="inlineStr">
        <is>
          <t>ESQUEMA ESPECIAL DE SEGURANÇA FOI MONTADO PARA RECEBER MIKE PENCE. MUDANÇAS OCORREM DESDE AEROPORTO ATÉ ABRIGO NO BAIRRO PETRÓPOLIS, ZONA SUL</t>
        </is>
      </c>
      <c r="J2131" t="inlineStr"/>
      <c r="K2131" t="n">
        <v>0</v>
      </c>
      <c r="L2131" t="n">
        <v>1</v>
      </c>
      <c r="M2131" t="n">
        <v>0</v>
      </c>
      <c r="N2131" t="n">
        <v>0</v>
      </c>
      <c r="O2131" t="n">
        <v>1</v>
      </c>
      <c r="P2131">
        <f>HYPERLINK("https://www.acritica.com/manaus/visita-do-vice-presidente-dos-eua-a-abrigo-de-venezuelanos-em-manaus-altera-o-transito-1.189821", "URL")</f>
        <v/>
      </c>
      <c r="Q2131">
        <f>HYPERLINK("https://raw.githubusercontent.com/marcosmapl/dataset_imigrantes/main/materias_filtered/a_critica/venezuelanos/2018/05_jun/html/1.189821_1258.html", "HTML")</f>
        <v/>
      </c>
      <c r="R2131">
        <f>HYPERLINK("https://raw.githubusercontent.com/marcosmapl/dataset_imigrantes/main/materias_filtered/a_critica/venezuelanos/2018/05_jun/txt/1.189821_1258.txt", "TXT")</f>
        <v/>
      </c>
    </row>
    <row r="2132">
      <c r="A2132" s="1" t="n">
        <v>2130</v>
      </c>
      <c r="B2132" t="n">
        <v>2018</v>
      </c>
      <c r="C2132" s="2" t="n">
        <v>43278.4875</v>
      </c>
      <c r="D2132" t="inlineStr">
        <is>
          <t>PORTAL AMAZONIA</t>
        </is>
      </c>
      <c r="E2132" t="inlineStr">
        <is>
          <t>VENEZUELANOS</t>
        </is>
      </c>
      <c r="F2132" t="inlineStr">
        <is>
          <t>CIDADES</t>
        </is>
      </c>
      <c r="G2132" t="inlineStr">
        <is>
          <t>REDAÇÃO</t>
        </is>
      </c>
      <c r="H2132" t="inlineStr">
        <is>
          <t>PENCE VISITA HOJE EM MANAUS ABRIGO DE VENEZUELANOS</t>
        </is>
      </c>
      <c r="I2132" t="inlineStr">
        <is>
          <t>O VICE-PRESIDENTE DOS ESTADOS UNIDOS, MIKE PENCE, CHEGA A MANAUS NA MANHÃ DESTA QUARTA-FEIRA (27) PARA ACOMPANHAR A SITUAÇÃO DOS IMIGRANTES VENEZUELANOS. O PRIMEIRO COMPROMISSO É A VISITA À CASA DE ACOLHIDA SANTA CATARINA – CENTRO HUMANITÁRIO ADMINIS</t>
        </is>
      </c>
      <c r="J2132" t="inlineStr">
        <is>
          <t>ABRIGOS VENEZUELANOS, MANAUS, MIKE PENCE VICE PRESIDENTE ESTADOS UNIDOS</t>
        </is>
      </c>
      <c r="K2132" t="n">
        <v>3</v>
      </c>
      <c r="L2132" t="n">
        <v>2</v>
      </c>
      <c r="M2132" t="n">
        <v>0</v>
      </c>
      <c r="N2132" t="n">
        <v>0</v>
      </c>
      <c r="O2132" t="n">
        <v>8</v>
      </c>
      <c r="P2132">
        <f>HYPERLINK("https://portalamazonia.com/noticias/cidades/pence-visita-hoje-em-manaus-abrigo-de-venezuelanos", "URL")</f>
        <v/>
      </c>
      <c r="Q2132">
        <f>HYPERLINK("https://raw.githubusercontent.com/marcosmapl/dataset_imigrantes/main/materias_filtered/portal_amazonia/venezuelanos/2018/05_jun/html/14775.14775_1429.html", "HTML")</f>
        <v/>
      </c>
      <c r="R2132">
        <f>HYPERLINK("https://raw.githubusercontent.com/marcosmapl/dataset_imigrantes/main/materias_filtered/portal_amazonia/venezuelanos/2018/05_jun/txt/14775.14775_1429.txt", "TXT")</f>
        <v/>
      </c>
    </row>
    <row r="2133">
      <c r="A2133" s="1" t="n">
        <v>2131</v>
      </c>
      <c r="B2133" t="n">
        <v>2018</v>
      </c>
      <c r="C2133" s="2" t="n">
        <v>43277.69097222222</v>
      </c>
      <c r="D2133" t="inlineStr">
        <is>
          <t>PORTAL AMAZONIA</t>
        </is>
      </c>
      <c r="E2133" t="inlineStr">
        <is>
          <t>VENEZUELANOS</t>
        </is>
      </c>
      <c r="F2133" t="inlineStr">
        <is>
          <t>CIDADES</t>
        </is>
      </c>
      <c r="G2133" t="inlineStr">
        <is>
          <t>REDAÇÃO</t>
        </is>
      </c>
      <c r="H2133" t="inlineStr">
        <is>
          <t>IMIGRAÇÃO VENEZUELANA É TEMA DE ENCONTRO DE PENCE E TEMER</t>
        </is>
      </c>
      <c r="I2133" t="inlineStr">
        <is>
          <t>FOTO:REPRODUÇÃO/AGÊNCIA BRASILEM RÁPIDA CONVERSA NESTA TERÇA-FEIRA (26), NO PALÁCIO DO PLANALTO, O PRESIDENTE MICHEL TEMER E O VICE-PRESIDENTE NORTE-AMERICANO, MIKE PENCE, FALARAM SOBRE OS LAÇOS ENTRE BRASIL E ESTADOS UNIDOS. AO SE CUMPRIMENTAREM, O</t>
        </is>
      </c>
      <c r="J2133" t="inlineStr">
        <is>
          <t>IMIGRANTES, IMIGRANTES VENEZUELANOS, MICHEL TEMER, MIKE PENCE VICE PRESIDENTE ESTADOS UNIDOS, POLITICA, VENEZUELA</t>
        </is>
      </c>
      <c r="K2133" t="n">
        <v>6</v>
      </c>
      <c r="L2133" t="n">
        <v>2</v>
      </c>
      <c r="M2133" t="n">
        <v>0</v>
      </c>
      <c r="N2133" t="n">
        <v>0</v>
      </c>
      <c r="O2133" t="n">
        <v>11</v>
      </c>
      <c r="P2133">
        <f>HYPERLINK("https://portalamazonia.com/noticias/cidades/imigracao-venezuelana-e-tema-de-encontro-de-pence-e-temer", "URL")</f>
        <v/>
      </c>
      <c r="Q2133">
        <f>HYPERLINK("https://raw.githubusercontent.com/marcosmapl/dataset_imigrantes/main/materias_filtered/portal_amazonia/venezuelanos/2018/05_jun/html/14765.14765_1512.html", "HTML")</f>
        <v/>
      </c>
      <c r="R2133">
        <f>HYPERLINK("https://raw.githubusercontent.com/marcosmapl/dataset_imigrantes/main/materias_filtered/portal_amazonia/venezuelanos/2018/05_jun/txt/14765.14765_1512.txt", "TXT")</f>
        <v/>
      </c>
    </row>
    <row r="2134">
      <c r="A2134" s="1" t="n">
        <v>2132</v>
      </c>
      <c r="B2134" t="n">
        <v>2018</v>
      </c>
      <c r="C2134" s="2" t="n">
        <v>43277.49583333333</v>
      </c>
      <c r="D2134" t="inlineStr">
        <is>
          <t>A CRITICA</t>
        </is>
      </c>
      <c r="E2134" t="inlineStr">
        <is>
          <t>VENEZUELANOS</t>
        </is>
      </c>
      <c r="F2134" t="inlineStr">
        <is>
          <t>MANAUS</t>
        </is>
      </c>
      <c r="G2134" t="inlineStr">
        <is>
          <t>BIANCA PAIVA - AGÊNCIA BRASIL</t>
        </is>
      </c>
      <c r="H2134" t="inlineStr">
        <is>
          <t>VICE-PRESIDENTE DOS EUA VISITARÁ ABRIGO DE VENEZUELANOS EM MANAUS</t>
        </is>
      </c>
      <c r="I2134" t="inlineStr">
        <is>
          <t>CERCA DE 200 VENEZUELANOS VIVEM ATUALMENTE EM DOIS ABRIGOS NA CAPITAL AMAZONENSE. UM DESSES ESPAÇOS, NO BAIRRO COROADO, CHEGOU A RECEBER 300 ESTRANGEIROS</t>
        </is>
      </c>
      <c r="J2134" t="inlineStr"/>
      <c r="K2134" t="n">
        <v>0</v>
      </c>
      <c r="L2134" t="n">
        <v>1</v>
      </c>
      <c r="M2134" t="n">
        <v>0</v>
      </c>
      <c r="N2134" t="n">
        <v>0</v>
      </c>
      <c r="O2134" t="n">
        <v>0</v>
      </c>
      <c r="P2134">
        <f>HYPERLINK("https://www.acritica.com/manaus/vice-presidente-dos-eua-visitara-abrigo-de-venezuelanos-em-manaus-1.189569", "URL")</f>
        <v/>
      </c>
      <c r="Q2134">
        <f>HYPERLINK("https://raw.githubusercontent.com/marcosmapl/dataset_imigrantes/main/materias_filtered/a_critica/venezuelanos/2018/05_jun/html/1.189569_518.html", "HTML")</f>
        <v/>
      </c>
      <c r="R2134">
        <f>HYPERLINK("https://raw.githubusercontent.com/marcosmapl/dataset_imigrantes/main/materias_filtered/a_critica/venezuelanos/2018/05_jun/txt/1.189569_518.txt", "TXT")</f>
        <v/>
      </c>
    </row>
    <row r="2135">
      <c r="A2135" s="1" t="n">
        <v>2133</v>
      </c>
      <c r="B2135" t="n">
        <v>2018</v>
      </c>
      <c r="C2135" s="2" t="n">
        <v>43276.50572353009</v>
      </c>
      <c r="D2135" t="inlineStr">
        <is>
          <t>G1</t>
        </is>
      </c>
      <c r="E2135" t="inlineStr">
        <is>
          <t>VENEZUELANOS</t>
        </is>
      </c>
      <c r="F2135" t="inlineStr">
        <is>
          <t>MUNDO</t>
        </is>
      </c>
      <c r="G2135" t="inlineStr">
        <is>
          <t>G1</t>
        </is>
      </c>
      <c r="H2135" t="inlineStr">
        <is>
          <t>UNIÃO EUROPEIA ANUNCIA NOVAS SANÇÕES CONTRA 11 AUTORIDADES VENEZUELANAS, ENTRE ELAS A VICE DELCY RODRÍGUEZ</t>
        </is>
      </c>
      <c r="I2135" t="inlineStr">
        <is>
          <t>SANÇÕES SÃO APLICADAS EM PROTESTO À REELEIÇÃO DO PRESIDENTE NICOLÁS MADURO, EM MAIO.</t>
        </is>
      </c>
      <c r="J2135" t="inlineStr"/>
      <c r="K2135" t="n">
        <v>0</v>
      </c>
      <c r="L2135" t="n">
        <v>1</v>
      </c>
      <c r="M2135" t="n">
        <v>0</v>
      </c>
      <c r="N2135" t="n">
        <v>0</v>
      </c>
      <c r="O2135" t="n">
        <v>4</v>
      </c>
      <c r="P2135">
        <f>HYPERLINK("https://g1.globo.com/mundo/noticia/uniao-europeia-anuncia-novas-sancoes-contra-11-autoridades-venezuelanas.ghtml", "URL")</f>
        <v/>
      </c>
      <c r="Q2135">
        <f>HYPERLINK("https://raw.githubusercontent.com/marcosmapl/dataset_imigrantes/main/materias_filtered/g1/venezuelanos/2018/05_jun/html/g1_04c33be6-2309-11ed-b24f-6dbe51e79fca_2420.html", "HTML")</f>
        <v/>
      </c>
      <c r="R2135">
        <f>HYPERLINK("https://raw.githubusercontent.com/marcosmapl/dataset_imigrantes/main/materias_filtered/g1/venezuelanos/2018/05_jun/txt/g1_04c33be6-2309-11ed-b24f-6dbe51e79fca_2420.txt", "TXT")</f>
        <v/>
      </c>
    </row>
    <row r="2136">
      <c r="A2136" s="1" t="n">
        <v>2134</v>
      </c>
      <c r="B2136" t="n">
        <v>2018</v>
      </c>
      <c r="C2136" s="2" t="n">
        <v>43275.91459340278</v>
      </c>
      <c r="D2136" t="inlineStr">
        <is>
          <t>G1</t>
        </is>
      </c>
      <c r="E2136" t="inlineStr">
        <is>
          <t>VENEZUELANOS</t>
        </is>
      </c>
      <c r="F2136" t="inlineStr">
        <is>
          <t>RORAIMA</t>
        </is>
      </c>
      <c r="G2136" t="inlineStr">
        <is>
          <t>G1 RR — BOA VISTA</t>
        </is>
      </c>
      <c r="H2136" t="inlineStr">
        <is>
          <t>DUPLA SUSPEITA DE ASSALTAR VENEZUELANA É DETIDA COM REVÓLVER EM BOA VISTA</t>
        </is>
      </c>
      <c r="I2136" t="inlineStr">
        <is>
          <t>JOVEM E MENOR ESTAVAM EM MOTO QUANDO FORAM ABORDADOS POR POLICIAIS DO GIRO. DA VÍTIMA ELES ROUBARAM UM CELULAR.</t>
        </is>
      </c>
      <c r="J2136" t="inlineStr"/>
      <c r="K2136" t="n">
        <v>0</v>
      </c>
      <c r="L2136" t="n">
        <v>1</v>
      </c>
      <c r="M2136" t="n">
        <v>0</v>
      </c>
      <c r="N2136" t="n">
        <v>0</v>
      </c>
      <c r="O2136" t="n">
        <v>1</v>
      </c>
      <c r="P2136">
        <f>HYPERLINK("https://g1.globo.com/rr/roraima/noticia/dupla-suspeita-de-assaltar-venezuelana-e-detida-com-revolver-em-boa-vista.ghtml", "URL")</f>
        <v/>
      </c>
      <c r="Q2136">
        <f>HYPERLINK("https://raw.githubusercontent.com/marcosmapl/dataset_imigrantes/main/materias_filtered/g1/venezuelanos/2018/05_jun/html/g1_c388b852-230f-11ed-b24f-6dbe51e79fca_2817.html", "HTML")</f>
        <v/>
      </c>
      <c r="R2136">
        <f>HYPERLINK("https://raw.githubusercontent.com/marcosmapl/dataset_imigrantes/main/materias_filtered/g1/venezuelanos/2018/05_jun/txt/g1_c388b852-230f-11ed-b24f-6dbe51e79fca_2817.txt", "TXT")</f>
        <v/>
      </c>
    </row>
    <row r="2137">
      <c r="A2137" s="1" t="n">
        <v>2135</v>
      </c>
      <c r="B2137" t="n">
        <v>2018</v>
      </c>
      <c r="C2137" s="2" t="n">
        <v>43273.81819606481</v>
      </c>
      <c r="D2137" t="inlineStr">
        <is>
          <t>G1</t>
        </is>
      </c>
      <c r="E2137" t="inlineStr">
        <is>
          <t>HAITIANOS</t>
        </is>
      </c>
      <c r="F2137" t="inlineStr">
        <is>
          <t>MATO GROSSO</t>
        </is>
      </c>
      <c r="G2137" t="inlineStr">
        <is>
          <t>G1 MT</t>
        </is>
      </c>
      <c r="H2137" t="inlineStr">
        <is>
          <t>HAITIANOS SE CASAM EM CERIMÔNIA COMUNITÁRIA EM CUIABÁ DEPOIS DE 4 ANOS DE NAMORO À DISTÂNCIA</t>
        </is>
      </c>
      <c r="I2137" t="inlineStr">
        <is>
          <t>JOB SEJOUR, DE 26 ANOS, SE MUDOU PARA O BRASIL EM 2013 EM BUSCA DE TRABALHO E A NAMORADA ESCLALINEDA PIERRE, DE 23, CHEGOU EM AGOSTO DE 2017. ELA ESTÁ GRÁVIDA DE SETE MESES.</t>
        </is>
      </c>
      <c r="J2137" t="inlineStr"/>
      <c r="K2137" t="n">
        <v>0</v>
      </c>
      <c r="L2137" t="n">
        <v>3</v>
      </c>
      <c r="M2137" t="n">
        <v>0</v>
      </c>
      <c r="N2137" t="n">
        <v>0</v>
      </c>
      <c r="O2137" t="n">
        <v>0</v>
      </c>
      <c r="P2137">
        <f>HYPERLINK("https://g1.globo.com/mt/mato-grosso/noticia/haitianos-se-casam-em-cerimonia-comunitaria-em-cuiaba-depois-de-4-anos-de-namoro-a-distancia.ghtml", "URL")</f>
        <v/>
      </c>
      <c r="Q2137">
        <f>HYPERLINK("https://raw.githubusercontent.com/marcosmapl/dataset_imigrantes/main/materias_filtered/g1/haitianos/2018/05_jun/html/g1_f65f4d54-22f1-11ed-b24f-6dbe51e79fca_1773.html", "HTML")</f>
        <v/>
      </c>
      <c r="R2137">
        <f>HYPERLINK("https://raw.githubusercontent.com/marcosmapl/dataset_imigrantes/main/materias_filtered/g1/haitianos/2018/05_jun/txt/g1_f65f4d54-22f1-11ed-b24f-6dbe51e79fca_1773.txt", "TXT")</f>
        <v/>
      </c>
    </row>
    <row r="2138">
      <c r="A2138" s="1" t="n">
        <v>2136</v>
      </c>
      <c r="B2138" t="n">
        <v>2018</v>
      </c>
      <c r="C2138" s="2" t="n">
        <v>43272.84375</v>
      </c>
      <c r="D2138" t="inlineStr">
        <is>
          <t>PORTAL AMAZONIA</t>
        </is>
      </c>
      <c r="E2138" t="inlineStr">
        <is>
          <t>VENEZUELANOS</t>
        </is>
      </c>
      <c r="F2138" t="inlineStr">
        <is>
          <t>CIDADES</t>
        </is>
      </c>
      <c r="G2138" t="inlineStr">
        <is>
          <t>REDAÇÃO</t>
        </is>
      </c>
      <c r="H2138" t="inlineStr">
        <is>
          <t>EM BOA VISTA, TEMER SANCIONA LEI COM AÇÕES EMERGENCIAIS PARA IMIGRANTES</t>
        </is>
      </c>
      <c r="I2138" t="inlineStr">
        <is>
          <t>FOTO:DIVULGAÇÃO/PALÁCIO DO PLANALTOFOI SANCIONADA NESTA QUINTA-FEIRA (21) PELO PRESIDENTE MICHEL TEMER (MDB) A LEI QUE DEFINE AÇÕES DE ASSISTÊNCIA EMERGENCIAL A IMIGRANTES. A ASSINATURA ACONTECEU DURANTE VISITA PRESIDENC</t>
        </is>
      </c>
      <c r="J2138" t="inlineStr">
        <is>
          <t>AJUDA HUMANITARIA, ASSISTENCIA SOCIAL, BOA VISTA, IMIGRANTES VENEZUELANOS, MICHEL TEMER, RORAIMA, VENEZUELANOS</t>
        </is>
      </c>
      <c r="K2138" t="n">
        <v>7</v>
      </c>
      <c r="L2138" t="n">
        <v>2</v>
      </c>
      <c r="M2138" t="n">
        <v>0</v>
      </c>
      <c r="N2138" t="n">
        <v>0</v>
      </c>
      <c r="O2138" t="n">
        <v>12</v>
      </c>
      <c r="P2138">
        <f>HYPERLINK("https://portalamazonia.com/noticias/cidades/em-boa-vista-temer-sanciona-lei-com-acoes-emergenciais-para-imigrantes", "URL")</f>
        <v/>
      </c>
      <c r="Q2138">
        <f>HYPERLINK("https://raw.githubusercontent.com/marcosmapl/dataset_imigrantes/main/materias_filtered/portal_amazonia/venezuelanos/2018/05_jun/html/14698.14698_1447.html", "HTML")</f>
        <v/>
      </c>
      <c r="R2138">
        <f>HYPERLINK("https://raw.githubusercontent.com/marcosmapl/dataset_imigrantes/main/materias_filtered/portal_amazonia/venezuelanos/2018/05_jun/txt/14698.14698_1447.txt", "TXT")</f>
        <v/>
      </c>
    </row>
    <row r="2139">
      <c r="A2139" s="1" t="n">
        <v>2137</v>
      </c>
      <c r="B2139" t="n">
        <v>2018</v>
      </c>
      <c r="C2139" s="2" t="n">
        <v>43272.64166666667</v>
      </c>
      <c r="D2139" t="inlineStr">
        <is>
          <t>PORTAL AMAZONIA</t>
        </is>
      </c>
      <c r="E2139" t="inlineStr">
        <is>
          <t>VENEZUELANOS</t>
        </is>
      </c>
      <c r="F2139" t="inlineStr">
        <is>
          <t>CIDADES</t>
        </is>
      </c>
      <c r="G2139" t="inlineStr">
        <is>
          <t>REDAÇÃO</t>
        </is>
      </c>
      <c r="H2139" t="inlineStr">
        <is>
          <t>MICHEL TEMER DESEMBARCA EM RORAIMA E VISITA ABRIGOS A VENEZUELANOS</t>
        </is>
      </c>
      <c r="I2139" t="inlineStr">
        <is>
          <t>O PRESIDENTE MICHEL TEMER (MDB) JÁ ESTÁ EM RORAIMA, ONDE VAI CONHECER AS AÇÕES DA OPERAÇÃO ACOLHIDA, QUE OFERECE ATENDIMENTO A IMIGRANTES VENEZUELANOS QUE CHEGAM DIARIAMENTE AO ESTADO. DE ACORDO COM REPORTAGEM PUBLICADA PELO G1 RORAIMA, TEMER DESEMBA</t>
        </is>
      </c>
      <c r="J2139" t="inlineStr">
        <is>
          <t>BOA VISTA, IMIGRANTES VENEZUELANOS, INTERNACIONAL, MICHEL TEMER, RORAIMA</t>
        </is>
      </c>
      <c r="K2139" t="n">
        <v>5</v>
      </c>
      <c r="L2139" t="n">
        <v>2</v>
      </c>
      <c r="M2139" t="n">
        <v>0</v>
      </c>
      <c r="N2139" t="n">
        <v>0</v>
      </c>
      <c r="O2139" t="n">
        <v>10</v>
      </c>
      <c r="P2139">
        <f>HYPERLINK("https://portalamazonia.com/noticias/cidades/michel-temer-desembarca-em-roraima-e-visita-abrigos-a-venezuelanos", "URL")</f>
        <v/>
      </c>
      <c r="Q2139">
        <f>HYPERLINK("https://raw.githubusercontent.com/marcosmapl/dataset_imigrantes/main/materias_filtered/portal_amazonia/venezuelanos/2018/05_jun/html/14692.14692_1511.html", "HTML")</f>
        <v/>
      </c>
      <c r="R2139">
        <f>HYPERLINK("https://raw.githubusercontent.com/marcosmapl/dataset_imigrantes/main/materias_filtered/portal_amazonia/venezuelanos/2018/05_jun/txt/14692.14692_1511.txt", "TXT")</f>
        <v/>
      </c>
    </row>
    <row r="2140">
      <c r="A2140" s="1" t="n">
        <v>2138</v>
      </c>
      <c r="B2140" t="n">
        <v>2018</v>
      </c>
      <c r="C2140" s="2" t="n">
        <v>43272.53125</v>
      </c>
      <c r="D2140" t="inlineStr">
        <is>
          <t>PORTAL AMAZONIA</t>
        </is>
      </c>
      <c r="E2140" t="inlineStr">
        <is>
          <t>VENEZUELANOS</t>
        </is>
      </c>
      <c r="F2140" t="inlineStr">
        <is>
          <t>CIDADES</t>
        </is>
      </c>
      <c r="G2140" t="inlineStr">
        <is>
          <t>REDAÇÃO</t>
        </is>
      </c>
      <c r="H2140" t="inlineStr">
        <is>
          <t>TEMER VISITA EM RORAIMA ABRIGOS DE IMIGRANTES VENEZUELANOS</t>
        </is>
      </c>
      <c r="I2140" t="inlineStr">
        <is>
          <t>O PRESIDENTE MICHEL TEMER VIAJA NESTA QUINTA-FEIRA (21) PARA RORAIMA, ONDE VISITARÁ AS INSTALAÇÕES DE ACOLHIMENTO DOS IMIGRANTES VENEZUELANOS QUE CHEGAM AO BRASIL PELA FRONTEIRA COM O ESTADO. AS VISITAS A PACARAIMA E À CAPITAL, BOA VISTA, OCORREM QUA</t>
        </is>
      </c>
      <c r="J2140" t="inlineStr">
        <is>
          <t>IMIGRANTES, IMIGRANTES VENEZUELANOS, MICHEL TEMER, RORAIMA, VENEZUELA, VISITA</t>
        </is>
      </c>
      <c r="K2140" t="n">
        <v>6</v>
      </c>
      <c r="L2140" t="n">
        <v>2</v>
      </c>
      <c r="M2140" t="n">
        <v>0</v>
      </c>
      <c r="N2140" t="n">
        <v>0</v>
      </c>
      <c r="O2140" t="n">
        <v>11</v>
      </c>
      <c r="P2140">
        <f>HYPERLINK("https://portalamazonia.com/noticias/cidades/temer-visita-em-roraima-abrigos-de-imigrantes-venezuelanos", "URL")</f>
        <v/>
      </c>
      <c r="Q2140">
        <f>HYPERLINK("https://raw.githubusercontent.com/marcosmapl/dataset_imigrantes/main/materias_filtered/portal_amazonia/venezuelanos/2018/05_jun/html/14689.14689_1482.html", "HTML")</f>
        <v/>
      </c>
      <c r="R2140">
        <f>HYPERLINK("https://raw.githubusercontent.com/marcosmapl/dataset_imigrantes/main/materias_filtered/portal_amazonia/venezuelanos/2018/05_jun/txt/14689.14689_1482.txt", "TXT")</f>
        <v/>
      </c>
    </row>
    <row r="2141">
      <c r="A2141" s="1" t="n">
        <v>2139</v>
      </c>
      <c r="B2141" t="n">
        <v>2018</v>
      </c>
      <c r="C2141" s="2" t="n">
        <v>43272.375</v>
      </c>
      <c r="D2141" t="inlineStr">
        <is>
          <t>A CRITICA</t>
        </is>
      </c>
      <c r="E2141" t="inlineStr">
        <is>
          <t>VENEZUELANOS</t>
        </is>
      </c>
      <c r="F2141" t="inlineStr">
        <is>
          <t>MANAUS</t>
        </is>
      </c>
      <c r="G2141" t="inlineStr">
        <is>
          <t>ACRÍTICA.COM</t>
        </is>
      </c>
      <c r="H2141" t="inlineStr">
        <is>
          <t>VACINAÇÃO É A MELHOR FORMA DE PREVENIR DOENÇAS QUE JÁ TINHAM SIDO ERRADICADAS</t>
        </is>
      </c>
      <c r="I2141" t="inlineStr">
        <is>
          <t>APÓS SURTO DE SARAMPO E ALERTA DE RISCO DE POLIOMIELITE, SUSAM REFORÇA IMPORTÂNCIA DA IMUNIZAÇÃO, QUE TEVE QUEDA DE COBERTURA APÓS AS ERRADICAÇÕES</t>
        </is>
      </c>
      <c r="J2141" t="inlineStr"/>
      <c r="K2141" t="n">
        <v>0</v>
      </c>
      <c r="L2141" t="n">
        <v>1</v>
      </c>
      <c r="M2141" t="n">
        <v>0</v>
      </c>
      <c r="N2141" t="n">
        <v>0</v>
      </c>
      <c r="O2141" t="n">
        <v>0</v>
      </c>
      <c r="P2141">
        <f>HYPERLINK("https://www.acritica.com/manaus/vacinac-o-e-a-melhor-forma-de-prevenir-doencas-que-ja-tinham-sido-erradicadas-1.189039", "URL")</f>
        <v/>
      </c>
      <c r="Q2141">
        <f>HYPERLINK("https://raw.githubusercontent.com/marcosmapl/dataset_imigrantes/main/materias_filtered/a_critica/venezuelanos/2018/05_jun/html/1.189039_773.html", "HTML")</f>
        <v/>
      </c>
      <c r="R2141">
        <f>HYPERLINK("https://raw.githubusercontent.com/marcosmapl/dataset_imigrantes/main/materias_filtered/a_critica/venezuelanos/2018/05_jun/txt/1.189039_773.txt", "TXT")</f>
        <v/>
      </c>
    </row>
    <row r="2142">
      <c r="A2142" s="1" t="n">
        <v>2140</v>
      </c>
      <c r="B2142" t="n">
        <v>2018</v>
      </c>
      <c r="C2142" s="2" t="n">
        <v>43271.73729997685</v>
      </c>
      <c r="D2142" t="inlineStr">
        <is>
          <t>G1</t>
        </is>
      </c>
      <c r="E2142" t="inlineStr">
        <is>
          <t>HAITIANOS</t>
        </is>
      </c>
      <c r="F2142" t="inlineStr">
        <is>
          <t>CORUMBÁ E REGIÃO</t>
        </is>
      </c>
      <c r="G2142" t="inlineStr">
        <is>
          <t>TV MORENA</t>
        </is>
      </c>
      <c r="H2142" t="inlineStr">
        <is>
          <t>SITUAÇÃO DOS HAITIANOS EM MUNICÍPIO DE MS PREOCUPA DEFENSORIA PÚBLICA DA UNIÃO</t>
        </is>
      </c>
      <c r="I2142" t="inlineStr">
        <is>
          <t>SEGUNDO A PASTORAL DA MOBILIDADE HUMANA, PELO MENOS 200 IMIGRANTES HAITIANOS PASSARAM PELA CIDADE. HÁ 7 DIAS, ELES DORMEM EM LOCAL IMPROVISADO.</t>
        </is>
      </c>
      <c r="J2142" t="inlineStr"/>
      <c r="K2142" t="n">
        <v>0</v>
      </c>
      <c r="L2142" t="n">
        <v>2</v>
      </c>
      <c r="M2142" t="n">
        <v>1</v>
      </c>
      <c r="N2142" t="n">
        <v>0</v>
      </c>
      <c r="O2142" t="n">
        <v>0</v>
      </c>
      <c r="P2142">
        <f>HYPERLINK("https://g1.globo.com/ms/corumba-e-regiao/noticia/situacao-dos-haitianos-em-municipio-de-ms-preocupa-defensoria-publica-da-uniao.ghtml", "URL")</f>
        <v/>
      </c>
      <c r="Q2142">
        <f>HYPERLINK("https://raw.githubusercontent.com/marcosmapl/dataset_imigrantes/main/materias_filtered/g1/haitianos/2018/05_jun/html/g1_006e0032-22f8-11ed-b24f-6dbe51e79fca_2111.html", "HTML")</f>
        <v/>
      </c>
      <c r="R2142">
        <f>HYPERLINK("https://raw.githubusercontent.com/marcosmapl/dataset_imigrantes/main/materias_filtered/g1/haitianos/2018/05_jun/txt/g1_006e0032-22f8-11ed-b24f-6dbe51e79fca_2111.txt", "TXT")</f>
        <v/>
      </c>
    </row>
    <row r="2143">
      <c r="A2143" s="1" t="n">
        <v>2141</v>
      </c>
      <c r="B2143" t="n">
        <v>2018</v>
      </c>
      <c r="C2143" s="2" t="n">
        <v>43271.27986111111</v>
      </c>
      <c r="D2143" t="inlineStr">
        <is>
          <t>A CRITICA</t>
        </is>
      </c>
      <c r="E2143" t="inlineStr">
        <is>
          <t>VENEZUELANOS</t>
        </is>
      </c>
      <c r="F2143" t="inlineStr"/>
      <c r="G2143" t="inlineStr"/>
      <c r="H2143" t="inlineStr">
        <is>
          <t>EQUIPE JÁ PREPARA VISITA DE PENCE</t>
        </is>
      </c>
      <c r="I2143" t="inlineStr"/>
      <c r="J2143" t="inlineStr"/>
      <c r="K2143" t="n">
        <v>0</v>
      </c>
      <c r="L2143" t="n">
        <v>1</v>
      </c>
      <c r="M2143" t="n">
        <v>0</v>
      </c>
      <c r="N2143" t="n">
        <v>0</v>
      </c>
      <c r="O2143" t="n">
        <v>0</v>
      </c>
      <c r="P2143">
        <f>HYPERLINK("https://www.acritica.com/equipe-ja-prepara-visita-de-pence-1.230293", "URL")</f>
        <v/>
      </c>
      <c r="Q2143">
        <f>HYPERLINK("https://raw.githubusercontent.com/marcosmapl/dataset_imigrantes/main/materias_filtered/a_critica/venezuelanos/2018/05_jun/html/1.230293_12.html", "HTML")</f>
        <v/>
      </c>
      <c r="R2143">
        <f>HYPERLINK("https://raw.githubusercontent.com/marcosmapl/dataset_imigrantes/main/materias_filtered/a_critica/venezuelanos/2018/05_jun/txt/1.230293_12.txt", "TXT")</f>
        <v/>
      </c>
    </row>
    <row r="2144">
      <c r="A2144" s="1" t="n">
        <v>2142</v>
      </c>
      <c r="B2144" t="n">
        <v>2018</v>
      </c>
      <c r="C2144" s="2" t="n">
        <v>43270.84305555555</v>
      </c>
      <c r="D2144" t="inlineStr">
        <is>
          <t>A CRITICA</t>
        </is>
      </c>
      <c r="E2144" t="inlineStr">
        <is>
          <t>AMBOS</t>
        </is>
      </c>
      <c r="F2144" t="inlineStr"/>
      <c r="G2144" t="inlineStr">
        <is>
          <t>SILANE SOUZA</t>
        </is>
      </c>
      <c r="H2144" t="inlineStr">
        <is>
          <t>SEMANA DO MIGRANTE TEM PROGRAMAÇÃO ATÉ O PRÓXIMO DOMINGO (24) EM MANAUS</t>
        </is>
      </c>
      <c r="I2144" t="inlineStr">
        <is>
          <t>PROPONDO A INTEGRAÇÃO DE IMIGRANTES E REFUGIADOS, 33ª EDIÇÃO DA SEMANA CONTA COM MISSAS, DEBATES, RODA DE CONVERSAS, APRESENTAÇÃO DE FILMES, CURTA-METRAGEM E CELEBRAÇÕES INTERCULTURAIS</t>
        </is>
      </c>
      <c r="J2144" t="inlineStr"/>
      <c r="K2144" t="n">
        <v>0</v>
      </c>
      <c r="L2144" t="n">
        <v>1</v>
      </c>
      <c r="M2144" t="n">
        <v>0</v>
      </c>
      <c r="N2144" t="n">
        <v>0</v>
      </c>
      <c r="O2144" t="n">
        <v>0</v>
      </c>
      <c r="P2144">
        <f>HYPERLINK("https://www.acritica.com/semana-do-migrante-tem-programac-o-ate-o-proximo-domingo-24-em-manaus-1.88465", "URL")</f>
        <v/>
      </c>
      <c r="Q2144">
        <f>HYPERLINK("https://raw.githubusercontent.com/marcosmapl/dataset_imigrantes/main/materias_filtered/a_critica/ambos/2018/05_jun/html/1.88465_1319.html", "HTML")</f>
        <v/>
      </c>
      <c r="R2144">
        <f>HYPERLINK("https://raw.githubusercontent.com/marcosmapl/dataset_imigrantes/main/materias_filtered/a_critica/ambos/2018/05_jun/txt/1.88465_1319.txt", "TXT")</f>
        <v/>
      </c>
    </row>
    <row r="2145">
      <c r="A2145" s="1" t="n">
        <v>2143</v>
      </c>
      <c r="B2145" t="n">
        <v>2018</v>
      </c>
      <c r="C2145" s="2" t="n">
        <v>43270.81179398148</v>
      </c>
      <c r="D2145" t="inlineStr">
        <is>
          <t>A CRITICA</t>
        </is>
      </c>
      <c r="E2145" t="inlineStr">
        <is>
          <t>HAITIANOS</t>
        </is>
      </c>
      <c r="F2145" t="inlineStr">
        <is>
          <t>MANAUS</t>
        </is>
      </c>
      <c r="G2145" t="inlineStr">
        <is>
          <t>ACRÍTICA.COM</t>
        </is>
      </c>
      <c r="H2145" t="inlineStr">
        <is>
          <t>ESTUDANTES DA UNINORTE PROMOVEM MUTIRÃO SOLIDÁRIO EM 14 INSTITUIÇÕES FILANTRÓPICAS</t>
        </is>
      </c>
      <c r="I2145" t="inlineStr">
        <is>
          <t>OS UNIVERSITÁRIOS FIZERAM A PINTURA E ORGANIZAÇÃO DE ESPAÇOS, MONTARAM BRINQUEDOTECA E BIBLIOTECA INFANTIL, CRIARAM HORTA SUSTENTÁVEL, ENTRE OUTROS</t>
        </is>
      </c>
      <c r="J2145" t="inlineStr"/>
      <c r="K2145" t="n">
        <v>0</v>
      </c>
      <c r="L2145" t="n">
        <v>1</v>
      </c>
      <c r="M2145" t="n">
        <v>0</v>
      </c>
      <c r="N2145" t="n">
        <v>0</v>
      </c>
      <c r="O2145" t="n">
        <v>0</v>
      </c>
      <c r="P2145">
        <f>HYPERLINK("https://www.acritica.com/manaus/estudantes-da-uninorte-promovem-mutir-o-solidario-em-14-instituic-es-filantropicas-1.188856", "URL")</f>
        <v/>
      </c>
      <c r="Q2145">
        <f>HYPERLINK("https://raw.githubusercontent.com/marcosmapl/dataset_imigrantes/main/materias_filtered/a_critica/haitianos/2018/05_jun/html/1.188856_97.html", "HTML")</f>
        <v/>
      </c>
      <c r="R2145">
        <f>HYPERLINK("https://raw.githubusercontent.com/marcosmapl/dataset_imigrantes/main/materias_filtered/a_critica/haitianos/2018/05_jun/txt/1.188856_97.txt", "TXT")</f>
        <v/>
      </c>
    </row>
    <row r="2146">
      <c r="A2146" s="1" t="n">
        <v>2144</v>
      </c>
      <c r="B2146" t="n">
        <v>2018</v>
      </c>
      <c r="C2146" s="2" t="n">
        <v>43270.50416666667</v>
      </c>
      <c r="D2146" t="inlineStr">
        <is>
          <t>PORTAL AMAZONIA</t>
        </is>
      </c>
      <c r="E2146" t="inlineStr">
        <is>
          <t>VENEZUELANOS</t>
        </is>
      </c>
      <c r="F2146" t="inlineStr">
        <is>
          <t>CIDADES</t>
        </is>
      </c>
      <c r="G2146" t="inlineStr">
        <is>
          <t>REDAÇÃO</t>
        </is>
      </c>
      <c r="H2146" t="inlineStr">
        <is>
          <t>TEMER VAI A RORAIMA PARA VERIFICAR AÇÕES DE ACOLHIMENTO A VENEZUELANOS</t>
        </is>
      </c>
      <c r="I2146" t="inlineStr">
        <is>
          <t>O PRESIDENTE MICHEL TEMER VIAJA NA PRÓXIMA QUINTA-FEIRA (21) PARA BOA VISTA E PACARAIMA, EM RORAIMA, PARA ACOMPANHAR AS AÇÕES DE ACOLHIMENTO AOS IMIGRANTES VENEZUELANOS. ELE DEVERÁ IR A UM LOCAL DE TRIAGEM, A UM ABRIGO E A BATALHÕES DO EXÉRCITO. A PR</t>
        </is>
      </c>
      <c r="J2146" t="inlineStr">
        <is>
          <t>ABRIGOS VENEZUELANOS, MICHEL TEMER, RORAIMA</t>
        </is>
      </c>
      <c r="K2146" t="n">
        <v>3</v>
      </c>
      <c r="L2146" t="n">
        <v>1</v>
      </c>
      <c r="M2146" t="n">
        <v>0</v>
      </c>
      <c r="N2146" t="n">
        <v>0</v>
      </c>
      <c r="O2146" t="n">
        <v>8</v>
      </c>
      <c r="P2146">
        <f>HYPERLINK("https://portalamazonia.com/noticias/cidades/temer-vai-a-roraima-para-verificar-acoes-de-acolhimento-a-venezuelanos", "URL")</f>
        <v/>
      </c>
      <c r="Q2146">
        <f>HYPERLINK("https://raw.githubusercontent.com/marcosmapl/dataset_imigrantes/main/materias_filtered/portal_amazonia/venezuelanos/2018/05_jun/html/14639.14639_1403.html", "HTML")</f>
        <v/>
      </c>
      <c r="R2146">
        <f>HYPERLINK("https://raw.githubusercontent.com/marcosmapl/dataset_imigrantes/main/materias_filtered/portal_amazonia/venezuelanos/2018/05_jun/txt/14639.14639_1403.txt", "TXT")</f>
        <v/>
      </c>
    </row>
    <row r="2147">
      <c r="A2147" s="1" t="n">
        <v>2145</v>
      </c>
      <c r="B2147" t="n">
        <v>2018</v>
      </c>
      <c r="C2147" s="2" t="n">
        <v>43267.6819950463</v>
      </c>
      <c r="D2147" t="inlineStr">
        <is>
          <t>G1</t>
        </is>
      </c>
      <c r="E2147" t="inlineStr">
        <is>
          <t>VENEZUELANOS</t>
        </is>
      </c>
      <c r="F2147" t="inlineStr">
        <is>
          <t>RORAIMA</t>
        </is>
      </c>
      <c r="G2147" t="inlineStr">
        <is>
          <t>G1 RR</t>
        </is>
      </c>
      <c r="H2147" t="inlineStr">
        <is>
          <t>VOCÊ VIU? BIODIESEL COM TUCUMÃ DO IFRR, VENEZUELANO EVITA ASSALTO, BEBÊ MORRE EM REDE E MAIS</t>
        </is>
      </c>
      <c r="I2147" t="inlineStr">
        <is>
          <t>VEJA AS PRINCIPAIS REPORTAGENS PUBLICADAS PELO G1 RORAIMA ENTRE OS DIAS 9 A 15 DE JUNHO.</t>
        </is>
      </c>
      <c r="J2147" t="inlineStr"/>
      <c r="K2147" t="n">
        <v>0</v>
      </c>
      <c r="L2147" t="n">
        <v>2</v>
      </c>
      <c r="M2147" t="n">
        <v>0</v>
      </c>
      <c r="N2147" t="n">
        <v>0</v>
      </c>
      <c r="O2147" t="n">
        <v>20</v>
      </c>
      <c r="P2147">
        <f>HYPERLINK("https://g1.globo.com/rr/roraima/noticia/voce-viu-biodiesel-com-tucuma-do-ifrr-venezuelano-evita-assalto-bebe-morre-em-rede-e-mais.ghtml", "URL")</f>
        <v/>
      </c>
      <c r="Q2147">
        <f>HYPERLINK("https://raw.githubusercontent.com/marcosmapl/dataset_imigrantes/main/materias_filtered/g1/venezuelanos/2018/05_jun/html/g1_f13e7518-231c-11ed-b24f-6dbe51e79fca_3475.html", "HTML")</f>
        <v/>
      </c>
      <c r="R2147">
        <f>HYPERLINK("https://raw.githubusercontent.com/marcosmapl/dataset_imigrantes/main/materias_filtered/g1/venezuelanos/2018/05_jun/txt/g1_f13e7518-231c-11ed-b24f-6dbe51e79fca_3475.txt", "TXT")</f>
        <v/>
      </c>
    </row>
    <row r="2148">
      <c r="A2148" s="1" t="n">
        <v>2146</v>
      </c>
      <c r="B2148" t="n">
        <v>2018</v>
      </c>
      <c r="C2148" s="2" t="n">
        <v>43266.375</v>
      </c>
      <c r="D2148" t="inlineStr">
        <is>
          <t>A CRITICA</t>
        </is>
      </c>
      <c r="E2148" t="inlineStr">
        <is>
          <t>VENEZUELANOS</t>
        </is>
      </c>
      <c r="F2148" t="inlineStr">
        <is>
          <t>MANAUS</t>
        </is>
      </c>
      <c r="G2148" t="inlineStr">
        <is>
          <t>PAULO ANDRÉ NUNES</t>
        </is>
      </c>
      <c r="H2148" t="inlineStr">
        <is>
          <t>VACINAÇÃO CONTRA A POLIOMIELITE É ANTECIPADA NO AMAZONAS APÓS SURTO NA VENEZUELA</t>
        </is>
      </c>
      <c r="I2148" t="inlineStr">
        <is>
          <t>CAMPANHA DE IMUNIZAÇÃO ESTAVA MARCADA PARA AGOSTO, MAS VAI COMEÇAR EM JULHO. A POLIOMIELITE ESTÁ ERRADICADA EM TODO O BRASIL DESDE 1990</t>
        </is>
      </c>
      <c r="J2148" t="inlineStr"/>
      <c r="K2148" t="n">
        <v>0</v>
      </c>
      <c r="L2148" t="n">
        <v>1</v>
      </c>
      <c r="M2148" t="n">
        <v>0</v>
      </c>
      <c r="N2148" t="n">
        <v>0</v>
      </c>
      <c r="O2148" t="n">
        <v>1</v>
      </c>
      <c r="P2148">
        <f>HYPERLINK("https://www.acritica.com/manaus/vacinac-o-contra-a-poliomielite-e-antecipada-no-amazonas-apos-surto-na-venezuela-1.202241", "URL")</f>
        <v/>
      </c>
      <c r="Q2148">
        <f>HYPERLINK("https://raw.githubusercontent.com/marcosmapl/dataset_imigrantes/main/materias_filtered/a_critica/venezuelanos/2018/05_jun/html/1.202241_1112.html", "HTML")</f>
        <v/>
      </c>
      <c r="R2148">
        <f>HYPERLINK("https://raw.githubusercontent.com/marcosmapl/dataset_imigrantes/main/materias_filtered/a_critica/venezuelanos/2018/05_jun/txt/1.202241_1112.txt", "TXT")</f>
        <v/>
      </c>
    </row>
    <row r="2149">
      <c r="A2149" s="1" t="n">
        <v>2147</v>
      </c>
      <c r="B2149" t="n">
        <v>2018</v>
      </c>
      <c r="C2149" s="2" t="n">
        <v>43264.92211081018</v>
      </c>
      <c r="D2149" t="inlineStr">
        <is>
          <t>G1</t>
        </is>
      </c>
      <c r="E2149" t="inlineStr">
        <is>
          <t>VENEZUELANOS</t>
        </is>
      </c>
      <c r="F2149" t="inlineStr">
        <is>
          <t>RORAIMA</t>
        </is>
      </c>
      <c r="G2149" t="inlineStr">
        <is>
          <t>VALÉRIA OLIVEIRA, G1 RR</t>
        </is>
      </c>
      <c r="H2149" t="inlineStr">
        <is>
          <t>VENEZUELANO ENFRENTA ASSALTANTE E EVITA ROUBO A LOJA DE CELULARES EM BOA VISTA</t>
        </is>
      </c>
      <c r="I2149" t="inlineStr">
        <is>
          <t>ESTRANGEIRO ESTAVA DO OUTRO LADO DA RUA QUANDO DUPLA DE ASSALTANTES CHEGOU NA LOJA. ELE ENFRENTOU O QUE FICOU DO LADO DE FORA E OS DOIS SUSPEITOS FUGIRAM SEM LEVAR NADA.</t>
        </is>
      </c>
      <c r="J2149" t="inlineStr"/>
      <c r="K2149" t="n">
        <v>0</v>
      </c>
      <c r="L2149" t="n">
        <v>1</v>
      </c>
      <c r="M2149" t="n">
        <v>0</v>
      </c>
      <c r="N2149" t="n">
        <v>0</v>
      </c>
      <c r="O2149" t="n">
        <v>1</v>
      </c>
      <c r="P2149">
        <f>HYPERLINK("https://g1.globo.com/rr/roraima/noticia/venezuelano-enfrenta-assaltante-e-evita-roubo-a-loja-de-celulares-em-boa-vista.ghtml", "URL")</f>
        <v/>
      </c>
      <c r="Q2149">
        <f>HYPERLINK("https://raw.githubusercontent.com/marcosmapl/dataset_imigrantes/main/materias_filtered/g1/venezuelanos/2018/05_jun/html/g1_7dc3f31a-2312-11ed-b24f-6dbe51e79fca_2969.html", "HTML")</f>
        <v/>
      </c>
      <c r="R2149">
        <f>HYPERLINK("https://raw.githubusercontent.com/marcosmapl/dataset_imigrantes/main/materias_filtered/g1/venezuelanos/2018/05_jun/txt/g1_7dc3f31a-2312-11ed-b24f-6dbe51e79fca_2969.txt", "TXT")</f>
        <v/>
      </c>
    </row>
    <row r="2150">
      <c r="A2150" s="1" t="n">
        <v>2148</v>
      </c>
      <c r="B2150" t="n">
        <v>2018</v>
      </c>
      <c r="C2150" s="2" t="n">
        <v>43264.81732638889</v>
      </c>
      <c r="D2150" t="inlineStr">
        <is>
          <t>A CRITICA</t>
        </is>
      </c>
      <c r="E2150" t="inlineStr">
        <is>
          <t>VENEZUELANOS</t>
        </is>
      </c>
      <c r="F2150" t="inlineStr"/>
      <c r="G2150" t="inlineStr">
        <is>
          <t>ACRÍTICA.COM</t>
        </is>
      </c>
      <c r="H2150" t="inlineStr">
        <is>
          <t>SURTO DE PÓLIO NA VENEZUELA EXIGE ATENÇÃO NO BRASIL, ALERTA SOCIEDADE DE PEDIATRIA</t>
        </is>
      </c>
      <c r="I2150" t="inlineStr">
        <is>
          <t>PREOCUPAÇÃO CRESCE PELO AUMENTO DO FLUXO DE REFUGIADOS PELAS FRONTEIRAS BRASILEIRAS, EM ESPECIAL NOS ESTADOS DO NORTE. COMUNICADO FOI EMITIDO NESTA QUARTA-FEIRA (13)</t>
        </is>
      </c>
      <c r="J2150" t="inlineStr"/>
      <c r="K2150" t="n">
        <v>0</v>
      </c>
      <c r="L2150" t="n">
        <v>1</v>
      </c>
      <c r="M2150" t="n">
        <v>0</v>
      </c>
      <c r="N2150" t="n">
        <v>0</v>
      </c>
      <c r="O2150" t="n">
        <v>0</v>
      </c>
      <c r="P2150">
        <f>HYPERLINK("https://www.acritica.com/surto-de-polio-na-venezuela-exige-atenc-o-no-brasil-alerta-sociedade-de-pediatria-1.87574", "URL")</f>
        <v/>
      </c>
      <c r="Q2150">
        <f>HYPERLINK("https://raw.githubusercontent.com/marcosmapl/dataset_imigrantes/main/materias_filtered/a_critica/venezuelanos/2018/05_jun/html/1.87574_1.html", "HTML")</f>
        <v/>
      </c>
      <c r="R2150">
        <f>HYPERLINK("https://raw.githubusercontent.com/marcosmapl/dataset_imigrantes/main/materias_filtered/a_critica/venezuelanos/2018/05_jun/txt/1.87574_1.txt", "TXT")</f>
        <v/>
      </c>
    </row>
    <row r="2151">
      <c r="A2151" s="1" t="n">
        <v>2149</v>
      </c>
      <c r="B2151" t="n">
        <v>2018</v>
      </c>
      <c r="C2151" s="2" t="n">
        <v>43264.49166666667</v>
      </c>
      <c r="D2151" t="inlineStr">
        <is>
          <t>PORTAL AMAZONIA</t>
        </is>
      </c>
      <c r="E2151" t="inlineStr">
        <is>
          <t>VENEZUELANOS</t>
        </is>
      </c>
      <c r="F2151" t="inlineStr">
        <is>
          <t>CIDADES</t>
        </is>
      </c>
      <c r="G2151" t="inlineStr">
        <is>
          <t>REDAÇÃO</t>
        </is>
      </c>
      <c r="H2151" t="inlineStr">
        <is>
          <t>SENADO APROVA MP COM AÇÕES EMERGENCIAIS PARA VENEZUELANOS EM RORAIMA</t>
        </is>
      </c>
      <c r="I2151" t="inlineStr">
        <is>
          <t>O SENADO APROVOU NESTA TERÇA-FEIRA (12) A MEDIDA PROVISÓRIA (MP) QUE TRATA DE AÇÕES EMERGENCIAIS DE ASSISTÊNCIA AOS VENEZUELANOS QUE TÊM MIGRADO PARA O BRASIL ATRAVÉS DE RORAIMA. COMO JÁ FOI APROVADO PELOS DEPUTADOS, O CHAMADO PROJETO DE LEI DE CONVE</t>
        </is>
      </c>
      <c r="J2151" t="inlineStr">
        <is>
          <t>MEDIDA PROVISORIA, VENEZUELANOS</t>
        </is>
      </c>
      <c r="K2151" t="n">
        <v>2</v>
      </c>
      <c r="L2151" t="n">
        <v>2</v>
      </c>
      <c r="M2151" t="n">
        <v>0</v>
      </c>
      <c r="N2151" t="n">
        <v>0</v>
      </c>
      <c r="O2151" t="n">
        <v>7</v>
      </c>
      <c r="P2151">
        <f>HYPERLINK("https://portalamazonia.com/noticias/cidades/senado-aprova-mp-com-acoes-emergenciais-para-venezuelanos-em-roraima", "URL")</f>
        <v/>
      </c>
      <c r="Q2151">
        <f>HYPERLINK("https://raw.githubusercontent.com/marcosmapl/dataset_imigrantes/main/materias_filtered/portal_amazonia/venezuelanos/2018/05_jun/html/14511.14511_1453.html", "HTML")</f>
        <v/>
      </c>
      <c r="R2151">
        <f>HYPERLINK("https://raw.githubusercontent.com/marcosmapl/dataset_imigrantes/main/materias_filtered/portal_amazonia/venezuelanos/2018/05_jun/txt/14511.14511_1453.txt", "TXT")</f>
        <v/>
      </c>
    </row>
    <row r="2152">
      <c r="A2152" s="1" t="n">
        <v>2150</v>
      </c>
      <c r="B2152" t="n">
        <v>2018</v>
      </c>
      <c r="C2152" s="2" t="n">
        <v>43263.92872685185</v>
      </c>
      <c r="D2152" t="inlineStr">
        <is>
          <t>A CRITICA</t>
        </is>
      </c>
      <c r="E2152" t="inlineStr">
        <is>
          <t>VENEZUELANOS</t>
        </is>
      </c>
      <c r="F2152" t="inlineStr"/>
      <c r="G2152" t="inlineStr">
        <is>
          <t>PAULO VICTOR CHAGAS (AGÊNCIA BRASIL)</t>
        </is>
      </c>
      <c r="H2152" t="inlineStr">
        <is>
          <t>SENADO APROVA MP COM AÇÕES EMERGENCIAIS PARA VENEZUELANOS EM RORAIMA</t>
        </is>
      </c>
      <c r="I2152" t="inlineStr">
        <is>
          <t>ENTRE AS MEDIDAS ESTÃO A OFERTA DE ATIVIDADES EDUCACIONAIS, FORMAÇÃO E QUALIFICAÇÃO PROFISSIONAL E DE INFRAESTRUTURA E SANEAMENTO PARA AS FAMÍLIAS VENEZUELANAS</t>
        </is>
      </c>
      <c r="J2152" t="inlineStr"/>
      <c r="K2152" t="n">
        <v>0</v>
      </c>
      <c r="L2152" t="n">
        <v>1</v>
      </c>
      <c r="M2152" t="n">
        <v>0</v>
      </c>
      <c r="N2152" t="n">
        <v>0</v>
      </c>
      <c r="O2152" t="n">
        <v>0</v>
      </c>
      <c r="P2152">
        <f>HYPERLINK("https://www.acritica.com/senado-aprova-mp-com-ac-es-emergenciais-para-venezuelanos-em-roraima-1.202710", "URL")</f>
        <v/>
      </c>
      <c r="Q2152">
        <f>HYPERLINK("https://raw.githubusercontent.com/marcosmapl/dataset_imigrantes/main/materias_filtered/a_critica/venezuelanos/2018/05_jun/html/1.202710_737.html", "HTML")</f>
        <v/>
      </c>
      <c r="R2152">
        <f>HYPERLINK("https://raw.githubusercontent.com/marcosmapl/dataset_imigrantes/main/materias_filtered/a_critica/venezuelanos/2018/05_jun/txt/1.202710_737.txt", "TXT")</f>
        <v/>
      </c>
    </row>
    <row r="2153">
      <c r="A2153" s="1" t="n">
        <v>2151</v>
      </c>
      <c r="B2153" t="n">
        <v>2018</v>
      </c>
      <c r="C2153" s="2" t="n">
        <v>43259.8976221875</v>
      </c>
      <c r="D2153" t="inlineStr">
        <is>
          <t>G1</t>
        </is>
      </c>
      <c r="E2153" t="inlineStr">
        <is>
          <t>VENEZUELANOS</t>
        </is>
      </c>
      <c r="F2153" t="inlineStr">
        <is>
          <t>RORAIMA</t>
        </is>
      </c>
      <c r="G2153" t="inlineStr">
        <is>
          <t>G1 RR</t>
        </is>
      </c>
      <c r="H2153" t="inlineStr">
        <is>
          <t>VENEZUELANA É ESTUPRADA APÓS SER ENGANADA COM PROPOSTA DE EMPREGO EM BOA VISTA</t>
        </is>
      </c>
      <c r="I2153" t="inlineStr">
        <is>
          <t>VÍTIMA ESTAVA NA FRENTE DE ABRIGO QUANDO HOMEM CHEGOU E DISSE QUE PRECISAVA DE COZINHEIRA EM UMA FAZENDA NO CANTÁ. CRIMINOSO AINDA ROUBOU O CELULAR E OUTROS OBJETOS DA VÍTIMA.</t>
        </is>
      </c>
      <c r="J2153" t="inlineStr"/>
      <c r="K2153" t="n">
        <v>0</v>
      </c>
      <c r="L2153" t="n">
        <v>1</v>
      </c>
      <c r="M2153" t="n">
        <v>0</v>
      </c>
      <c r="N2153" t="n">
        <v>0</v>
      </c>
      <c r="O2153" t="n">
        <v>1</v>
      </c>
      <c r="P2153">
        <f>HYPERLINK("https://g1.globo.com/rr/roraima/noticia/venezuelana-e-estuprada-apos-ser-enganada-com-proposta-de-emprego-em-boa-vista.ghtml", "URL")</f>
        <v/>
      </c>
      <c r="Q2153">
        <f>HYPERLINK("https://raw.githubusercontent.com/marcosmapl/dataset_imigrantes/main/materias_filtered/g1/venezuelanos/2018/05_jun/html/g1_8c2dd64e-2323-11ed-b24f-6dbe51e79fca_3814.html", "HTML")</f>
        <v/>
      </c>
      <c r="R2153">
        <f>HYPERLINK("https://raw.githubusercontent.com/marcosmapl/dataset_imigrantes/main/materias_filtered/g1/venezuelanos/2018/05_jun/txt/g1_8c2dd64e-2323-11ed-b24f-6dbe51e79fca_3814.txt", "TXT")</f>
        <v/>
      </c>
    </row>
    <row r="2154">
      <c r="A2154" s="1" t="n">
        <v>2152</v>
      </c>
      <c r="B2154" t="n">
        <v>2018</v>
      </c>
      <c r="C2154" s="2" t="n">
        <v>43259.6478765625</v>
      </c>
      <c r="D2154" t="inlineStr">
        <is>
          <t>G1</t>
        </is>
      </c>
      <c r="E2154" t="inlineStr">
        <is>
          <t>VENEZUELANOS</t>
        </is>
      </c>
      <c r="F2154" t="inlineStr">
        <is>
          <t>RORAIMA</t>
        </is>
      </c>
      <c r="G2154" t="inlineStr">
        <is>
          <t>G1 RR</t>
        </is>
      </c>
      <c r="H2154" t="inlineStr">
        <is>
          <t>ADVOGADA VENEZUELANA SUSPEITA DE EXERCER ILEGALMENTE PROFISSÃO DE DENTISTA É PRESA EM RR</t>
        </is>
      </c>
      <c r="I2154" t="inlineStr">
        <is>
          <t>MULHER DE 45 ANOS ATUAVA EM CONSULTÓRIO IMPROVISADO NA SALA DE UMA RESIDÊNCIA DO BAIRRO CAIMBÉ.</t>
        </is>
      </c>
      <c r="J2154" t="inlineStr"/>
      <c r="K2154" t="n">
        <v>0</v>
      </c>
      <c r="L2154" t="n">
        <v>1</v>
      </c>
      <c r="M2154" t="n">
        <v>0</v>
      </c>
      <c r="N2154" t="n">
        <v>0</v>
      </c>
      <c r="O2154" t="n">
        <v>0</v>
      </c>
      <c r="P2154">
        <f>HYPERLINK("https://g1.globo.com/rr/roraima/noticia/advogada-venezuelana-suspeita-de-exercer-ilegalmente-profissao-de-dentista-e-presa-em-rr.ghtml", "URL")</f>
        <v/>
      </c>
      <c r="Q2154">
        <f>HYPERLINK("https://raw.githubusercontent.com/marcosmapl/dataset_imigrantes/main/materias_filtered/g1/venezuelanos/2018/05_jun/html/g1_f9829092-2317-11ed-b24f-6dbe51e79fca_3237.html", "HTML")</f>
        <v/>
      </c>
      <c r="R2154">
        <f>HYPERLINK("https://raw.githubusercontent.com/marcosmapl/dataset_imigrantes/main/materias_filtered/g1/venezuelanos/2018/05_jun/txt/g1_f9829092-2317-11ed-b24f-6dbe51e79fca_3237.txt", "TXT")</f>
        <v/>
      </c>
    </row>
    <row r="2155">
      <c r="A2155" s="1" t="n">
        <v>2153</v>
      </c>
      <c r="B2155" t="n">
        <v>2018</v>
      </c>
      <c r="C2155" s="2" t="n">
        <v>43258.76527777778</v>
      </c>
      <c r="D2155" t="inlineStr">
        <is>
          <t>A CRITICA</t>
        </is>
      </c>
      <c r="E2155" t="inlineStr">
        <is>
          <t>AMBOS</t>
        </is>
      </c>
      <c r="F2155" t="inlineStr">
        <is>
          <t>MANAUS</t>
        </is>
      </c>
      <c r="G2155" t="inlineStr">
        <is>
          <t>ALIK MENEZES</t>
        </is>
      </c>
      <c r="H2155" t="inlineStr">
        <is>
          <t>EX-CAMELÔS RETIRADOS DAS RUAS DO CENTRO SOFREM COM FALTA DE CLIENTES NAS GALERIAS</t>
        </is>
      </c>
      <c r="I2155" t="inlineStr">
        <is>
          <t>PERMISSIONÁRIOS RECEBERAM PROMESSA DE VIRAREM MICROEMPREENDEDORES, MAS ESTÃO ADOECENDO E PASSANDO DIFICULDADES</t>
        </is>
      </c>
      <c r="J2155" t="inlineStr"/>
      <c r="K2155" t="n">
        <v>0</v>
      </c>
      <c r="L2155" t="n">
        <v>1</v>
      </c>
      <c r="M2155" t="n">
        <v>0</v>
      </c>
      <c r="N2155" t="n">
        <v>0</v>
      </c>
      <c r="O2155" t="n">
        <v>1</v>
      </c>
      <c r="P2155">
        <f>HYPERLINK("https://www.acritica.com/manaus/ex-camelos-retirados-das-ruas-do-centro-sofrem-com-falta-de-clientes-nas-galerias-1.87795", "URL")</f>
        <v/>
      </c>
      <c r="Q2155">
        <f>HYPERLINK("https://raw.githubusercontent.com/marcosmapl/dataset_imigrantes/main/materias_filtered/a_critica/ambos/2018/05_jun/html/1.87795_901.html", "HTML")</f>
        <v/>
      </c>
      <c r="R2155">
        <f>HYPERLINK("https://raw.githubusercontent.com/marcosmapl/dataset_imigrantes/main/materias_filtered/a_critica/ambos/2018/05_jun/txt/1.87795_901.txt", "TXT")</f>
        <v/>
      </c>
    </row>
    <row r="2156">
      <c r="A2156" s="1" t="n">
        <v>2154</v>
      </c>
      <c r="B2156" t="n">
        <v>2018</v>
      </c>
      <c r="C2156" s="2" t="n">
        <v>43258.45763888889</v>
      </c>
      <c r="D2156" t="inlineStr">
        <is>
          <t>PORTAL AMAZONIA</t>
        </is>
      </c>
      <c r="E2156" t="inlineStr">
        <is>
          <t>VENEZUELANOS</t>
        </is>
      </c>
      <c r="F2156" t="inlineStr">
        <is>
          <t>CIDADES</t>
        </is>
      </c>
      <c r="G2156" t="inlineStr">
        <is>
          <t>REDAÇÃO</t>
        </is>
      </c>
      <c r="H2156" t="inlineStr">
        <is>
          <t>MPF RECOMENDA MELHORIAS NO ATENDIMENTO A VENEZUELANOS EM RORAIMA</t>
        </is>
      </c>
      <c r="I2156" t="inlineStr">
        <is>
          <t>AO TODO, FORAM QUATRO RECOMENDAÇÕES EMITIDAS PELO MINISTÉRIO PÚBLICO FEDERAL (MPF) AOS GOVERNOS FEDERAL, ESTADUAL E MUNICIPAL. OS DOCUMENTOS, ASSINADOS PELA PROCURADORA DA REPÚBLICA MANOELA LOPES TRATAM DE QUESTÕES COMO O ACOLHIMENTO E ATENDIMENTO DE</t>
        </is>
      </c>
      <c r="J2156" t="inlineStr">
        <is>
          <t>ABRIGOS VENEZUELANOS, MPF</t>
        </is>
      </c>
      <c r="K2156" t="n">
        <v>2</v>
      </c>
      <c r="L2156" t="n">
        <v>1</v>
      </c>
      <c r="M2156" t="n">
        <v>0</v>
      </c>
      <c r="N2156" t="n">
        <v>0</v>
      </c>
      <c r="O2156" t="n">
        <v>7</v>
      </c>
      <c r="P2156">
        <f>HYPERLINK("https://portalamazonia.com/noticias/cidades/mpf-recomenda-melhorias-no-atendimento-a-venezuelanos-em-roraima", "URL")</f>
        <v/>
      </c>
      <c r="Q2156">
        <f>HYPERLINK("https://raw.githubusercontent.com/marcosmapl/dataset_imigrantes/main/materias_filtered/portal_amazonia/venezuelanos/2018/05_jun/html/14374.14374_1484.html", "HTML")</f>
        <v/>
      </c>
      <c r="R2156">
        <f>HYPERLINK("https://raw.githubusercontent.com/marcosmapl/dataset_imigrantes/main/materias_filtered/portal_amazonia/venezuelanos/2018/05_jun/txt/14374.14374_1484.txt", "TXT")</f>
        <v/>
      </c>
    </row>
    <row r="2157">
      <c r="A2157" s="1" t="n">
        <v>2155</v>
      </c>
      <c r="B2157" t="n">
        <v>2018</v>
      </c>
      <c r="C2157" s="2" t="n">
        <v>43257.95582990741</v>
      </c>
      <c r="D2157" t="inlineStr">
        <is>
          <t>G1</t>
        </is>
      </c>
      <c r="E2157" t="inlineStr">
        <is>
          <t>VENEZUELANOS</t>
        </is>
      </c>
      <c r="F2157" t="inlineStr">
        <is>
          <t>SÃO PAULO</t>
        </is>
      </c>
      <c r="G2157" t="inlineStr">
        <is>
          <t>LÉO ARCOVERDE E ADRIANA PERRONI, GLOBONEWS</t>
        </is>
      </c>
      <c r="H2157" t="inlineStr">
        <is>
          <t>PROMOTORIA VAI INVESTIGAR MORTE DE VENEZUELANO QUE PASSOU MAL EM ABRIGO DA PREFEITURA DE SP</t>
        </is>
      </c>
      <c r="I2157" t="inlineStr">
        <is>
          <t>MP APURA SE HOUVE OMISSÃO POR PARTE DO PODER PÚBLICO NO ATENDIMENTO AO IMIGRANTE.</t>
        </is>
      </c>
      <c r="J2157" t="inlineStr"/>
      <c r="K2157" t="n">
        <v>0</v>
      </c>
      <c r="L2157" t="n">
        <v>1</v>
      </c>
      <c r="M2157" t="n">
        <v>1</v>
      </c>
      <c r="N2157" t="n">
        <v>0</v>
      </c>
      <c r="O2157" t="n">
        <v>2</v>
      </c>
      <c r="P2157">
        <f>HYPERLINK("https://g1.globo.com/sp/sao-paulo/noticia/promotoria-vai-investigar-morte-de-venezuelano-que-passou-mal-em-abrigo-da-prefeitura-de-sp.ghtml", "URL")</f>
        <v/>
      </c>
      <c r="Q2157">
        <f>HYPERLINK("https://raw.githubusercontent.com/marcosmapl/dataset_imigrantes/main/materias_filtered/g1/venezuelanos/2018/05_jun/html/g1_13e316f2-2320-11ed-b24f-6dbe51e79fca_3661.html", "HTML")</f>
        <v/>
      </c>
      <c r="R2157">
        <f>HYPERLINK("https://raw.githubusercontent.com/marcosmapl/dataset_imigrantes/main/materias_filtered/g1/venezuelanos/2018/05_jun/txt/g1_13e316f2-2320-11ed-b24f-6dbe51e79fca_3661.txt", "TXT")</f>
        <v/>
      </c>
    </row>
    <row r="2158">
      <c r="A2158" s="1" t="n">
        <v>2156</v>
      </c>
      <c r="B2158" t="n">
        <v>2018</v>
      </c>
      <c r="C2158" s="2" t="n">
        <v>43256.87292824074</v>
      </c>
      <c r="D2158" t="inlineStr">
        <is>
          <t>A CRITICA</t>
        </is>
      </c>
      <c r="E2158" t="inlineStr">
        <is>
          <t>VENEZUELANOS</t>
        </is>
      </c>
      <c r="F2158" t="inlineStr">
        <is>
          <t>ESPORTES</t>
        </is>
      </c>
      <c r="G2158" t="inlineStr">
        <is>
          <t>ACRÍTICA.COM</t>
        </is>
      </c>
      <c r="H2158" t="inlineStr">
        <is>
          <t>INDÍGENAS DO AMAZONAS CONQUISTAM OURO E PRATA NOS JOGOS SUL-AMERICANOS, NA BOLÍVIA</t>
        </is>
      </c>
      <c r="I2158" t="inlineStr">
        <is>
          <t>JOVENS FAZEM PARTE DO PROJETO ARQUEARIA INDÍGENA NO AMAZONAS, DA FUNDAÇÃO AMAZONAS SUSTENTÁVEL, E INTEGRARAM A SELEÇÃO BRASILEIRA NA COMPETIÇÃO</t>
        </is>
      </c>
      <c r="J2158" t="inlineStr"/>
      <c r="K2158" t="n">
        <v>0</v>
      </c>
      <c r="L2158" t="n">
        <v>1</v>
      </c>
      <c r="M2158" t="n">
        <v>0</v>
      </c>
      <c r="N2158" t="n">
        <v>0</v>
      </c>
      <c r="O2158" t="n">
        <v>0</v>
      </c>
      <c r="P2158">
        <f>HYPERLINK("https://www.acritica.com/esportes/indigenas-do-amazonas-conquistam-ouro-e-prata-nos-jogos-sul-americanos-na-bolivia-1.203203", "URL")</f>
        <v/>
      </c>
      <c r="Q2158">
        <f>HYPERLINK("https://raw.githubusercontent.com/marcosmapl/dataset_imigrantes/main/materias_filtered/a_critica/venezuelanos/2018/05_jun/html/1.203203_174.html", "HTML")</f>
        <v/>
      </c>
      <c r="R2158">
        <f>HYPERLINK("https://raw.githubusercontent.com/marcosmapl/dataset_imigrantes/main/materias_filtered/a_critica/venezuelanos/2018/05_jun/txt/1.203203_174.txt", "TXT")</f>
        <v/>
      </c>
    </row>
    <row r="2159">
      <c r="A2159" s="1" t="n">
        <v>2157</v>
      </c>
      <c r="B2159" t="n">
        <v>2018</v>
      </c>
      <c r="C2159" s="2" t="n">
        <v>43256.86384133102</v>
      </c>
      <c r="D2159" t="inlineStr">
        <is>
          <t>G1</t>
        </is>
      </c>
      <c r="E2159" t="inlineStr">
        <is>
          <t>VENEZUELANOS</t>
        </is>
      </c>
      <c r="F2159" t="inlineStr">
        <is>
          <t>SÃO PAULO</t>
        </is>
      </c>
      <c r="G2159" t="inlineStr">
        <is>
          <t>G1 — SÃO PAULO</t>
        </is>
      </c>
      <c r="H2159" t="inlineStr">
        <is>
          <t>VENEZUELANO VINDO DE RORAIMA MORRE DE PNEUMONIA APÓS PASSAR MAL EM ABRIGO EM SP, DIZ PREFEITURA</t>
        </is>
      </c>
      <c r="I2159" t="inlineStr">
        <is>
          <t>SEGUNDO GESTÃO MUNICIPAL, HECTOR CABELLO, DE 55 ANOS, FOI INTERNADO NO DIA 28 DE MAIO NO HOSPITAL SAPOPEMBA, APÓS SENTIR-SE MAL NO CTA SÃO MATEUS.</t>
        </is>
      </c>
      <c r="J2159" t="inlineStr"/>
      <c r="K2159" t="n">
        <v>0</v>
      </c>
      <c r="L2159" t="n">
        <v>0</v>
      </c>
      <c r="M2159" t="n">
        <v>0</v>
      </c>
      <c r="N2159" t="n">
        <v>0</v>
      </c>
      <c r="O2159" t="n">
        <v>1</v>
      </c>
      <c r="P2159">
        <f>HYPERLINK("https://g1.globo.com/sp/sao-paulo/noticia/venezuelano-vindo-de-roraima-morre-de-pneumonia-apos-passar-mal-em-abrigo-em-sp-diz-prefeitura.ghtml", "URL")</f>
        <v/>
      </c>
      <c r="Q2159">
        <f>HYPERLINK("https://raw.githubusercontent.com/marcosmapl/dataset_imigrantes/main/materias_filtered/g1/venezuelanos/2018/05_jun/html/g1_0f0ad0c4-230d-11ed-b24f-6dbe51e79fca_2665.html", "HTML")</f>
        <v/>
      </c>
      <c r="R2159">
        <f>HYPERLINK("https://raw.githubusercontent.com/marcosmapl/dataset_imigrantes/main/materias_filtered/g1/venezuelanos/2018/05_jun/txt/g1_0f0ad0c4-230d-11ed-b24f-6dbe51e79fca_2665.txt", "TXT")</f>
        <v/>
      </c>
    </row>
    <row r="2160">
      <c r="A2160" s="1" t="n">
        <v>2158</v>
      </c>
      <c r="B2160" t="n">
        <v>2018</v>
      </c>
      <c r="C2160" s="2" t="n">
        <v>43255.56867434028</v>
      </c>
      <c r="D2160" t="inlineStr">
        <is>
          <t>G1</t>
        </is>
      </c>
      <c r="E2160" t="inlineStr">
        <is>
          <t>VENEZUELANOS</t>
        </is>
      </c>
      <c r="F2160" t="inlineStr">
        <is>
          <t>MATO GROSSO</t>
        </is>
      </c>
      <c r="G2160" t="inlineStr">
        <is>
          <t>G1 MT</t>
        </is>
      </c>
      <c r="H2160" t="inlineStr">
        <is>
          <t>ORQUESTRA E VIOLINISTA VENEZUELANO SE APRESENTAM NO TEATRO ZULMIRA CANAVARROS EM CUIABÁ</t>
        </is>
      </c>
      <c r="I2160" t="inlineStr">
        <is>
          <t>O INGRESSO É A DOAÇÃO DE 1KG DE ALIMENTO NÃO PERECÍVEL ENTREGUE NO DIA DA APRESENTAÇÃO.</t>
        </is>
      </c>
      <c r="J2160" t="inlineStr"/>
      <c r="K2160" t="n">
        <v>0</v>
      </c>
      <c r="L2160" t="n">
        <v>3</v>
      </c>
      <c r="M2160" t="n">
        <v>0</v>
      </c>
      <c r="N2160" t="n">
        <v>0</v>
      </c>
      <c r="O2160" t="n">
        <v>0</v>
      </c>
      <c r="P2160">
        <f>HYPERLINK("https://g1.globo.com/mt/mato-grosso/noticia/orquestra-e-violinista-venezuelano-se-apresentam-no-teatro-zulmira-canavarros-em-cuiaba.ghtml", "URL")</f>
        <v/>
      </c>
      <c r="Q2160">
        <f>HYPERLINK("https://raw.githubusercontent.com/marcosmapl/dataset_imigrantes/main/materias_filtered/g1/venezuelanos/2018/05_jun/html/g1_8b350a20-232b-11ed-b24f-6dbe51e79fca_4254.html", "HTML")</f>
        <v/>
      </c>
      <c r="R2160">
        <f>HYPERLINK("https://raw.githubusercontent.com/marcosmapl/dataset_imigrantes/main/materias_filtered/g1/venezuelanos/2018/05_jun/txt/g1_8b350a20-232b-11ed-b24f-6dbe51e79fca_4254.txt", "TXT")</f>
        <v/>
      </c>
    </row>
    <row r="2161">
      <c r="A2161" s="1" t="n">
        <v>2159</v>
      </c>
      <c r="B2161" t="n">
        <v>2018</v>
      </c>
      <c r="C2161" s="2" t="n">
        <v>43255.51741157407</v>
      </c>
      <c r="D2161" t="inlineStr">
        <is>
          <t>G1</t>
        </is>
      </c>
      <c r="E2161" t="inlineStr">
        <is>
          <t>VENEZUELANOS</t>
        </is>
      </c>
      <c r="F2161" t="inlineStr">
        <is>
          <t>RORAIMA</t>
        </is>
      </c>
      <c r="G2161" t="inlineStr">
        <is>
          <t>G1 RR</t>
        </is>
      </c>
      <c r="H2161" t="inlineStr">
        <is>
          <t>POLÍCIA DIVULGA FOTO DE CASAL VENEZUELANO SUSPEITO DE MATAR SERVIDOR PÚBLICO EM HOTEL DE BOA VISTA</t>
        </is>
      </c>
      <c r="I2161" t="inlineStr">
        <is>
          <t>SERVIDOR PÚBLICO FOI MORTO POR ASFIXIA, SEGUNDO LAUDO CADAVÉRICO. SUSPEITOS SÃO CONSIDERADOS FORAGIDOS PELA POLÍCIA CIVIL.</t>
        </is>
      </c>
      <c r="J2161" t="inlineStr"/>
      <c r="K2161" t="n">
        <v>0</v>
      </c>
      <c r="L2161" t="n">
        <v>1</v>
      </c>
      <c r="M2161" t="n">
        <v>0</v>
      </c>
      <c r="N2161" t="n">
        <v>0</v>
      </c>
      <c r="O2161" t="n">
        <v>3</v>
      </c>
      <c r="P2161">
        <f>HYPERLINK("https://g1.globo.com/rr/roraima/noticia/policia-divulga-foto-de-casal-venezuelano-suspeito-de-matar-servidor-publico-em-hotel-de-boa-vista.ghtml", "URL")</f>
        <v/>
      </c>
      <c r="Q2161">
        <f>HYPERLINK("https://raw.githubusercontent.com/marcosmapl/dataset_imigrantes/main/materias_filtered/g1/venezuelanos/2018/05_jun/html/g1_f9857d00-231e-11ed-b24f-6dbe51e79fca_3592.html", "HTML")</f>
        <v/>
      </c>
      <c r="R2161">
        <f>HYPERLINK("https://raw.githubusercontent.com/marcosmapl/dataset_imigrantes/main/materias_filtered/g1/venezuelanos/2018/05_jun/txt/g1_f9857d00-231e-11ed-b24f-6dbe51e79fca_3592.txt", "TXT")</f>
        <v/>
      </c>
    </row>
    <row r="2162">
      <c r="A2162" s="1" t="n">
        <v>2160</v>
      </c>
      <c r="B2162" t="n">
        <v>2018</v>
      </c>
      <c r="C2162" s="2" t="n">
        <v>43254.76277777777</v>
      </c>
      <c r="D2162" t="inlineStr">
        <is>
          <t>A CRITICA</t>
        </is>
      </c>
      <c r="E2162" t="inlineStr">
        <is>
          <t>VENEZUELANOS</t>
        </is>
      </c>
      <c r="F2162" t="inlineStr">
        <is>
          <t>MANAUS</t>
        </is>
      </c>
      <c r="G2162" t="inlineStr">
        <is>
          <t>ANTÔNIO XIMENES - ESPECIAL PARA A CRÍTICA</t>
        </is>
      </c>
      <c r="H2162" t="inlineStr">
        <is>
          <t>'TRABALHO COM A CONSTITUIÇÃO BRASILEIRA DEBAIXO DO BRAÇO’, DIZ CHEFE DO CMA</t>
        </is>
      </c>
      <c r="I2162" t="inlineStr">
        <is>
          <t>GENERAL CÉSAR AUGUSTO NARDI DE SOUZA AFIRMA QUE, NA AMAZÔNIA, ACEITAÇÃO DO EXÉRCITO É DE 95% E  FALA DE RECENTES MISSÕES ASSUMIDAS NA REGIÃO</t>
        </is>
      </c>
      <c r="J2162" t="inlineStr"/>
      <c r="K2162" t="n">
        <v>0</v>
      </c>
      <c r="L2162" t="n">
        <v>1</v>
      </c>
      <c r="M2162" t="n">
        <v>0</v>
      </c>
      <c r="N2162" t="n">
        <v>0</v>
      </c>
      <c r="O2162" t="n">
        <v>0</v>
      </c>
      <c r="P2162">
        <f>HYPERLINK("https://www.acritica.com/manaus/trabalho-com-a-constituic-o-brasileira-debaixo-do-braco-diz-chefe-do-cma-1.203321", "URL")</f>
        <v/>
      </c>
      <c r="Q2162">
        <f>HYPERLINK("https://raw.githubusercontent.com/marcosmapl/dataset_imigrantes/main/materias_filtered/a_critica/venezuelanos/2018/05_jun/html/1.203321_361.html", "HTML")</f>
        <v/>
      </c>
      <c r="R2162">
        <f>HYPERLINK("https://raw.githubusercontent.com/marcosmapl/dataset_imigrantes/main/materias_filtered/a_critica/venezuelanos/2018/05_jun/txt/1.203321_361.txt", "TXT")</f>
        <v/>
      </c>
    </row>
    <row r="2163">
      <c r="A2163" s="1" t="n">
        <v>2161</v>
      </c>
      <c r="B2163" t="n">
        <v>2018</v>
      </c>
      <c r="C2163" s="2" t="n">
        <v>43253.92241383102</v>
      </c>
      <c r="D2163" t="inlineStr">
        <is>
          <t>G1</t>
        </is>
      </c>
      <c r="E2163" t="inlineStr">
        <is>
          <t>VENEZUELANOS</t>
        </is>
      </c>
      <c r="F2163" t="inlineStr">
        <is>
          <t>RORAIMA</t>
        </is>
      </c>
      <c r="G2163" t="inlineStr">
        <is>
          <t>G1 RR</t>
        </is>
      </c>
      <c r="H2163" t="inlineStr">
        <is>
          <t>POLÍCIA PRENDE JOVEM NO MOMENTO EM QUE APONTAVA ARMA CONTRA VENEZUELANO EM BOA VISTA</t>
        </is>
      </c>
      <c r="I2163" t="inlineStr">
        <is>
          <t>CASO OCORREU NA MADRUGADA DE SÁBADO (2) NO BAIRRO CAIMBÉ, ZONA OESTE DA CIDADE.</t>
        </is>
      </c>
      <c r="J2163" t="inlineStr"/>
      <c r="K2163" t="n">
        <v>0</v>
      </c>
      <c r="L2163" t="n">
        <v>1</v>
      </c>
      <c r="M2163" t="n">
        <v>0</v>
      </c>
      <c r="N2163" t="n">
        <v>0</v>
      </c>
      <c r="O2163" t="n">
        <v>0</v>
      </c>
      <c r="P2163">
        <f>HYPERLINK("https://g1.globo.com/rr/roraima/noticia/policia-prende-jovem-no-momento-em-que-apontava-arma-contra-venezuelano-em-boa-vista.ghtml", "URL")</f>
        <v/>
      </c>
      <c r="Q2163">
        <f>HYPERLINK("https://raw.githubusercontent.com/marcosmapl/dataset_imigrantes/main/materias_filtered/g1/venezuelanos/2018/05_jun/html/g1_05a64556-2315-11ed-b24f-6dbe51e79fca_3062.html", "HTML")</f>
        <v/>
      </c>
      <c r="R2163">
        <f>HYPERLINK("https://raw.githubusercontent.com/marcosmapl/dataset_imigrantes/main/materias_filtered/g1/venezuelanos/2018/05_jun/txt/g1_05a64556-2315-11ed-b24f-6dbe51e79fca_3062.txt", "TXT")</f>
        <v/>
      </c>
    </row>
    <row r="2164">
      <c r="A2164" s="1" t="n">
        <v>2162</v>
      </c>
      <c r="B2164" t="n">
        <v>2018</v>
      </c>
      <c r="C2164" s="2" t="n">
        <v>43251.73576277777</v>
      </c>
      <c r="D2164" t="inlineStr">
        <is>
          <t>G1</t>
        </is>
      </c>
      <c r="E2164" t="inlineStr">
        <is>
          <t>HAITIANOS</t>
        </is>
      </c>
      <c r="F2164" t="inlineStr">
        <is>
          <t>MUNDO</t>
        </is>
      </c>
      <c r="G2164" t="inlineStr">
        <is>
          <t>FRANCE PRESSE</t>
        </is>
      </c>
      <c r="H2164" t="inlineStr">
        <is>
          <t>NO CONSERVADOR HAITI, CASAL LUTA PELA TOLERÂNCIA DOS TRANSGÊNEROS</t>
        </is>
      </c>
      <c r="I2164" t="inlineStr">
        <is>
          <t>AOS 45 ANOS, A HAITIANA YAISAH VAL É UMA DAS PRIMEIRAS MULHERES NO HAITI A TORNAR PÚBLICA SUA TRANSEXUALIDADE. A REVELAÇÃO VEIO TRÊS DIAS ANTES DO CASAMENTO. O ENTÃO NOIVO TEVE BOA RECEPTIVIDADE.</t>
        </is>
      </c>
      <c r="J2164" t="inlineStr"/>
      <c r="K2164" t="n">
        <v>0</v>
      </c>
      <c r="L2164" t="n">
        <v>0</v>
      </c>
      <c r="M2164" t="n">
        <v>0</v>
      </c>
      <c r="N2164" t="n">
        <v>0</v>
      </c>
      <c r="O2164" t="n">
        <v>0</v>
      </c>
      <c r="P2164">
        <f>HYPERLINK("https://g1.globo.com/mundo/noticia/no-conservador-haiti-casal-luta-pela-tolerancia-dos-transgeneros.ghtml", "URL")</f>
        <v/>
      </c>
      <c r="Q2164">
        <f>HYPERLINK("https://raw.githubusercontent.com/marcosmapl/dataset_imigrantes/main/materias_filtered/g1/haitianos/2018/04_mai/html/g1_08afdcb2-22ed-11ed-b24f-6dbe51e79fca_1676.html", "HTML")</f>
        <v/>
      </c>
      <c r="R2164">
        <f>HYPERLINK("https://raw.githubusercontent.com/marcosmapl/dataset_imigrantes/main/materias_filtered/g1/haitianos/2018/04_mai/txt/g1_08afdcb2-22ed-11ed-b24f-6dbe51e79fca_1676.txt", "TXT")</f>
        <v/>
      </c>
    </row>
    <row r="2165">
      <c r="A2165" s="1" t="n">
        <v>2163</v>
      </c>
      <c r="B2165" t="n">
        <v>2018</v>
      </c>
      <c r="C2165" s="2" t="n">
        <v>43250.43701388889</v>
      </c>
      <c r="D2165" t="inlineStr">
        <is>
          <t>A CRITICA</t>
        </is>
      </c>
      <c r="E2165" t="inlineStr">
        <is>
          <t>VENEZUELANOS</t>
        </is>
      </c>
      <c r="F2165" t="inlineStr">
        <is>
          <t>MANAUS</t>
        </is>
      </c>
      <c r="G2165" t="inlineStr">
        <is>
          <t>NELSON BRILHANTE</t>
        </is>
      </c>
      <c r="H2165" t="inlineStr">
        <is>
          <t>CASOS CONFIRMADOS DE SARAMPO EM MANAUS AUMENTAM 283,3% EM UMA SEMANA</t>
        </is>
      </c>
      <c r="I2165" t="inlineStr">
        <is>
          <t>NÚMERO DE PESSOAS INFECTADAS PASSOU DE 30 PARA 115. O ACUMULADO DE NOTIFICAÇÕES JÁ ALCANÇA 775, ENTRE SUSPEITOS, DESCARTADOS E CONFIRMADOS</t>
        </is>
      </c>
      <c r="J2165" t="inlineStr"/>
      <c r="K2165" t="n">
        <v>0</v>
      </c>
      <c r="L2165" t="n">
        <v>1</v>
      </c>
      <c r="M2165" t="n">
        <v>0</v>
      </c>
      <c r="N2165" t="n">
        <v>0</v>
      </c>
      <c r="O2165" t="n">
        <v>0</v>
      </c>
      <c r="P2165">
        <f>HYPERLINK("https://www.acritica.com/manaus/casos-confirmados-de-sarampo-em-manaus-aumentam-283-3-em-uma-semana-1.203685", "URL")</f>
        <v/>
      </c>
      <c r="Q2165">
        <f>HYPERLINK("https://raw.githubusercontent.com/marcosmapl/dataset_imigrantes/main/materias_filtered/a_critica/venezuelanos/2018/04_mai/html/1.203685_524.html", "HTML")</f>
        <v/>
      </c>
      <c r="R2165">
        <f>HYPERLINK("https://raw.githubusercontent.com/marcosmapl/dataset_imigrantes/main/materias_filtered/a_critica/venezuelanos/2018/04_mai/txt/1.203685_524.txt", "TXT")</f>
        <v/>
      </c>
    </row>
    <row r="2166">
      <c r="A2166" s="1" t="n">
        <v>2164</v>
      </c>
      <c r="B2166" t="n">
        <v>2018</v>
      </c>
      <c r="C2166" s="2" t="n">
        <v>43249.83263888889</v>
      </c>
      <c r="D2166" t="inlineStr">
        <is>
          <t>A CRITICA</t>
        </is>
      </c>
      <c r="E2166" t="inlineStr">
        <is>
          <t>VENEZUELANOS</t>
        </is>
      </c>
      <c r="F2166" t="inlineStr">
        <is>
          <t>ENTRETENIMENTO</t>
        </is>
      </c>
      <c r="G2166" t="inlineStr">
        <is>
          <t>OSWALDO NETO</t>
        </is>
      </c>
      <c r="H2166" t="inlineStr">
        <is>
          <t>‘PRECISO FALAR DA AMAZÔNIA’, DIZ JORNALISTA AMAZONENSE E MISS BRASIL 2018, MAYRA DIAS</t>
        </is>
      </c>
      <c r="I2166" t="inlineStr">
        <is>
          <t>JORNALISTA VAI REPRESENTAR O BRASIL NO MISS UNIVERSO E AFIRMA QUE VAI ESTIMULAR O EMPODERAMENTO FEMININO. "EU SEMPRE QUIS MUITO, ACREDITEI QUE ERA POSSÍVEL E TRABALHEI PARA ISSO", DISSE</t>
        </is>
      </c>
      <c r="J2166" t="inlineStr"/>
      <c r="K2166" t="n">
        <v>0</v>
      </c>
      <c r="L2166" t="n">
        <v>1</v>
      </c>
      <c r="M2166" t="n">
        <v>0</v>
      </c>
      <c r="N2166" t="n">
        <v>0</v>
      </c>
      <c r="O2166" t="n">
        <v>2</v>
      </c>
      <c r="P2166">
        <f>HYPERLINK("https://www.acritica.com/entretenimento/preciso-falar-da-amazonia-diz-jornalista-amazonense-e-miss-brasil-2018-mayra-dias-1.203760", "URL")</f>
        <v/>
      </c>
      <c r="Q2166">
        <f>HYPERLINK("https://raw.githubusercontent.com/marcosmapl/dataset_imigrantes/main/materias_filtered/a_critica/venezuelanos/2018/04_mai/html/1.203760_1171.html", "HTML")</f>
        <v/>
      </c>
      <c r="R2166">
        <f>HYPERLINK("https://raw.githubusercontent.com/marcosmapl/dataset_imigrantes/main/materias_filtered/a_critica/venezuelanos/2018/04_mai/txt/1.203760_1171.txt", "TXT")</f>
        <v/>
      </c>
    </row>
    <row r="2167">
      <c r="A2167" s="1" t="n">
        <v>2165</v>
      </c>
      <c r="B2167" t="n">
        <v>2018</v>
      </c>
      <c r="C2167" s="2" t="n">
        <v>43249.79199050926</v>
      </c>
      <c r="D2167" t="inlineStr">
        <is>
          <t>G1</t>
        </is>
      </c>
      <c r="E2167" t="inlineStr">
        <is>
          <t>VENEZUELANOS</t>
        </is>
      </c>
      <c r="F2167" t="inlineStr">
        <is>
          <t>POP &amp; ARTE</t>
        </is>
      </c>
      <c r="G2167" t="inlineStr">
        <is>
          <t>AGÊNCIA EFE</t>
        </is>
      </c>
      <c r="H2167" t="inlineStr">
        <is>
          <t>EVIO DI MARZO, CANTOR VENEZUELANO, É ASSASSINADO DURANTE ASSALTO EM CARACAS</t>
        </is>
      </c>
      <c r="I2167" t="inlineStr">
        <is>
          <t>ARTISTA TINHA 64 ANOS E FOI BALEADO QUANDO PASSAVA DE CARRO COM A MULHER E OS FILHOS NA REGIÃO CENTRAL DA CAPITAL. ELE TERIA REAGIDO À ABORDAGEM.</t>
        </is>
      </c>
      <c r="J2167" t="inlineStr"/>
      <c r="K2167" t="n">
        <v>0</v>
      </c>
      <c r="L2167" t="n">
        <v>0</v>
      </c>
      <c r="M2167" t="n">
        <v>0</v>
      </c>
      <c r="N2167" t="n">
        <v>0</v>
      </c>
      <c r="O2167" t="n">
        <v>0</v>
      </c>
      <c r="P2167">
        <f>HYPERLINK("https://g1.globo.com/pop-arte/musica/noticia/evio-di-marzo-cantor-venezuelano-e-assassinado-durante-assalto-em-caracas.ghtml", "URL")</f>
        <v/>
      </c>
      <c r="Q2167">
        <f>HYPERLINK("https://raw.githubusercontent.com/marcosmapl/dataset_imigrantes/main/materias_filtered/g1/venezuelanos/2018/04_mai/html/g1_ee52d444-2316-11ed-b24f-6dbe51e79fca_3178.html", "HTML")</f>
        <v/>
      </c>
      <c r="R2167">
        <f>HYPERLINK("https://raw.githubusercontent.com/marcosmapl/dataset_imigrantes/main/materias_filtered/g1/venezuelanos/2018/04_mai/txt/g1_ee52d444-2316-11ed-b24f-6dbe51e79fca_3178.txt", "TXT")</f>
        <v/>
      </c>
    </row>
    <row r="2168">
      <c r="A2168" s="1" t="n">
        <v>2166</v>
      </c>
      <c r="B2168" t="n">
        <v>2018</v>
      </c>
      <c r="C2168" s="2" t="n">
        <v>43249.54655746528</v>
      </c>
      <c r="D2168" t="inlineStr">
        <is>
          <t>G1</t>
        </is>
      </c>
      <c r="E2168" t="inlineStr">
        <is>
          <t>VENEZUELANOS</t>
        </is>
      </c>
      <c r="F2168" t="inlineStr">
        <is>
          <t>MUNDO</t>
        </is>
      </c>
      <c r="G2168" t="inlineStr">
        <is>
          <t>FRANCE PRESSE</t>
        </is>
      </c>
      <c r="H2168" t="inlineStr">
        <is>
          <t>CANTOR VENEZUELANO É MORTO EM ASSALTO EM CARACAS</t>
        </is>
      </c>
      <c r="I2168" t="inlineStr">
        <is>
          <t>EVIO DI MARZO FOI ABORDADO POR LADRÕES AO DEIXAR UMA MESQUITA NO CENTRO DE CARACAS.</t>
        </is>
      </c>
      <c r="J2168" t="inlineStr"/>
      <c r="K2168" t="n">
        <v>0</v>
      </c>
      <c r="L2168" t="n">
        <v>0</v>
      </c>
      <c r="M2168" t="n">
        <v>0</v>
      </c>
      <c r="N2168" t="n">
        <v>0</v>
      </c>
      <c r="O2168" t="n">
        <v>1</v>
      </c>
      <c r="P2168">
        <f>HYPERLINK("https://g1.globo.com/mundo/noticia/cantor-venezuelano-e-morto-em-assalto-em-caracas.ghtml", "URL")</f>
        <v/>
      </c>
      <c r="Q2168">
        <f>HYPERLINK("https://raw.githubusercontent.com/marcosmapl/dataset_imigrantes/main/materias_filtered/g1/venezuelanos/2018/04_mai/html/g1_e532f16e-232a-11ed-b24f-6dbe51e79fca_4208.html", "HTML")</f>
        <v/>
      </c>
      <c r="R2168">
        <f>HYPERLINK("https://raw.githubusercontent.com/marcosmapl/dataset_imigrantes/main/materias_filtered/g1/venezuelanos/2018/04_mai/txt/g1_e532f16e-232a-11ed-b24f-6dbe51e79fca_4208.txt", "TXT")</f>
        <v/>
      </c>
    </row>
    <row r="2169">
      <c r="A2169" s="1" t="n">
        <v>2167</v>
      </c>
      <c r="B2169" t="n">
        <v>2018</v>
      </c>
      <c r="C2169" s="2" t="n">
        <v>43243.86136053241</v>
      </c>
      <c r="D2169" t="inlineStr">
        <is>
          <t>G1</t>
        </is>
      </c>
      <c r="E2169" t="inlineStr">
        <is>
          <t>VENEZUELANOS</t>
        </is>
      </c>
      <c r="F2169" t="inlineStr">
        <is>
          <t>MUNDO</t>
        </is>
      </c>
      <c r="G2169" t="inlineStr">
        <is>
          <t>REUTERS</t>
        </is>
      </c>
      <c r="H2169" t="inlineStr">
        <is>
          <t>CAMPANHA DO 2º COLOCADO NA ELEIÇÃO VENEZUELANA PROMETE CONTESTAR FORMALMENTE RESULTADO</t>
        </is>
      </c>
      <c r="I2169" t="inlineStr">
        <is>
          <t>'HÁ TODA UMA COLEÇÃO DE IRREGULARIDADES', DISSE CHEFE DA CAMPANHA DE HENRI FALCÓN. NICOLÁS MADURO SE REELEGEU NO DOMINGO EM PLEITO CONTESTADO.</t>
        </is>
      </c>
      <c r="J2169" t="inlineStr"/>
      <c r="K2169" t="n">
        <v>0</v>
      </c>
      <c r="L2169" t="n">
        <v>1</v>
      </c>
      <c r="M2169" t="n">
        <v>0</v>
      </c>
      <c r="N2169" t="n">
        <v>0</v>
      </c>
      <c r="O2169" t="n">
        <v>0</v>
      </c>
      <c r="P2169">
        <f>HYPERLINK("https://g1.globo.com/mundo/noticia/campanha-do-2-colocado-na-eleicao-venezuelana-promete-contestar-formalmente-resultado.ghtml", "URL")</f>
        <v/>
      </c>
      <c r="Q2169">
        <f>HYPERLINK("https://raw.githubusercontent.com/marcosmapl/dataset_imigrantes/main/materias_filtered/g1/venezuelanos/2018/04_mai/html/g1_e78b6ac6-2326-11ed-b24f-6dbe51e79fca_4005.html", "HTML")</f>
        <v/>
      </c>
      <c r="R2169">
        <f>HYPERLINK("https://raw.githubusercontent.com/marcosmapl/dataset_imigrantes/main/materias_filtered/g1/venezuelanos/2018/04_mai/txt/g1_e78b6ac6-2326-11ed-b24f-6dbe51e79fca_4005.txt", "TXT")</f>
        <v/>
      </c>
    </row>
    <row r="2170">
      <c r="A2170" s="1" t="n">
        <v>2168</v>
      </c>
      <c r="B2170" t="n">
        <v>2018</v>
      </c>
      <c r="C2170" s="2" t="n">
        <v>43242.5190625</v>
      </c>
      <c r="D2170" t="inlineStr">
        <is>
          <t>A CRITICA</t>
        </is>
      </c>
      <c r="E2170" t="inlineStr">
        <is>
          <t>AMBOS</t>
        </is>
      </c>
      <c r="F2170" t="inlineStr"/>
      <c r="G2170" t="inlineStr">
        <is>
          <t>ELAINE PATRICIA CRUZ – AGÊNCIA BRASIL</t>
        </is>
      </c>
      <c r="H2170" t="inlineStr">
        <is>
          <t>GOVERNO BRASILEIRO PRETENDE ATRAIR MÃO DE OBRA ESTRANGEIRA QUALIFICADA PARA O PAÍS</t>
        </is>
      </c>
      <c r="I2170" t="inlineStr">
        <is>
          <t>O BRASIL QUER FACILITAR AS CONDIÇÕES PARA QUE ESSES PROFISSIONAIS ESTRANGEIROS QUALIFICADOS VENHAM PARA SOLO BRASILEIRO, DIMINUINDO A BUROCRACIA. ÁREAS ESTRATÉGICAS SERÃO DEFINIDAS</t>
        </is>
      </c>
      <c r="J2170" t="inlineStr"/>
      <c r="K2170" t="n">
        <v>0</v>
      </c>
      <c r="L2170" t="n">
        <v>1</v>
      </c>
      <c r="M2170" t="n">
        <v>0</v>
      </c>
      <c r="N2170" t="n">
        <v>0</v>
      </c>
      <c r="O2170" t="n">
        <v>0</v>
      </c>
      <c r="P2170">
        <f>HYPERLINK("https://www.acritica.com/governo-brasileiro-pretende-atrair-m-o-de-obra-estrangeira-qualificada-para-o-pais-1.187617", "URL")</f>
        <v/>
      </c>
      <c r="Q2170">
        <f>HYPERLINK("https://raw.githubusercontent.com/marcosmapl/dataset_imigrantes/main/materias_filtered/a_critica/ambos/2018/04_mai/html/1.187617_330.html", "HTML")</f>
        <v/>
      </c>
      <c r="R2170">
        <f>HYPERLINK("https://raw.githubusercontent.com/marcosmapl/dataset_imigrantes/main/materias_filtered/a_critica/ambos/2018/04_mai/txt/1.187617_330.txt", "TXT")</f>
        <v/>
      </c>
    </row>
    <row r="2171">
      <c r="A2171" s="1" t="n">
        <v>2169</v>
      </c>
      <c r="B2171" t="n">
        <v>2018</v>
      </c>
      <c r="C2171" s="2" t="n">
        <v>43241.79722222222</v>
      </c>
      <c r="D2171" t="inlineStr">
        <is>
          <t>A CRITICA</t>
        </is>
      </c>
      <c r="E2171" t="inlineStr">
        <is>
          <t>VENEZUELANOS</t>
        </is>
      </c>
      <c r="F2171" t="inlineStr"/>
      <c r="G2171" t="inlineStr">
        <is>
          <t>PAOLA DE ORTE - REPÓRTER DA AGÊNCIA BRASIL</t>
        </is>
      </c>
      <c r="H2171" t="inlineStr">
        <is>
          <t>EUA ANUNCIAM NOVAS SANÇÕES CONTRA VENEZUELA APÓS REELEIÇÃO DE MADURO</t>
        </is>
      </c>
      <c r="I2171" t="inlineStr">
        <is>
          <t>DECRETO PROÍBE NORTE-AMERICANOS DE COMPRAR DÍVIDAS DA VENEZUELA. SEGUNDO O DECRETO, A DECISÃO FOI TOMADA COMO CONSEQUÊNCIA DAS RECENTES ATIVIDADES DO GOVERNO DE NICOLÁS MADURO</t>
        </is>
      </c>
      <c r="J2171" t="inlineStr"/>
      <c r="K2171" t="n">
        <v>0</v>
      </c>
      <c r="L2171" t="n">
        <v>1</v>
      </c>
      <c r="M2171" t="n">
        <v>0</v>
      </c>
      <c r="N2171" t="n">
        <v>0</v>
      </c>
      <c r="O2171" t="n">
        <v>0</v>
      </c>
      <c r="P2171">
        <f>HYPERLINK("https://www.acritica.com/eua-anunciam-novas-sanc-es-contra-venezuela-apos-reeleic-o-de-maduro-1.187457", "URL")</f>
        <v/>
      </c>
      <c r="Q2171">
        <f>HYPERLINK("https://raw.githubusercontent.com/marcosmapl/dataset_imigrantes/main/materias_filtered/a_critica/venezuelanos/2018/04_mai/html/1.187457_390.html", "HTML")</f>
        <v/>
      </c>
      <c r="R2171">
        <f>HYPERLINK("https://raw.githubusercontent.com/marcosmapl/dataset_imigrantes/main/materias_filtered/a_critica/venezuelanos/2018/04_mai/txt/1.187457_390.txt", "TXT")</f>
        <v/>
      </c>
    </row>
    <row r="2172">
      <c r="A2172" s="1" t="n">
        <v>2170</v>
      </c>
      <c r="B2172" t="n">
        <v>2018</v>
      </c>
      <c r="C2172" s="2" t="n">
        <v>43241.74597398148</v>
      </c>
      <c r="D2172" t="inlineStr">
        <is>
          <t>G1</t>
        </is>
      </c>
      <c r="E2172" t="inlineStr">
        <is>
          <t>VENEZUELANOS</t>
        </is>
      </c>
      <c r="F2172" t="inlineStr">
        <is>
          <t>RORAIMA</t>
        </is>
      </c>
      <c r="G2172" t="inlineStr">
        <is>
          <t>G1 RR</t>
        </is>
      </c>
      <c r="H2172" t="inlineStr">
        <is>
          <t>JOVEM VENEZUELANO É ENCONTRADO MORTO DENTRO DE ESGOTO EM BOA VISTA</t>
        </is>
      </c>
      <c r="I2172" t="inlineStr">
        <is>
          <t>CORPO COM MARCA DE TIRO NA CABEÇA FOI ENCONTRADO PELA POLÍCIA MILITAR EM ESGOTO NA ÁREA CONHECIDA COMO 'BEIRAL', NA REGIÃO CENTRAL DE BOA VISTA.</t>
        </is>
      </c>
      <c r="J2172" t="inlineStr"/>
      <c r="K2172" t="n">
        <v>0</v>
      </c>
      <c r="L2172" t="n">
        <v>1</v>
      </c>
      <c r="M2172" t="n">
        <v>0</v>
      </c>
      <c r="N2172" t="n">
        <v>0</v>
      </c>
      <c r="O2172" t="n">
        <v>1</v>
      </c>
      <c r="P2172">
        <f>HYPERLINK("https://g1.globo.com/rr/roraima/noticia/jovem-venezuelano-e-encontrado-morto-dentro-de-esgoto-em-boa-vista.ghtml", "URL")</f>
        <v/>
      </c>
      <c r="Q2172">
        <f>HYPERLINK("https://raw.githubusercontent.com/marcosmapl/dataset_imigrantes/main/materias_filtered/g1/venezuelanos/2018/04_mai/html/g1_91024768-230f-11ed-b24f-6dbe51e79fca_2804.html", "HTML")</f>
        <v/>
      </c>
      <c r="R2172">
        <f>HYPERLINK("https://raw.githubusercontent.com/marcosmapl/dataset_imigrantes/main/materias_filtered/g1/venezuelanos/2018/04_mai/txt/g1_91024768-230f-11ed-b24f-6dbe51e79fca_2804.txt", "TXT")</f>
        <v/>
      </c>
    </row>
    <row r="2173">
      <c r="A2173" s="1" t="n">
        <v>2171</v>
      </c>
      <c r="B2173" t="n">
        <v>2018</v>
      </c>
      <c r="C2173" s="2" t="n">
        <v>43241.66458333333</v>
      </c>
      <c r="D2173" t="inlineStr">
        <is>
          <t>A CRITICA</t>
        </is>
      </c>
      <c r="E2173" t="inlineStr">
        <is>
          <t>HAITIANOS</t>
        </is>
      </c>
      <c r="F2173" t="inlineStr">
        <is>
          <t>MANAUS</t>
        </is>
      </c>
      <c r="G2173" t="inlineStr">
        <is>
          <t>AMANDA GUIMARÃES</t>
        </is>
      </c>
      <c r="H2173" t="inlineStr">
        <is>
          <t>MULHERES COMBATEM PRECONCEITO E DISPUTAM VAGAS PARA PEDREIROS EM MANAUS</t>
        </is>
      </c>
      <c r="I2173" t="inlineStr">
        <is>
          <t>"NÃO ME INCOMODA FALAREM QUE ESTE TRABALHO É DE MACHO, PORQUE FAÇO MAIS QUE MUITO DELES", DISSE MÁRCIA CASTRO. CONHEÇA ESSA E OUTRAS HISTÓRIAS DE QUEM BUSCA UM EMPREGO</t>
        </is>
      </c>
      <c r="J2173" t="inlineStr"/>
      <c r="K2173" t="n">
        <v>0</v>
      </c>
      <c r="L2173" t="n">
        <v>1</v>
      </c>
      <c r="M2173" t="n">
        <v>0</v>
      </c>
      <c r="N2173" t="n">
        <v>0</v>
      </c>
      <c r="O2173" t="n">
        <v>1</v>
      </c>
      <c r="P2173">
        <f>HYPERLINK("https://www.acritica.com/manaus/mulheres-combatem-preconceito-e-disputam-vagas-para-pedreiros-em-manaus-1.187517", "URL")</f>
        <v/>
      </c>
      <c r="Q2173">
        <f>HYPERLINK("https://raw.githubusercontent.com/marcosmapl/dataset_imigrantes/main/materias_filtered/a_critica/haitianos/2018/04_mai/html/1.187517_425.html", "HTML")</f>
        <v/>
      </c>
      <c r="R2173">
        <f>HYPERLINK("https://raw.githubusercontent.com/marcosmapl/dataset_imigrantes/main/materias_filtered/a_critica/haitianos/2018/04_mai/txt/1.187517_425.txt", "TXT")</f>
        <v/>
      </c>
    </row>
    <row r="2174">
      <c r="A2174" s="1" t="n">
        <v>2172</v>
      </c>
      <c r="B2174" t="n">
        <v>2018</v>
      </c>
      <c r="C2174" s="2" t="n">
        <v>43241.58626157408</v>
      </c>
      <c r="D2174" t="inlineStr">
        <is>
          <t>A CRITICA</t>
        </is>
      </c>
      <c r="E2174" t="inlineStr">
        <is>
          <t>VENEZUELANOS</t>
        </is>
      </c>
      <c r="F2174" t="inlineStr"/>
      <c r="G2174" t="inlineStr">
        <is>
          <t>RENATA GIRALDI (AGÊNCIA BRASIL)</t>
        </is>
      </c>
      <c r="H2174" t="inlineStr">
        <is>
          <t>BRASIL E MAIS 13 PAÍSES NÃO RECONHECEM A LEGITIMIDADE NA REELEIÇÃO DE MADURO</t>
        </is>
      </c>
      <c r="I2174" t="inlineStr">
        <is>
          <t>PRESIDENTE VENEZUELANO DESDE 2013, NICOLÁS FOI REELEITO EM PLEITO QUESTIONADO PELA OPOSIÇÃO. PAÍSES VÃO CONVOCAR EMBAIXADORES DA PARA DAR ESCLARECIMENTOS</t>
        </is>
      </c>
      <c r="J2174" t="inlineStr"/>
      <c r="K2174" t="n">
        <v>0</v>
      </c>
      <c r="L2174" t="n">
        <v>1</v>
      </c>
      <c r="M2174" t="n">
        <v>0</v>
      </c>
      <c r="N2174" t="n">
        <v>0</v>
      </c>
      <c r="O2174" t="n">
        <v>0</v>
      </c>
      <c r="P2174">
        <f>HYPERLINK("https://www.acritica.com/brasil-e-mais-13-paises-n-o-reconhecem-a-legitimidade-na-reeleic-o-de-maduro-1.187543", "URL")</f>
        <v/>
      </c>
      <c r="Q2174">
        <f>HYPERLINK("https://raw.githubusercontent.com/marcosmapl/dataset_imigrantes/main/materias_filtered/a_critica/venezuelanos/2018/04_mai/html/1.187543_13.html", "HTML")</f>
        <v/>
      </c>
      <c r="R2174">
        <f>HYPERLINK("https://raw.githubusercontent.com/marcosmapl/dataset_imigrantes/main/materias_filtered/a_critica/venezuelanos/2018/04_mai/txt/1.187543_13.txt", "TXT")</f>
        <v/>
      </c>
    </row>
    <row r="2175">
      <c r="A2175" s="1" t="n">
        <v>2173</v>
      </c>
      <c r="B2175" t="n">
        <v>2018</v>
      </c>
      <c r="C2175" s="2" t="n">
        <v>43241.51180555556</v>
      </c>
      <c r="D2175" t="inlineStr">
        <is>
          <t>A CRITICA</t>
        </is>
      </c>
      <c r="E2175" t="inlineStr">
        <is>
          <t>VENEZUELANOS</t>
        </is>
      </c>
      <c r="F2175" t="inlineStr"/>
      <c r="G2175" t="inlineStr">
        <is>
          <t>RENATA GIRALDI (AGÊNCIA BRASIL)</t>
        </is>
      </c>
      <c r="H2175" t="inlineStr">
        <is>
          <t>MADURO É REELEITO PRESIDENTE DA VENEZUELA EM ELEIÇÃO QUESTIONADA PELA OPOSIÇÃO</t>
        </is>
      </c>
      <c r="I2175" t="inlineStr">
        <is>
          <t>PRESIDENTE VENEZUELANO DESDE 2013, NICOLÁS, 55, FOI REELEITO PARA MANDATO DE MAIS SEIS ANOS. PLEITO RECEBEU ELEVADO ÍNDICE DE ABSTENÇÃO</t>
        </is>
      </c>
      <c r="J2175" t="inlineStr"/>
      <c r="K2175" t="n">
        <v>0</v>
      </c>
      <c r="L2175" t="n">
        <v>1</v>
      </c>
      <c r="M2175" t="n">
        <v>0</v>
      </c>
      <c r="N2175" t="n">
        <v>0</v>
      </c>
      <c r="O2175" t="n">
        <v>0</v>
      </c>
      <c r="P2175">
        <f>HYPERLINK("https://www.acritica.com/maduro-e-reeleito-presidente-da-venezuela-em-eleic-o-questionada-pela-oposic-o-1.187557", "URL")</f>
        <v/>
      </c>
      <c r="Q2175">
        <f>HYPERLINK("https://raw.githubusercontent.com/marcosmapl/dataset_imigrantes/main/materias_filtered/a_critica/venezuelanos/2018/04_mai/html/1.187557_1297.html", "HTML")</f>
        <v/>
      </c>
      <c r="R2175">
        <f>HYPERLINK("https://raw.githubusercontent.com/marcosmapl/dataset_imigrantes/main/materias_filtered/a_critica/venezuelanos/2018/04_mai/txt/1.187557_1297.txt", "TXT")</f>
        <v/>
      </c>
    </row>
    <row r="2176">
      <c r="A2176" s="1" t="n">
        <v>2174</v>
      </c>
      <c r="B2176" t="n">
        <v>2018</v>
      </c>
      <c r="C2176" s="2" t="n">
        <v>43241.44256809028</v>
      </c>
      <c r="D2176" t="inlineStr">
        <is>
          <t>G1</t>
        </is>
      </c>
      <c r="E2176" t="inlineStr">
        <is>
          <t>VENEZUELANOS</t>
        </is>
      </c>
      <c r="F2176" t="inlineStr">
        <is>
          <t>MUNDO</t>
        </is>
      </c>
      <c r="G2176" t="inlineStr">
        <is>
          <t>G1</t>
        </is>
      </c>
      <c r="H2176" t="inlineStr">
        <is>
          <t>NICOLÁS MADURO: DE LÍDER DA REVOLUÇÃO BOLIVARIANA A PRESIDENTE ACUSADO DE PROVOCAR O CAOS VENEZUELANO</t>
        </is>
      </c>
      <c r="I2176" t="inlineStr">
        <is>
          <t>PRESIDENTE FOI REELEITO NESTE DOMINGO A MAIS 6 ANOS NO PODER, EM ELEIÇÃO MARCADA POR DENÚNCIAS DE FRAUDE, BOICOTE DA OPOSIÇÃO E ALTA ABSTENÇÃO.</t>
        </is>
      </c>
      <c r="J2176" t="inlineStr"/>
      <c r="K2176" t="n">
        <v>0</v>
      </c>
      <c r="L2176" t="n">
        <v>3</v>
      </c>
      <c r="M2176" t="n">
        <v>2</v>
      </c>
      <c r="N2176" t="n">
        <v>0</v>
      </c>
      <c r="O2176" t="n">
        <v>10</v>
      </c>
      <c r="P2176">
        <f>HYPERLINK("https://g1.globo.com/mundo/noticia/nicolas-maduro-de-lider-da-revolucao-bolivariana-a-presidente-acusado-de-provocar-o-caos-venezuelano.ghtml", "URL")</f>
        <v/>
      </c>
      <c r="Q2176">
        <f>HYPERLINK("https://raw.githubusercontent.com/marcosmapl/dataset_imigrantes/main/materias_filtered/g1/venezuelanos/2018/04_mai/html/g1_49b19f66-2324-11ed-b24f-6dbe51e79fca_3861.html", "HTML")</f>
        <v/>
      </c>
      <c r="R2176">
        <f>HYPERLINK("https://raw.githubusercontent.com/marcosmapl/dataset_imigrantes/main/materias_filtered/g1/venezuelanos/2018/04_mai/txt/g1_49b19f66-2324-11ed-b24f-6dbe51e79fca_3861.txt", "TXT")</f>
        <v/>
      </c>
    </row>
    <row r="2177">
      <c r="A2177" s="1" t="n">
        <v>2175</v>
      </c>
      <c r="B2177" t="n">
        <v>2018</v>
      </c>
      <c r="C2177" s="2" t="n">
        <v>43240.92564814815</v>
      </c>
      <c r="D2177" t="inlineStr">
        <is>
          <t>A CRITICA</t>
        </is>
      </c>
      <c r="E2177" t="inlineStr">
        <is>
          <t>VENEZUELANOS</t>
        </is>
      </c>
      <c r="F2177" t="inlineStr">
        <is>
          <t>MANAUS</t>
        </is>
      </c>
      <c r="G2177" t="inlineStr">
        <is>
          <t>PAULO ANDRÉ NUNES</t>
        </is>
      </c>
      <c r="H2177" t="inlineStr">
        <is>
          <t>COM LEMA 'TODOS IRMÃOS E IRMÃS', CELEBRAÇÃO DE PENTECOSTES LOTA SAMBÓDROMO</t>
        </is>
      </c>
      <c r="I2177" t="inlineStr">
        <is>
          <t>CERCA DE 100 MIL CATÓLICOS ERAM ESPERADOS PELA ARQUIDIOCESE DE MANAUS. CELEBRAÇÃO GANHOU TOM HUMANITÁRIO, TENDO EM VISTA A SITUAÇÃO DOS REFUGIADOS VENEZUELANOS</t>
        </is>
      </c>
      <c r="J2177" t="inlineStr"/>
      <c r="K2177" t="n">
        <v>0</v>
      </c>
      <c r="L2177" t="n">
        <v>1</v>
      </c>
      <c r="M2177" t="n">
        <v>0</v>
      </c>
      <c r="N2177" t="n">
        <v>0</v>
      </c>
      <c r="O2177" t="n">
        <v>0</v>
      </c>
      <c r="P2177">
        <f>HYPERLINK("https://www.acritica.com/manaus/com-lema-todos-irm-os-e-irm-s-celebrac-o-de-pentecostes-lota-sambodromo-1.187342", "URL")</f>
        <v/>
      </c>
      <c r="Q2177">
        <f>HYPERLINK("https://raw.githubusercontent.com/marcosmapl/dataset_imigrantes/main/materias_filtered/a_critica/venezuelanos/2018/04_mai/html/1.187342_441.html", "HTML")</f>
        <v/>
      </c>
      <c r="R2177">
        <f>HYPERLINK("https://raw.githubusercontent.com/marcosmapl/dataset_imigrantes/main/materias_filtered/a_critica/venezuelanos/2018/04_mai/txt/1.187342_441.txt", "TXT")</f>
        <v/>
      </c>
    </row>
    <row r="2178">
      <c r="A2178" s="1" t="n">
        <v>2176</v>
      </c>
      <c r="B2178" t="n">
        <v>2018</v>
      </c>
      <c r="C2178" s="2" t="n">
        <v>43240.83229166667</v>
      </c>
      <c r="D2178" t="inlineStr">
        <is>
          <t>A CRITICA</t>
        </is>
      </c>
      <c r="E2178" t="inlineStr">
        <is>
          <t>HAITIANOS</t>
        </is>
      </c>
      <c r="F2178" t="inlineStr">
        <is>
          <t>MANAUS</t>
        </is>
      </c>
      <c r="G2178" t="inlineStr">
        <is>
          <t>JOANA QUEIROZ</t>
        </is>
      </c>
      <c r="H2178" t="inlineStr">
        <is>
          <t>INTERESSADOS EM PROCESSO SELETIVO PARA PEDREIRO FORMAM FILA EM FRENTE À SEMINF</t>
        </is>
      </c>
      <c r="I2178" t="inlineStr">
        <is>
          <t>DESEMPREGADOS COMEÇARAM A CHEGAR NA TARDE DE SÁBADO (19) E AGUARDAM INÍCIO DAS INSCRIÇÕES NESTA SEGUNDA-FEIRA (21). NEM MESMO A CHUVA RETIROU AS PESSOAS DO LOCAL, NA ZONA CENTRO-SUL DE MANAUS</t>
        </is>
      </c>
      <c r="J2178" t="inlineStr"/>
      <c r="K2178" t="n">
        <v>0</v>
      </c>
      <c r="L2178" t="n">
        <v>1</v>
      </c>
      <c r="M2178" t="n">
        <v>0</v>
      </c>
      <c r="N2178" t="n">
        <v>0</v>
      </c>
      <c r="O2178" t="n">
        <v>2</v>
      </c>
      <c r="P2178">
        <f>HYPERLINK("https://www.acritica.com/manaus/interessados-em-processo-seletivo-para-pedreiro-formam-fila-em-frente-a-seminf-1.187360", "URL")</f>
        <v/>
      </c>
      <c r="Q2178">
        <f>HYPERLINK("https://raw.githubusercontent.com/marcosmapl/dataset_imigrantes/main/materias_filtered/a_critica/haitianos/2018/04_mai/html/1.187360_787.html", "HTML")</f>
        <v/>
      </c>
      <c r="R2178">
        <f>HYPERLINK("https://raw.githubusercontent.com/marcosmapl/dataset_imigrantes/main/materias_filtered/a_critica/haitianos/2018/04_mai/txt/1.187360_787.txt", "TXT")</f>
        <v/>
      </c>
    </row>
    <row r="2179">
      <c r="A2179" s="1" t="n">
        <v>2177</v>
      </c>
      <c r="B2179" t="n">
        <v>2018</v>
      </c>
      <c r="C2179" s="2" t="n">
        <v>43239.86045138889</v>
      </c>
      <c r="D2179" t="inlineStr">
        <is>
          <t>A CRITICA</t>
        </is>
      </c>
      <c r="E2179" t="inlineStr">
        <is>
          <t>VENEZUELANOS</t>
        </is>
      </c>
      <c r="F2179" t="inlineStr">
        <is>
          <t>OPINIAO</t>
        </is>
      </c>
      <c r="G2179" t="inlineStr"/>
      <c r="H2179" t="inlineStr">
        <is>
          <t>O  BRASIL E O DRAMA DOS REFUGIADOS</t>
        </is>
      </c>
      <c r="I2179" t="inlineStr"/>
      <c r="J2179" t="inlineStr"/>
      <c r="K2179" t="n">
        <v>0</v>
      </c>
      <c r="L2179" t="n">
        <v>1</v>
      </c>
      <c r="M2179" t="n">
        <v>0</v>
      </c>
      <c r="N2179" t="n">
        <v>0</v>
      </c>
      <c r="O2179" t="n">
        <v>0</v>
      </c>
      <c r="P2179">
        <f>HYPERLINK("https://www.acritica.com/opiniao/o-brasil-e-o-drama-dos-refugiados-1.230023", "URL")</f>
        <v/>
      </c>
      <c r="Q2179">
        <f>HYPERLINK("https://raw.githubusercontent.com/marcosmapl/dataset_imigrantes/main/materias_filtered/a_critica/venezuelanos/2018/04_mai/html/1.230023_633.html", "HTML")</f>
        <v/>
      </c>
      <c r="R2179">
        <f>HYPERLINK("https://raw.githubusercontent.com/marcosmapl/dataset_imigrantes/main/materias_filtered/a_critica/venezuelanos/2018/04_mai/txt/1.230023_633.txt", "TXT")</f>
        <v/>
      </c>
    </row>
    <row r="2180">
      <c r="A2180" s="1" t="n">
        <v>2178</v>
      </c>
      <c r="B2180" t="n">
        <v>2018</v>
      </c>
      <c r="C2180" s="2" t="n">
        <v>43239.0510468287</v>
      </c>
      <c r="D2180" t="inlineStr">
        <is>
          <t>G1</t>
        </is>
      </c>
      <c r="E2180" t="inlineStr">
        <is>
          <t>VENEZUELANOS</t>
        </is>
      </c>
      <c r="F2180" t="inlineStr">
        <is>
          <t>MUNDO</t>
        </is>
      </c>
      <c r="G2180" t="inlineStr">
        <is>
          <t>BBC</t>
        </is>
      </c>
      <c r="H2180" t="inlineStr">
        <is>
          <t>'QUERO MINHA REVOLUÇÃO! COM ELA NASCI E COM ELA MORRO': O QUE PENSAM OS CHAVISTAS QUE VÃO VOTAR EM MADURO NAS ELEIÇÕES VENEZUELANAS</t>
        </is>
      </c>
      <c r="I2180" t="inlineStr">
        <is>
          <t>APESAR DA GRAVE CRISE POLÍTICA, ECONÔMICA E HUMANITÁRIA QUE TOMA CONTA DA VENEZUELA, NICOLÁS MADURO TEM UM SÉQUITO DE MILHARES DE PESSOAS DISPOSTAS A REELEGÊ-LO PRESIDENTE NAS ELEIÇÕES DE DOMINGO.</t>
        </is>
      </c>
      <c r="J2180" t="inlineStr"/>
      <c r="K2180" t="n">
        <v>0</v>
      </c>
      <c r="L2180" t="n">
        <v>2</v>
      </c>
      <c r="M2180" t="n">
        <v>0</v>
      </c>
      <c r="N2180" t="n">
        <v>0</v>
      </c>
      <c r="O2180" t="n">
        <v>0</v>
      </c>
      <c r="P2180">
        <f>HYPERLINK("https://g1.globo.com/mundo/noticia/quero-minha-revolucao-com-ela-nasci-e-com-ela-morro-o-que-pensam-os-chavistas-que-vao-votar-em-maduro-nas-eleicoes-venezuelanas.ghtml", "URL")</f>
        <v/>
      </c>
      <c r="Q2180">
        <f>HYPERLINK("https://raw.githubusercontent.com/marcosmapl/dataset_imigrantes/main/materias_filtered/g1/venezuelanos/2018/04_mai/html/g1_d1d2fb6c-230e-11ed-b24f-6dbe51e79fca_2759.html", "HTML")</f>
        <v/>
      </c>
      <c r="R2180">
        <f>HYPERLINK("https://raw.githubusercontent.com/marcosmapl/dataset_imigrantes/main/materias_filtered/g1/venezuelanos/2018/04_mai/txt/g1_d1d2fb6c-230e-11ed-b24f-6dbe51e79fca_2759.txt", "TXT")</f>
        <v/>
      </c>
    </row>
    <row r="2181">
      <c r="A2181" s="1" t="n">
        <v>2179</v>
      </c>
      <c r="B2181" t="n">
        <v>2018</v>
      </c>
      <c r="C2181" s="2" t="n">
        <v>43235.65208333333</v>
      </c>
      <c r="D2181" t="inlineStr">
        <is>
          <t>A CRITICA</t>
        </is>
      </c>
      <c r="E2181" t="inlineStr">
        <is>
          <t>VENEZUELANOS</t>
        </is>
      </c>
      <c r="F2181" t="inlineStr">
        <is>
          <t>MANAUS</t>
        </is>
      </c>
      <c r="G2181" t="inlineStr">
        <is>
          <t>ALIK MENEZES</t>
        </is>
      </c>
      <c r="H2181" t="inlineStr">
        <is>
          <t>ARQUIDIOCESE DE MANAUS REALIZA FESTA DE PENTECOSTES NO DOMINGO (20)</t>
        </is>
      </c>
      <c r="I2181" t="inlineStr">
        <is>
          <t>TEMA ESCOLHIDO É "NA FORÇA DO ESPÍRITO, TODOS IRMÃOS E IRMÃS". TRADICIONAL EVENTO CATÓLICO ACONTECE NO SAMBÓDROMO, A PARTIR DAS 17H</t>
        </is>
      </c>
      <c r="J2181" t="inlineStr"/>
      <c r="K2181" t="n">
        <v>0</v>
      </c>
      <c r="L2181" t="n">
        <v>1</v>
      </c>
      <c r="M2181" t="n">
        <v>0</v>
      </c>
      <c r="N2181" t="n">
        <v>0</v>
      </c>
      <c r="O2181" t="n">
        <v>0</v>
      </c>
      <c r="P2181">
        <f>HYPERLINK("https://www.acritica.com/manaus/arquidiocese-de-manaus-realiza-festa-de-pentecostes-no-domingo-20-1.186647", "URL")</f>
        <v/>
      </c>
      <c r="Q2181">
        <f>HYPERLINK("https://raw.githubusercontent.com/marcosmapl/dataset_imigrantes/main/materias_filtered/a_critica/venezuelanos/2018/04_mai/html/1.186647_700.html", "HTML")</f>
        <v/>
      </c>
      <c r="R2181">
        <f>HYPERLINK("https://raw.githubusercontent.com/marcosmapl/dataset_imigrantes/main/materias_filtered/a_critica/venezuelanos/2018/04_mai/txt/1.186647_700.txt", "TXT")</f>
        <v/>
      </c>
    </row>
    <row r="2182">
      <c r="A2182" s="1" t="n">
        <v>2180</v>
      </c>
      <c r="B2182" t="n">
        <v>2018</v>
      </c>
      <c r="C2182" s="2" t="n">
        <v>43235.45416666667</v>
      </c>
      <c r="D2182" t="inlineStr">
        <is>
          <t>PORTAL AMAZONIA</t>
        </is>
      </c>
      <c r="E2182" t="inlineStr">
        <is>
          <t>VENEZUELANOS</t>
        </is>
      </c>
      <c r="F2182" t="inlineStr">
        <is>
          <t>CIDADES</t>
        </is>
      </c>
      <c r="G2182" t="inlineStr">
        <is>
          <t>REDAÇÃO</t>
        </is>
      </c>
      <c r="H2182" t="inlineStr">
        <is>
          <t>11% DOS BEBÊS NASCIDOS EM BOA VISTA ESTE ANO SÃO FILHOS DE VENEZUELANAS</t>
        </is>
      </c>
      <c r="I2182" t="inlineStr">
        <is>
          <t>FORAM 253 NASCIMENTOS DE FILHOS DE VENEZUELANOS NA CAPITAL RORAIMENSE SÓ NOS TRÊS PRIMEIROS MESES DE 2018. O NÚMERO JÁ É QUASE METADE DOS NASCIDOS ANO PASSADO NA MESMA SITUAÇÃO: QUANDO FORAM REGISTRADOS 566 NASCIMENTOS DE CRIANÇAS FILHAS DE MULHERES</t>
        </is>
      </c>
      <c r="J2182" t="inlineStr">
        <is>
          <t>RECEM NASCIDO VENEZUELANOS</t>
        </is>
      </c>
      <c r="K2182" t="n">
        <v>1</v>
      </c>
      <c r="L2182" t="n">
        <v>1</v>
      </c>
      <c r="M2182" t="n">
        <v>0</v>
      </c>
      <c r="N2182" t="n">
        <v>0</v>
      </c>
      <c r="O2182" t="n">
        <v>6</v>
      </c>
      <c r="P2182">
        <f>HYPERLINK("https://portalamazonia.com/noticias/cidades/11-dos-bebes-nascidos-em-boa-vista-este-ano-sao-filhos-de-venezuelanas", "URL")</f>
        <v/>
      </c>
      <c r="Q2182">
        <f>HYPERLINK("https://raw.githubusercontent.com/marcosmapl/dataset_imigrantes/main/materias_filtered/portal_amazonia/venezuelanos/2018/04_mai/html/13852.13852_1619.html", "HTML")</f>
        <v/>
      </c>
      <c r="R2182">
        <f>HYPERLINK("https://raw.githubusercontent.com/marcosmapl/dataset_imigrantes/main/materias_filtered/portal_amazonia/venezuelanos/2018/04_mai/txt/13852.13852_1619.txt", "TXT")</f>
        <v/>
      </c>
    </row>
    <row r="2183">
      <c r="A2183" s="1" t="n">
        <v>2181</v>
      </c>
      <c r="B2183" t="n">
        <v>2018</v>
      </c>
      <c r="C2183" s="2" t="n">
        <v>43234.95980395834</v>
      </c>
      <c r="D2183" t="inlineStr">
        <is>
          <t>G1</t>
        </is>
      </c>
      <c r="E2183" t="inlineStr">
        <is>
          <t>VENEZUELANOS</t>
        </is>
      </c>
      <c r="F2183" t="inlineStr">
        <is>
          <t>RORAIMA</t>
        </is>
      </c>
      <c r="G2183" t="inlineStr">
        <is>
          <t>JACKSON FÉLIX, G1 RR</t>
        </is>
      </c>
      <c r="H2183" t="inlineStr">
        <is>
          <t>MINISTRO DA SAÚDE ANUNCIA REPASSE DE R$ 28 MILHÕES PARA RORAIMA LIDAR COM IMIGRAÇÃO VENEZUELANA</t>
        </is>
      </c>
      <c r="I2183" t="inlineStr">
        <is>
          <t>MINISTRO GILBERTO OCCHI  ESTEVE NESTA SEGUNDA-FEIRA (14) EM BOA VISTA E PACARAIMA, CIDADE NA FRONTEIRA COM A VENEZUELA.</t>
        </is>
      </c>
      <c r="J2183" t="inlineStr"/>
      <c r="K2183" t="n">
        <v>0</v>
      </c>
      <c r="L2183" t="n">
        <v>1</v>
      </c>
      <c r="M2183" t="n">
        <v>0</v>
      </c>
      <c r="N2183" t="n">
        <v>0</v>
      </c>
      <c r="O2183" t="n">
        <v>3</v>
      </c>
      <c r="P2183">
        <f>HYPERLINK("https://g1.globo.com/rr/roraima/noticia/ministro-da-saude-anuncia-repasse-de-r-28-milhoes-para-roraima-lidar-com-imigracao-venezuelana.ghtml", "URL")</f>
        <v/>
      </c>
      <c r="Q2183">
        <f>HYPERLINK("https://raw.githubusercontent.com/marcosmapl/dataset_imigrantes/main/materias_filtered/g1/venezuelanos/2018/04_mai/html/g1_dcc2475a-2325-11ed-b24f-6dbe51e79fca_3938.html", "HTML")</f>
        <v/>
      </c>
      <c r="R2183">
        <f>HYPERLINK("https://raw.githubusercontent.com/marcosmapl/dataset_imigrantes/main/materias_filtered/g1/venezuelanos/2018/04_mai/txt/g1_dcc2475a-2325-11ed-b24f-6dbe51e79fca_3938.txt", "TXT")</f>
        <v/>
      </c>
    </row>
    <row r="2184">
      <c r="A2184" s="1" t="n">
        <v>2182</v>
      </c>
      <c r="B2184" t="n">
        <v>2018</v>
      </c>
      <c r="C2184" s="2" t="n">
        <v>43232.41698587963</v>
      </c>
      <c r="D2184" t="inlineStr">
        <is>
          <t>G1</t>
        </is>
      </c>
      <c r="E2184" t="inlineStr">
        <is>
          <t>VENEZUELANOS</t>
        </is>
      </c>
      <c r="F2184" t="inlineStr">
        <is>
          <t>SÃO PAULO</t>
        </is>
      </c>
      <c r="G2184" t="inlineStr">
        <is>
          <t>RAFAELA PUTINI*, G1 SP — SÃO PAULO</t>
        </is>
      </c>
      <c r="H2184" t="inlineStr">
        <is>
          <t>VENEZUELANA QUE DEU À LUZ LOGO APÓS CRUZAR FRONTEIRA COM O BRASIL PASSA O 1º DIA DAS MÃES EM SP</t>
        </is>
      </c>
      <c r="I2184" t="inlineStr">
        <is>
          <t>HÁ UM MÊS NA CIDADE, ELA E COMPATRIOTA FALAM SOBRE MATERNIDADE, EXPERIÊNCIAS DA IMIGRAÇÃO E SONHOS.</t>
        </is>
      </c>
      <c r="J2184" t="inlineStr"/>
      <c r="K2184" t="n">
        <v>0</v>
      </c>
      <c r="L2184" t="n">
        <v>1</v>
      </c>
      <c r="M2184" t="n">
        <v>0</v>
      </c>
      <c r="N2184" t="n">
        <v>0</v>
      </c>
      <c r="O2184" t="n">
        <v>0</v>
      </c>
      <c r="P2184">
        <f>HYPERLINK("https://g1.globo.com/sp/sao-paulo/noticia/venezuelana-que-deu-a-luz-logo-apos-cruzar-fronteira-com-o-brasil-passa-o-1-dia-das-maes-em-sp.ghtml", "URL")</f>
        <v/>
      </c>
      <c r="Q2184">
        <f>HYPERLINK("https://raw.githubusercontent.com/marcosmapl/dataset_imigrantes/main/materias_filtered/g1/venezuelanos/2018/04_mai/html/g1_556f76c2-232c-11ed-b24f-6dbe51e79fca_4298.html", "HTML")</f>
        <v/>
      </c>
      <c r="R2184">
        <f>HYPERLINK("https://raw.githubusercontent.com/marcosmapl/dataset_imigrantes/main/materias_filtered/g1/venezuelanos/2018/04_mai/txt/g1_556f76c2-232c-11ed-b24f-6dbe51e79fca_4298.txt", "TXT")</f>
        <v/>
      </c>
    </row>
    <row r="2185">
      <c r="A2185" s="1" t="n">
        <v>2183</v>
      </c>
      <c r="B2185" t="n">
        <v>2018</v>
      </c>
      <c r="C2185" s="2" t="n">
        <v>43231.04097222222</v>
      </c>
      <c r="D2185" t="inlineStr">
        <is>
          <t>A CRITICA</t>
        </is>
      </c>
      <c r="E2185" t="inlineStr">
        <is>
          <t>VENEZUELANOS</t>
        </is>
      </c>
      <c r="F2185" t="inlineStr">
        <is>
          <t>AMAZONIA</t>
        </is>
      </c>
      <c r="G2185" t="inlineStr">
        <is>
          <t>SILANE SOUZA</t>
        </is>
      </c>
      <c r="H2185" t="inlineStr">
        <is>
          <t>PESQUISADORES DEFENDEM MAIS INVESTIMENTO EM CIÊNCIA PARA SALVAR A AMAZÔNIA</t>
        </is>
      </c>
      <c r="I2185" t="inlineStr">
        <is>
          <t>EX-MINISTRO RUBENS RICUPERO FALOU EM SEMINÁRIO SOBRE A IMPORTÂNCIA DO CONHECIMENTO HUMANO E MECANISMO NOS MOLDES DO IPCC PARA DEBATER A REGIÃO</t>
        </is>
      </c>
      <c r="J2185" t="inlineStr"/>
      <c r="K2185" t="n">
        <v>0</v>
      </c>
      <c r="L2185" t="n">
        <v>1</v>
      </c>
      <c r="M2185" t="n">
        <v>0</v>
      </c>
      <c r="N2185" t="n">
        <v>0</v>
      </c>
      <c r="O2185" t="n">
        <v>0</v>
      </c>
      <c r="P2185">
        <f>HYPERLINK("https://www.acritica.com/amazonia/pesquisadores-defendem-mais-investimento-em-ciencia-para-salvar-a-amazonia-1.186133", "URL")</f>
        <v/>
      </c>
      <c r="Q2185">
        <f>HYPERLINK("https://raw.githubusercontent.com/marcosmapl/dataset_imigrantes/main/materias_filtered/a_critica/venezuelanos/2018/04_mai/html/1.186133_170.html", "HTML")</f>
        <v/>
      </c>
      <c r="R2185">
        <f>HYPERLINK("https://raw.githubusercontent.com/marcosmapl/dataset_imigrantes/main/materias_filtered/a_critica/venezuelanos/2018/04_mai/txt/1.186133_170.txt", "TXT")</f>
        <v/>
      </c>
    </row>
    <row r="2186">
      <c r="A2186" s="1" t="n">
        <v>2184</v>
      </c>
      <c r="B2186" t="n">
        <v>2018</v>
      </c>
      <c r="C2186" s="2" t="n">
        <v>43230.91490740741</v>
      </c>
      <c r="D2186" t="inlineStr">
        <is>
          <t>A CRITICA</t>
        </is>
      </c>
      <c r="E2186" t="inlineStr">
        <is>
          <t>VENEZUELANOS</t>
        </is>
      </c>
      <c r="F2186" t="inlineStr">
        <is>
          <t>MANAUS</t>
        </is>
      </c>
      <c r="G2186" t="inlineStr">
        <is>
          <t>ACRITICA.COM*</t>
        </is>
      </c>
      <c r="H2186" t="inlineStr">
        <is>
          <t>MANAUS VAI RECEBER MAIS 200 IMIGRANTES VENEZUELANOS EM ABRIGO NO COROADO</t>
        </is>
      </c>
      <c r="I2186" t="inlineStr">
        <is>
          <t>GOVERNO FEDERAL DEVE REPASSAR R$ 20 MIL POR MÊS À PREFEITURA POR ACOLHER OS VENEZUELANOS VINDOS DE BOA VISTA (RR)</t>
        </is>
      </c>
      <c r="J2186" t="inlineStr"/>
      <c r="K2186" t="n">
        <v>0</v>
      </c>
      <c r="L2186" t="n">
        <v>1</v>
      </c>
      <c r="M2186" t="n">
        <v>0</v>
      </c>
      <c r="N2186" t="n">
        <v>0</v>
      </c>
      <c r="O2186" t="n">
        <v>0</v>
      </c>
      <c r="P2186">
        <f>HYPERLINK("https://www.acritica.com/manaus/manaus-vai-receber-mais-200-imigrantes-venezuelanos-em-abrigo-no-coroado-1.185903", "URL")</f>
        <v/>
      </c>
      <c r="Q2186">
        <f>HYPERLINK("https://raw.githubusercontent.com/marcosmapl/dataset_imigrantes/main/materias_filtered/a_critica/venezuelanos/2018/04_mai/html/1.185903_1309.html", "HTML")</f>
        <v/>
      </c>
      <c r="R2186">
        <f>HYPERLINK("https://raw.githubusercontent.com/marcosmapl/dataset_imigrantes/main/materias_filtered/a_critica/venezuelanos/2018/04_mai/txt/1.185903_1309.txt", "TXT")</f>
        <v/>
      </c>
    </row>
    <row r="2187">
      <c r="A2187" s="1" t="n">
        <v>2185</v>
      </c>
      <c r="B2187" t="n">
        <v>2018</v>
      </c>
      <c r="C2187" s="2" t="n">
        <v>43229.87152777778</v>
      </c>
      <c r="D2187" t="inlineStr">
        <is>
          <t>A CRITICA</t>
        </is>
      </c>
      <c r="E2187" t="inlineStr">
        <is>
          <t>VENEZUELANOS</t>
        </is>
      </c>
      <c r="F2187" t="inlineStr">
        <is>
          <t>MANAUS</t>
        </is>
      </c>
      <c r="G2187" t="inlineStr">
        <is>
          <t>VITOR GAVIRATI</t>
        </is>
      </c>
      <c r="H2187" t="inlineStr">
        <is>
          <t>SUSPEITAS DE SARAMPO EM MANAUS SÃO 15,8% MAIOR DO QUE EM TODO O ESTADO DE RORAIMA</t>
        </is>
      </c>
      <c r="I2187" t="inlineStr">
        <is>
          <t>RORAIMA FOI O ESTADO EM QUE OS PRIMEIROS CASOS APARECERAM NO NOVO "SURTO" BRASILEIRO DA DOENÇA</t>
        </is>
      </c>
      <c r="J2187" t="inlineStr"/>
      <c r="K2187" t="n">
        <v>0</v>
      </c>
      <c r="L2187" t="n">
        <v>1</v>
      </c>
      <c r="M2187" t="n">
        <v>0</v>
      </c>
      <c r="N2187" t="n">
        <v>0</v>
      </c>
      <c r="O2187" t="n">
        <v>2</v>
      </c>
      <c r="P2187">
        <f>HYPERLINK("https://www.acritica.com/manaus/suspeitas-de-sarampo-em-manaus-s-o-15-8-maior-do-que-em-todo-o-estado-de-roraima-1.186001", "URL")</f>
        <v/>
      </c>
      <c r="Q2187">
        <f>HYPERLINK("https://raw.githubusercontent.com/marcosmapl/dataset_imigrantes/main/materias_filtered/a_critica/venezuelanos/2018/04_mai/html/1.186001_818.html", "HTML")</f>
        <v/>
      </c>
      <c r="R2187">
        <f>HYPERLINK("https://raw.githubusercontent.com/marcosmapl/dataset_imigrantes/main/materias_filtered/a_critica/venezuelanos/2018/04_mai/txt/1.186001_818.txt", "TXT")</f>
        <v/>
      </c>
    </row>
    <row r="2188">
      <c r="A2188" s="1" t="n">
        <v>2186</v>
      </c>
      <c r="B2188" t="n">
        <v>2018</v>
      </c>
      <c r="C2188" s="2" t="n">
        <v>43229.79236111111</v>
      </c>
      <c r="D2188" t="inlineStr">
        <is>
          <t>PORTAL AMAZONIA</t>
        </is>
      </c>
      <c r="E2188" t="inlineStr">
        <is>
          <t>VENEZUELANOS</t>
        </is>
      </c>
      <c r="F2188" t="inlineStr">
        <is>
          <t>CIDADES</t>
        </is>
      </c>
      <c r="G2188" t="inlineStr">
        <is>
          <t>REDAÇÃO</t>
        </is>
      </c>
      <c r="H2188" t="inlineStr">
        <is>
          <t>PREFEITURA DE MANAUS AFIRMA QUE VAI ACOLHER MAIS 200 IMIGRANTES VENEZUELANOS</t>
        </is>
      </c>
      <c r="I2188" t="inlineStr">
        <is>
          <t>MANAUS (AM) ABRIGA OFICIALMENTE 336 IMIGRANTES VENEZUELANOS. ESSES NÚMEROS SÃO REFERENTES AOS 172 INDÍGENAS DA ETNIA WARAO E 164 IMIGRANTES QUE CHEGARAM NA ÚLTIMA SEXTA-FEIRA (4) NA CAPITAL, VINDOS DE BOA VISTA, RORAIMA. A PREFEITURA JÁ AFIRMOU QUE O</t>
        </is>
      </c>
      <c r="J2188" t="inlineStr">
        <is>
          <t>IMIGRAÇÃO, MANAUS, VENEZUELANOS</t>
        </is>
      </c>
      <c r="K2188" t="n">
        <v>3</v>
      </c>
      <c r="L2188" t="n">
        <v>1</v>
      </c>
      <c r="M2188" t="n">
        <v>0</v>
      </c>
      <c r="N2188" t="n">
        <v>0</v>
      </c>
      <c r="O2188" t="n">
        <v>8</v>
      </c>
      <c r="P2188">
        <f>HYPERLINK("https://portalamazonia.com/noticias/cidades/prefeitura-de-manaus-afirma-que-vai-acolher-mais-200-imigrantes-venezuelanos", "URL")</f>
        <v/>
      </c>
      <c r="Q2188">
        <f>HYPERLINK("https://raw.githubusercontent.com/marcosmapl/dataset_imigrantes/main/materias_filtered/portal_amazonia/venezuelanos/2018/04_mai/html/13738.25550_1576.html", "HTML")</f>
        <v/>
      </c>
      <c r="R2188">
        <f>HYPERLINK("https://raw.githubusercontent.com/marcosmapl/dataset_imigrantes/main/materias_filtered/portal_amazonia/venezuelanos/2018/04_mai/txt/13738.25550_1576.txt", "TXT")</f>
        <v/>
      </c>
    </row>
    <row r="2189">
      <c r="A2189" s="1" t="n">
        <v>2187</v>
      </c>
      <c r="B2189" t="n">
        <v>2018</v>
      </c>
      <c r="C2189" s="2" t="n">
        <v>43229.04866055556</v>
      </c>
      <c r="D2189" t="inlineStr">
        <is>
          <t>G1</t>
        </is>
      </c>
      <c r="E2189" t="inlineStr">
        <is>
          <t>VENEZUELANOS</t>
        </is>
      </c>
      <c r="F2189" t="inlineStr">
        <is>
          <t>RORAIMA</t>
        </is>
      </c>
      <c r="G2189" t="inlineStr">
        <is>
          <t>G1 RR</t>
        </is>
      </c>
      <c r="H2189" t="inlineStr">
        <is>
          <t>VENEZUELANO ESFAQUEIA OUTRO DURANTE DISCUSSÃO EM BOA VISTA</t>
        </is>
      </c>
      <c r="I2189" t="inlineStr">
        <is>
          <t>SUSPEITO DISSE QUE AGREDIU VÍTIMA PORQUE ELA FALOU MAL DELE.</t>
        </is>
      </c>
      <c r="J2189" t="inlineStr"/>
      <c r="K2189" t="n">
        <v>0</v>
      </c>
      <c r="L2189" t="n">
        <v>1</v>
      </c>
      <c r="M2189" t="n">
        <v>0</v>
      </c>
      <c r="N2189" t="n">
        <v>0</v>
      </c>
      <c r="O2189" t="n">
        <v>0</v>
      </c>
      <c r="P2189">
        <f>HYPERLINK("https://g1.globo.com/rr/roraima/noticia/venezuelano-esfaqueia-outro-durante-discussao-em-boa-vista.ghtml", "URL")</f>
        <v/>
      </c>
      <c r="Q2189">
        <f>HYPERLINK("https://raw.githubusercontent.com/marcosmapl/dataset_imigrantes/main/materias_filtered/g1/venezuelanos/2018/04_mai/html/g1_1345a0aa-232c-11ed-b24f-6dbe51e79fca_4284.html", "HTML")</f>
        <v/>
      </c>
      <c r="R2189">
        <f>HYPERLINK("https://raw.githubusercontent.com/marcosmapl/dataset_imigrantes/main/materias_filtered/g1/venezuelanos/2018/04_mai/txt/g1_1345a0aa-232c-11ed-b24f-6dbe51e79fca_4284.txt", "TXT")</f>
        <v/>
      </c>
    </row>
    <row r="2190">
      <c r="A2190" s="1" t="n">
        <v>2188</v>
      </c>
      <c r="B2190" t="n">
        <v>2018</v>
      </c>
      <c r="C2190" s="2" t="n">
        <v>43228.56180555555</v>
      </c>
      <c r="D2190" t="inlineStr">
        <is>
          <t>PORTAL AMAZONIA</t>
        </is>
      </c>
      <c r="E2190" t="inlineStr">
        <is>
          <t>VENEZUELANOS</t>
        </is>
      </c>
      <c r="F2190" t="inlineStr">
        <is>
          <t>CIDADES</t>
        </is>
      </c>
      <c r="G2190" t="inlineStr">
        <is>
          <t>REDAÇÃO</t>
        </is>
      </c>
      <c r="H2190" t="inlineStr">
        <is>
          <t>GOVERNO VAI CONSTRUIR QUATRO NOVOS ABRIGOS PARA VENEZUELANOS EM RORAIMA</t>
        </is>
      </c>
      <c r="I2190" t="inlineStr">
        <is>
          <t>A FORÇA-TAREFA LOGÍSTICA E HUMANITÁRIA QUE ATUA EM RORAIMA TERÁ O DESAFIO, ESTA SEMANA, DE CONSTRUIR QUATRO NOVOS ABRIGOS NO ESTADO. TRÊS EM BOA VISTA E UM EM PACARAIMA. CADA ABRIGO PODERÁ RECEBER ATÉ 500 PESSOAS. DE ACORDO COM A ASSESSORIA DE COMUNI</t>
        </is>
      </c>
      <c r="J2190" t="inlineStr">
        <is>
          <t>ABRIGOS VENEZUELANOS</t>
        </is>
      </c>
      <c r="K2190" t="n">
        <v>1</v>
      </c>
      <c r="L2190" t="n">
        <v>2</v>
      </c>
      <c r="M2190" t="n">
        <v>0</v>
      </c>
      <c r="N2190" t="n">
        <v>0</v>
      </c>
      <c r="O2190" t="n">
        <v>6</v>
      </c>
      <c r="P2190">
        <f>HYPERLINK("https://portalamazonia.com/noticias/cidades/governo-vai-construir-quatro-novos-abrigos-para-venezuelanos-em-roraima", "URL")</f>
        <v/>
      </c>
      <c r="Q2190">
        <f>HYPERLINK("https://raw.githubusercontent.com/marcosmapl/dataset_imigrantes/main/materias_filtered/portal_amazonia/venezuelanos/2018/04_mai/html/13690.13690_1590.html", "HTML")</f>
        <v/>
      </c>
      <c r="R2190">
        <f>HYPERLINK("https://raw.githubusercontent.com/marcosmapl/dataset_imigrantes/main/materias_filtered/portal_amazonia/venezuelanos/2018/04_mai/txt/13690.13690_1590.txt", "TXT")</f>
        <v/>
      </c>
    </row>
    <row r="2191">
      <c r="A2191" s="1" t="n">
        <v>2189</v>
      </c>
      <c r="B2191" t="n">
        <v>2018</v>
      </c>
      <c r="C2191" s="2" t="n">
        <v>43228.54027777778</v>
      </c>
      <c r="D2191" t="inlineStr">
        <is>
          <t>PORTAL AMAZONIA</t>
        </is>
      </c>
      <c r="E2191" t="inlineStr">
        <is>
          <t>VENEZUELANOS</t>
        </is>
      </c>
      <c r="F2191" t="inlineStr">
        <is>
          <t>CIDADES</t>
        </is>
      </c>
      <c r="G2191" t="inlineStr">
        <is>
          <t>REDAÇÃO</t>
        </is>
      </c>
      <c r="H2191" t="inlineStr">
        <is>
          <t>CASA DE ACOLHIDA RECEBE MAIS DE 100 VENEZUELANOS EM MANAUS</t>
        </is>
      </c>
      <c r="I2191" t="inlineStr">
        <is>
          <t>A CASA DE ACOLHIDA SANTA CATARINA DE SENA, EM MANAUS (AM), É UM DOS TRÊS ABRIGOS PARA ONDE FORAM ENCAMINHADOS 164 IMIGRANTES VENEZUELANOS QUE CHEGARAM A CAPITAL  NA SEXTA-FEIRA (4). ESPAÇO É MANTIDO PELA CÁRITAS DA ARQUIDIOCESE E PELA AGÊNCIA DA</t>
        </is>
      </c>
      <c r="J2191" t="inlineStr">
        <is>
          <t>ABRIGO, MANAUS, VENEZUELANOS</t>
        </is>
      </c>
      <c r="K2191" t="n">
        <v>3</v>
      </c>
      <c r="L2191" t="n">
        <v>1</v>
      </c>
      <c r="M2191" t="n">
        <v>0</v>
      </c>
      <c r="N2191" t="n">
        <v>0</v>
      </c>
      <c r="O2191" t="n">
        <v>8</v>
      </c>
      <c r="P2191">
        <f>HYPERLINK("https://portalamazonia.com/noticias/cidades/casa-de-acolhida-recebe-mais-de-100-venezuelanos-em-manaus", "URL")</f>
        <v/>
      </c>
      <c r="Q2191">
        <f>HYPERLINK("https://raw.githubusercontent.com/marcosmapl/dataset_imigrantes/main/materias_filtered/portal_amazonia/venezuelanos/2018/04_mai/html/13686.25557_1502.html", "HTML")</f>
        <v/>
      </c>
      <c r="R2191">
        <f>HYPERLINK("https://raw.githubusercontent.com/marcosmapl/dataset_imigrantes/main/materias_filtered/portal_amazonia/venezuelanos/2018/04_mai/txt/13686.25557_1502.txt", "TXT")</f>
        <v/>
      </c>
    </row>
    <row r="2192">
      <c r="A2192" s="1" t="n">
        <v>2190</v>
      </c>
      <c r="B2192" t="n">
        <v>2018</v>
      </c>
      <c r="C2192" s="2" t="n">
        <v>43227.69722222222</v>
      </c>
      <c r="D2192" t="inlineStr">
        <is>
          <t>A CRITICA</t>
        </is>
      </c>
      <c r="E2192" t="inlineStr">
        <is>
          <t>VENEZUELANOS</t>
        </is>
      </c>
      <c r="F2192" t="inlineStr">
        <is>
          <t>OPINIAO</t>
        </is>
      </c>
      <c r="G2192" t="inlineStr">
        <is>
          <t>BEM VIVER BLOG</t>
        </is>
      </c>
      <c r="H2192" t="inlineStr">
        <is>
          <t>CINCO PRODUÇÕES QUE ABORDAM A MATERNIDADE</t>
        </is>
      </c>
      <c r="I2192" t="inlineStr">
        <is>
          <t>NA SEMANA DAS MÃES, O BEM VIVER DESTACA ALGUNS FILMES E SÉRIE QUE EXALTAM A RELAÇÃO ENTRE ELAS E OS FILHOS</t>
        </is>
      </c>
      <c r="J2192" t="inlineStr">
        <is>
          <t>BEM-VIVER-BLOG</t>
        </is>
      </c>
      <c r="K2192" t="n">
        <v>1</v>
      </c>
      <c r="L2192" t="n">
        <v>1</v>
      </c>
      <c r="M2192" t="n">
        <v>0</v>
      </c>
      <c r="N2192" t="n">
        <v>0</v>
      </c>
      <c r="O2192" t="n">
        <v>1</v>
      </c>
      <c r="P2192">
        <f>HYPERLINK("https://www.acritica.com/opiniao/cinco-produc-es-que-abordam-a-maternidade-1.217102", "URL")</f>
        <v/>
      </c>
      <c r="Q2192">
        <f>HYPERLINK("https://raw.githubusercontent.com/marcosmapl/dataset_imigrantes/main/materias_filtered/a_critica/venezuelanos/2018/04_mai/html/1.217102_480.html", "HTML")</f>
        <v/>
      </c>
      <c r="R2192">
        <f>HYPERLINK("https://raw.githubusercontent.com/marcosmapl/dataset_imigrantes/main/materias_filtered/a_critica/venezuelanos/2018/04_mai/txt/1.217102_480.txt", "TXT")</f>
        <v/>
      </c>
    </row>
    <row r="2193">
      <c r="A2193" s="1" t="n">
        <v>2191</v>
      </c>
      <c r="B2193" t="n">
        <v>2018</v>
      </c>
      <c r="C2193" s="2" t="n">
        <v>43227.54305555556</v>
      </c>
      <c r="D2193" t="inlineStr">
        <is>
          <t>PORTAL AMAZONIA</t>
        </is>
      </c>
      <c r="E2193" t="inlineStr">
        <is>
          <t>VENEZUELANOS</t>
        </is>
      </c>
      <c r="F2193" t="inlineStr">
        <is>
          <t>CIDADES</t>
        </is>
      </c>
      <c r="G2193" t="inlineStr">
        <is>
          <t>REDAÇÃO</t>
        </is>
      </c>
      <c r="H2193" t="inlineStr">
        <is>
          <t>EM BOA VISTA, 871 VENEZUELANOS SÃO LEVADOS DE PRAÇA PARA ABRIGOS</t>
        </is>
      </c>
      <c r="I2193" t="inlineStr">
        <is>
          <t>MILITARES DO EXÉRCITO LEVARAM 871 VENEZUELANOS QUE ESTAVAM ACAMPADOS NA PRAÇA SIMÓN BOLÍVAR, EM BOA VISTA, PARA DOIS ABRIGOS MONTADOS TEMPORARIAMENTE NA CIDADE, SEGUNDO INFORMAÇÕES DIVULGADAS PELA CASA CIVIL DA PRESIDÊNCIA DA REPÚBLICA. A AÇÃO TEVE A</t>
        </is>
      </c>
      <c r="J2193" t="inlineStr">
        <is>
          <t>IMIGRANTES VENEZUELANOS, PRACA SIMAO BOLIVAR BOA VISTA RORAIMA, TRANSFERENCIA</t>
        </is>
      </c>
      <c r="K2193" t="n">
        <v>3</v>
      </c>
      <c r="L2193" t="n">
        <v>2</v>
      </c>
      <c r="M2193" t="n">
        <v>0</v>
      </c>
      <c r="N2193" t="n">
        <v>0</v>
      </c>
      <c r="O2193" t="n">
        <v>8</v>
      </c>
      <c r="P2193">
        <f>HYPERLINK("https://portalamazonia.com/noticias/cidades/em-boa-vista-871-venezuelanos-sao-levados-de-praca-para-abrigos", "URL")</f>
        <v/>
      </c>
      <c r="Q2193">
        <f>HYPERLINK("https://raw.githubusercontent.com/marcosmapl/dataset_imigrantes/main/materias_filtered/portal_amazonia/venezuelanos/2018/04_mai/html/13654.13654_1411.html", "HTML")</f>
        <v/>
      </c>
      <c r="R2193">
        <f>HYPERLINK("https://raw.githubusercontent.com/marcosmapl/dataset_imigrantes/main/materias_filtered/portal_amazonia/venezuelanos/2018/04_mai/txt/13654.13654_1411.txt", "TXT")</f>
        <v/>
      </c>
    </row>
    <row r="2194">
      <c r="A2194" s="1" t="n">
        <v>2192</v>
      </c>
      <c r="B2194" t="n">
        <v>2018</v>
      </c>
      <c r="C2194" s="2" t="n">
        <v>43227.48680555556</v>
      </c>
      <c r="D2194" t="inlineStr">
        <is>
          <t>A CRITICA</t>
        </is>
      </c>
      <c r="E2194" t="inlineStr">
        <is>
          <t>VENEZUELANOS</t>
        </is>
      </c>
      <c r="F2194" t="inlineStr">
        <is>
          <t>MANAUS</t>
        </is>
      </c>
      <c r="G2194" t="inlineStr">
        <is>
          <t>PAULO ANDRÉ NUNES</t>
        </is>
      </c>
      <c r="H2194" t="inlineStr">
        <is>
          <t>PARQUE DO PROSAMIM SOFRE COM MATAGAL, VANDALISMO E INSEGURANÇA NO CENTRO</t>
        </is>
      </c>
      <c r="I2194" t="inlineStr">
        <is>
          <t>MORADORES DENUNCIARAM PROBLEMAS EM ÁREA QUE SERIA DE REQUALIFICAÇÃO URBANÍSTICA E DE RECUPERAÇÃO AMBIENTAL. GOVERNO INFORMOU QUE MAIS DE R$ 8 MILHÕES SERÃO INVESTIDOS EM REFORMAS DE PARQUES</t>
        </is>
      </c>
      <c r="J2194" t="inlineStr"/>
      <c r="K2194" t="n">
        <v>0</v>
      </c>
      <c r="L2194" t="n">
        <v>1</v>
      </c>
      <c r="M2194" t="n">
        <v>0</v>
      </c>
      <c r="N2194" t="n">
        <v>0</v>
      </c>
      <c r="O2194" t="n">
        <v>0</v>
      </c>
      <c r="P2194">
        <f>HYPERLINK("https://www.acritica.com/manaus/parque-do-prosamim-sofre-com-matagal-vandalismo-e-inseguranca-no-centro-1.185526", "URL")</f>
        <v/>
      </c>
      <c r="Q2194">
        <f>HYPERLINK("https://raw.githubusercontent.com/marcosmapl/dataset_imigrantes/main/materias_filtered/a_critica/venezuelanos/2018/04_mai/html/1.185526_1314.html", "HTML")</f>
        <v/>
      </c>
      <c r="R2194">
        <f>HYPERLINK("https://raw.githubusercontent.com/marcosmapl/dataset_imigrantes/main/materias_filtered/a_critica/venezuelanos/2018/04_mai/txt/1.185526_1314.txt", "TXT")</f>
        <v/>
      </c>
    </row>
    <row r="2195">
      <c r="A2195" s="1" t="n">
        <v>2193</v>
      </c>
      <c r="B2195" t="n">
        <v>2018</v>
      </c>
      <c r="C2195" s="2" t="n">
        <v>43224.6625</v>
      </c>
      <c r="D2195" t="inlineStr">
        <is>
          <t>A CRITICA</t>
        </is>
      </c>
      <c r="E2195" t="inlineStr">
        <is>
          <t>VENEZUELANOS</t>
        </is>
      </c>
      <c r="F2195" t="inlineStr">
        <is>
          <t>MANAUS</t>
        </is>
      </c>
      <c r="G2195" t="inlineStr">
        <is>
          <t>ACRÍTICA.COM</t>
        </is>
      </c>
      <c r="H2195" t="inlineStr">
        <is>
          <t>GRUPO DE 165 VENEZUELANOS DESEMBARCA EM MANAUS PARA RECEBER ACOLHIMENTO E APOIO</t>
        </is>
      </c>
      <c r="I2195" t="inlineStr">
        <is>
          <t>A INICIATIVA BUSCA AJUDAR OS IMIGRANTES A PROCURAR UM LOCAL PARA VIVER E NOVAS OPORTUNIDADES DE EDUCAÇÃO E TRABALHO NO BRASIL</t>
        </is>
      </c>
      <c r="J2195" t="inlineStr"/>
      <c r="K2195" t="n">
        <v>0</v>
      </c>
      <c r="L2195" t="n">
        <v>1</v>
      </c>
      <c r="M2195" t="n">
        <v>0</v>
      </c>
      <c r="N2195" t="n">
        <v>0</v>
      </c>
      <c r="O2195" t="n">
        <v>0</v>
      </c>
      <c r="P2195">
        <f>HYPERLINK("https://www.acritica.com/manaus/grupo-de-165-venezuelanos-desembarca-em-manaus-para-receber-acolhimento-e-apoio-1.185397", "URL")</f>
        <v/>
      </c>
      <c r="Q2195">
        <f>HYPERLINK("https://raw.githubusercontent.com/marcosmapl/dataset_imigrantes/main/materias_filtered/a_critica/venezuelanos/2018/04_mai/html/1.185397_994.html", "HTML")</f>
        <v/>
      </c>
      <c r="R2195">
        <f>HYPERLINK("https://raw.githubusercontent.com/marcosmapl/dataset_imigrantes/main/materias_filtered/a_critica/venezuelanos/2018/04_mai/txt/1.185397_994.txt", "TXT")</f>
        <v/>
      </c>
    </row>
    <row r="2196">
      <c r="A2196" s="1" t="n">
        <v>2194</v>
      </c>
      <c r="B2196" t="n">
        <v>2018</v>
      </c>
      <c r="C2196" s="2" t="n">
        <v>43223.76736111111</v>
      </c>
      <c r="D2196" t="inlineStr">
        <is>
          <t>A CRITICA</t>
        </is>
      </c>
      <c r="E2196" t="inlineStr">
        <is>
          <t>VENEZUELANOS</t>
        </is>
      </c>
      <c r="F2196" t="inlineStr">
        <is>
          <t>MANAUS</t>
        </is>
      </c>
      <c r="G2196" t="inlineStr">
        <is>
          <t>ACRÍTICA.COM</t>
        </is>
      </c>
      <c r="H2196" t="inlineStr">
        <is>
          <t>MAIS DE 160 VENEZUELANOS DESEMBARCAM EM MANAUS NESTA SEXTA (4) PARA ACOLHIMENTO</t>
        </is>
      </c>
      <c r="I2196" t="inlineStr">
        <is>
          <t>A MEDIDA, TOMADA PELO GOVERNO FEDERAL, TEM OBJETIVO DE AJUDAR OS IMIGRANTES A PROCURAREM OPORTUNIDADES NO PAÍS</t>
        </is>
      </c>
      <c r="J2196" t="inlineStr"/>
      <c r="K2196" t="n">
        <v>0</v>
      </c>
      <c r="L2196" t="n">
        <v>1</v>
      </c>
      <c r="M2196" t="n">
        <v>0</v>
      </c>
      <c r="N2196" t="n">
        <v>0</v>
      </c>
      <c r="O2196" t="n">
        <v>0</v>
      </c>
      <c r="P2196">
        <f>HYPERLINK("https://www.acritica.com/manaus/mais-de-160-venezuelanos-desembarcam-em-manaus-nesta-sexta-4-para-acolhimento-1.185459", "URL")</f>
        <v/>
      </c>
      <c r="Q2196">
        <f>HYPERLINK("https://raw.githubusercontent.com/marcosmapl/dataset_imigrantes/main/materias_filtered/a_critica/venezuelanos/2018/04_mai/html/1.185459_1336.html", "HTML")</f>
        <v/>
      </c>
      <c r="R2196">
        <f>HYPERLINK("https://raw.githubusercontent.com/marcosmapl/dataset_imigrantes/main/materias_filtered/a_critica/venezuelanos/2018/04_mai/txt/1.185459_1336.txt", "TXT")</f>
        <v/>
      </c>
    </row>
    <row r="2197">
      <c r="A2197" s="1" t="n">
        <v>2195</v>
      </c>
      <c r="B2197" t="n">
        <v>2018</v>
      </c>
      <c r="C2197" s="2" t="n">
        <v>43223.59164506944</v>
      </c>
      <c r="D2197" t="inlineStr">
        <is>
          <t>G1</t>
        </is>
      </c>
      <c r="E2197" t="inlineStr">
        <is>
          <t>HAITIANOS</t>
        </is>
      </c>
      <c r="F2197" t="inlineStr">
        <is>
          <t>MATO GROSSO</t>
        </is>
      </c>
      <c r="G2197" t="inlineStr">
        <is>
          <t>G1 MT</t>
        </is>
      </c>
      <c r="H2197" t="inlineStr">
        <is>
          <t>AMIGO ARRECADA DOAÇÕES PARA AJUDAR FAMÍLIA DE HAITIANO QUE MORREU EM ACIDENTE AUTOMOBILÍSTICO EM MT</t>
        </is>
      </c>
      <c r="I2197" t="inlineStr">
        <is>
          <t>MULHER DE UNIVERSITÁRIO HAITIANO ESTÁ DECIDINDO SE CONTINUA NO BRASIL OU SE RETORNA AO PAÍS DE ORIGEM COM O FILHO DE 1 ANO, APÓS A MORTE DO MARIDO.</t>
        </is>
      </c>
      <c r="J2197" t="inlineStr"/>
      <c r="K2197" t="n">
        <v>0</v>
      </c>
      <c r="L2197" t="n">
        <v>2</v>
      </c>
      <c r="M2197" t="n">
        <v>0</v>
      </c>
      <c r="N2197" t="n">
        <v>0</v>
      </c>
      <c r="O2197" t="n">
        <v>0</v>
      </c>
      <c r="P2197">
        <f>HYPERLINK("https://g1.globo.com/mt/mato-grosso/noticia/amigo-arrecada-doacoes-para-ajudar-familia-de-haitiano-que-morreu-em-acidente-automobilistico-em-mt.ghtml", "URL")</f>
        <v/>
      </c>
      <c r="Q2197">
        <f>HYPERLINK("https://raw.githubusercontent.com/marcosmapl/dataset_imigrantes/main/materias_filtered/g1/haitianos/2018/04_mai/html/g1_79a49f16-22f7-11ed-b24f-6dbe51e79fca_2081.html", "HTML")</f>
        <v/>
      </c>
      <c r="R2197">
        <f>HYPERLINK("https://raw.githubusercontent.com/marcosmapl/dataset_imigrantes/main/materias_filtered/g1/haitianos/2018/04_mai/txt/g1_79a49f16-22f7-11ed-b24f-6dbe51e79fca_2081.txt", "TXT")</f>
        <v/>
      </c>
    </row>
    <row r="2198">
      <c r="A2198" s="1" t="n">
        <v>2196</v>
      </c>
      <c r="B2198" t="n">
        <v>2018</v>
      </c>
      <c r="C2198" s="2" t="n">
        <v>43219.85239810185</v>
      </c>
      <c r="D2198" t="inlineStr">
        <is>
          <t>G1</t>
        </is>
      </c>
      <c r="E2198" t="inlineStr">
        <is>
          <t>VENEZUELANOS</t>
        </is>
      </c>
      <c r="F2198" t="inlineStr">
        <is>
          <t>RORAIMA</t>
        </is>
      </c>
      <c r="G2198" t="inlineStr">
        <is>
          <t>ALAN CHAVES, G1 RR</t>
        </is>
      </c>
      <c r="H2198" t="inlineStr">
        <is>
          <t>BRASILEIRO É PRESO AO TENTAR ROUBAR VENEZUELANA QUE SEGUIA PARA O TRABALHO EM BOA VISTA</t>
        </is>
      </c>
      <c r="I2198" t="inlineStr">
        <is>
          <t>NA BOLSA ESTAVA TODO MATERIAL DE TRABALHO DA VÍTIMA. SUSPEITO FOI PRESO APÓS SER IMOBILIZADO POR POPULARES.</t>
        </is>
      </c>
      <c r="J2198" t="inlineStr"/>
      <c r="K2198" t="n">
        <v>0</v>
      </c>
      <c r="L2198" t="n">
        <v>2</v>
      </c>
      <c r="M2198" t="n">
        <v>0</v>
      </c>
      <c r="N2198" t="n">
        <v>0</v>
      </c>
      <c r="O2198" t="n">
        <v>0</v>
      </c>
      <c r="P2198">
        <f>HYPERLINK("https://g1.globo.com/rr/roraima/noticia/brasileiro-e-preso-ao-tentar-roubar-venezuelana-que-seguia-para-o-trabalho-em-boa-vista.ghtml", "URL")</f>
        <v/>
      </c>
      <c r="Q2198">
        <f>HYPERLINK("https://raw.githubusercontent.com/marcosmapl/dataset_imigrantes/main/materias_filtered/g1/venezuelanos/2018/03_abr/html/g1_9b3eccbe-2310-11ed-b24f-6dbe51e79fca_2865.html", "HTML")</f>
        <v/>
      </c>
      <c r="R2198">
        <f>HYPERLINK("https://raw.githubusercontent.com/marcosmapl/dataset_imigrantes/main/materias_filtered/g1/venezuelanos/2018/03_abr/txt/g1_9b3eccbe-2310-11ed-b24f-6dbe51e79fca_2865.txt", "TXT")</f>
        <v/>
      </c>
    </row>
    <row r="2199">
      <c r="A2199" s="1" t="n">
        <v>2197</v>
      </c>
      <c r="B2199" t="n">
        <v>2018</v>
      </c>
      <c r="C2199" s="2" t="n">
        <v>43219.65555555555</v>
      </c>
      <c r="D2199" t="inlineStr">
        <is>
          <t>A CRITICA</t>
        </is>
      </c>
      <c r="E2199" t="inlineStr">
        <is>
          <t>VENEZUELANOS</t>
        </is>
      </c>
      <c r="F2199" t="inlineStr">
        <is>
          <t>MANAUS</t>
        </is>
      </c>
      <c r="G2199" t="inlineStr">
        <is>
          <t>LÍVIA ANSELMO</t>
        </is>
      </c>
      <c r="H2199" t="inlineStr">
        <is>
          <t>MANAUS ESTÁ NA ROTA DA IMIGRAÇÃO DOS CUBANOS QUE BUSCAM 'NOVA VIDA'</t>
        </is>
      </c>
      <c r="I2199" t="inlineStr">
        <is>
          <t>MUDANÇAS NA CONJUNTURA POLÍTICA DO PAÍS CARIBENHO COLOCARAM A CAPITAL AMAZONENSE NO ROTEIRO DE ENTRADA DELES PELA AMÉRICA DO SUL, VIA GUIANA.  EM 2017, 2.373 SOLICITAÇÕES DE REFÚGIO NO BRASIL FORAM FEITAS POR CUBANOS</t>
        </is>
      </c>
      <c r="J2199" t="inlineStr"/>
      <c r="K2199" t="n">
        <v>0</v>
      </c>
      <c r="L2199" t="n">
        <v>1</v>
      </c>
      <c r="M2199" t="n">
        <v>0</v>
      </c>
      <c r="N2199" t="n">
        <v>0</v>
      </c>
      <c r="O2199" t="n">
        <v>0</v>
      </c>
      <c r="P2199">
        <f>HYPERLINK("https://www.acritica.com/manaus/manaus-esta-na-rota-da-imigrac-o-dos-cubanos-que-buscam-nova-vida-1.185239", "URL")</f>
        <v/>
      </c>
      <c r="Q2199">
        <f>HYPERLINK("https://raw.githubusercontent.com/marcosmapl/dataset_imigrantes/main/materias_filtered/a_critica/venezuelanos/2018/03_abr/html/1.185239_73.html", "HTML")</f>
        <v/>
      </c>
      <c r="R2199">
        <f>HYPERLINK("https://raw.githubusercontent.com/marcosmapl/dataset_imigrantes/main/materias_filtered/a_critica/venezuelanos/2018/03_abr/txt/1.185239_73.txt", "TXT")</f>
        <v/>
      </c>
    </row>
    <row r="2200">
      <c r="A2200" s="1" t="n">
        <v>2198</v>
      </c>
      <c r="B2200" t="n">
        <v>2018</v>
      </c>
      <c r="C2200" s="2" t="n">
        <v>43216.89910879629</v>
      </c>
      <c r="D2200" t="inlineStr">
        <is>
          <t>A CRITICA</t>
        </is>
      </c>
      <c r="E2200" t="inlineStr">
        <is>
          <t>VENEZUELANOS</t>
        </is>
      </c>
      <c r="F2200" t="inlineStr"/>
      <c r="G2200" t="inlineStr">
        <is>
          <t>AGÊNCIA BRASIL</t>
        </is>
      </c>
      <c r="H2200" t="inlineStr">
        <is>
          <t>UNIÃO EUROPEIA DOA R$ 10,6 MILHÕES PARA REFUGIADOS VENEZUELANOS NO BRASIL</t>
        </is>
      </c>
      <c r="I2200" t="inlineStr">
        <is>
          <t>ALÉM DE AJUDA DE CUSTO SE DESLOCAR PARA OUTRAS CIDADES, AS FAMÍLIAS RECEBERÃO TAMBÉM CURSOS DE FORMAÇÃO PROFISSIONAL DE CURTA DURAÇÃO</t>
        </is>
      </c>
      <c r="J2200" t="inlineStr"/>
      <c r="K2200" t="n">
        <v>0</v>
      </c>
      <c r="L2200" t="n">
        <v>1</v>
      </c>
      <c r="M2200" t="n">
        <v>0</v>
      </c>
      <c r="N2200" t="n">
        <v>0</v>
      </c>
      <c r="O2200" t="n">
        <v>0</v>
      </c>
      <c r="P2200">
        <f>HYPERLINK("https://www.acritica.com/uni-o-europeia-doa-r-10-6-milh-es-para-refugiados-venezuelanos-no-brasil-1.185012", "URL")</f>
        <v/>
      </c>
      <c r="Q2200">
        <f>HYPERLINK("https://raw.githubusercontent.com/marcosmapl/dataset_imigrantes/main/materias_filtered/a_critica/venezuelanos/2018/03_abr/html/1.185012_318.html", "HTML")</f>
        <v/>
      </c>
      <c r="R2200">
        <f>HYPERLINK("https://raw.githubusercontent.com/marcosmapl/dataset_imigrantes/main/materias_filtered/a_critica/venezuelanos/2018/03_abr/txt/1.185012_318.txt", "TXT")</f>
        <v/>
      </c>
    </row>
    <row r="2201">
      <c r="A2201" s="1" t="n">
        <v>2199</v>
      </c>
      <c r="B2201" t="n">
        <v>2018</v>
      </c>
      <c r="C2201" s="2" t="n">
        <v>43216.42666666667</v>
      </c>
      <c r="D2201" t="inlineStr">
        <is>
          <t>A CRITICA</t>
        </is>
      </c>
      <c r="E2201" t="inlineStr">
        <is>
          <t>VENEZUELANOS</t>
        </is>
      </c>
      <c r="F2201" t="inlineStr"/>
      <c r="G2201" t="inlineStr">
        <is>
          <t>ALIK MENEZES</t>
        </is>
      </c>
      <c r="H2201" t="inlineStr">
        <is>
          <t>CASOS DE MALÁRIA AUMENTAM 34,3% NO AMAZONAS EM 2018, DIZ MINISTÉRIO</t>
        </is>
      </c>
      <c r="I2201" t="inlineStr">
        <is>
          <t>NOS TRÊS PRIMEIROS MESES DESSE ANO, FORAM REGISTRADOS 18.649 CASOS NO AMAZONAS, APONTA O MINISTÉRIO DA SAÚDE. SÃO GABRIEL DA CACHOEIRA É RESPONSÁVEL PELA MAIORIA DOS CASOS (4.484)</t>
        </is>
      </c>
      <c r="J2201" t="inlineStr"/>
      <c r="K2201" t="n">
        <v>0</v>
      </c>
      <c r="L2201" t="n">
        <v>1</v>
      </c>
      <c r="M2201" t="n">
        <v>0</v>
      </c>
      <c r="N2201" t="n">
        <v>0</v>
      </c>
      <c r="O2201" t="n">
        <v>0</v>
      </c>
      <c r="P2201">
        <f>HYPERLINK("https://www.acritica.com/casos-de-malaria-aumentam-34-3-no-amazonas-em-2018-diz-ministerio-1.90711", "URL")</f>
        <v/>
      </c>
      <c r="Q2201">
        <f>HYPERLINK("https://raw.githubusercontent.com/marcosmapl/dataset_imigrantes/main/materias_filtered/a_critica/venezuelanos/2018/03_abr/html/1.90711_297.html", "HTML")</f>
        <v/>
      </c>
      <c r="R2201">
        <f>HYPERLINK("https://raw.githubusercontent.com/marcosmapl/dataset_imigrantes/main/materias_filtered/a_critica/venezuelanos/2018/03_abr/txt/1.90711_297.txt", "TXT")</f>
        <v/>
      </c>
    </row>
    <row r="2202">
      <c r="A2202" s="1" t="n">
        <v>2200</v>
      </c>
      <c r="B2202" t="n">
        <v>2018</v>
      </c>
      <c r="C2202" s="2" t="n">
        <v>43214.83862429398</v>
      </c>
      <c r="D2202" t="inlineStr">
        <is>
          <t>G1</t>
        </is>
      </c>
      <c r="E2202" t="inlineStr">
        <is>
          <t>HAITIANOS</t>
        </is>
      </c>
      <c r="F2202" t="inlineStr">
        <is>
          <t>MATO GROSSO</t>
        </is>
      </c>
      <c r="G2202" t="inlineStr">
        <is>
          <t>G1 MT</t>
        </is>
      </c>
      <c r="H2202" t="inlineStr">
        <is>
          <t>HAITIANO PASSA POR CIRURGIA E ESTÁ INTERNADO APÓS ACIDENTE QUE MATOU DOIS AMIGOS DELE EM MT</t>
        </is>
      </c>
      <c r="I2202" t="inlineStr">
        <is>
          <t>CLIVENS DESSONT FRATUROU MÃO DIREITA E PASSOU POR PROCEDIMENTOS CIRÚRGICOS E CONTINUA INTERNADO. OUTROS DOIS ESTRANGEIROS QUE ESTAVAM NO CARRO MORRERAM.</t>
        </is>
      </c>
      <c r="J2202" t="inlineStr"/>
      <c r="K2202" t="n">
        <v>0</v>
      </c>
      <c r="L2202" t="n">
        <v>1</v>
      </c>
      <c r="M2202" t="n">
        <v>0</v>
      </c>
      <c r="N2202" t="n">
        <v>0</v>
      </c>
      <c r="O2202" t="n">
        <v>2</v>
      </c>
      <c r="P2202">
        <f>HYPERLINK("https://g1.globo.com/mt/mato-grosso/noticia/haitiano-passa-por-cirurgia-e-esta-internado-apos-acidente-que-matou-dois-amigos-dele-em-mt.ghtml", "URL")</f>
        <v/>
      </c>
      <c r="Q2202">
        <f>HYPERLINK("https://raw.githubusercontent.com/marcosmapl/dataset_imigrantes/main/materias_filtered/g1/haitianos/2018/03_abr/html/g1_d9b5d5c2-22f3-11ed-b24f-6dbe51e79fca_1861.html", "HTML")</f>
        <v/>
      </c>
      <c r="R2202">
        <f>HYPERLINK("https://raw.githubusercontent.com/marcosmapl/dataset_imigrantes/main/materias_filtered/g1/haitianos/2018/03_abr/txt/g1_d9b5d5c2-22f3-11ed-b24f-6dbe51e79fca_1861.txt", "TXT")</f>
        <v/>
      </c>
    </row>
    <row r="2203">
      <c r="A2203" s="1" t="n">
        <v>2201</v>
      </c>
      <c r="B2203" t="n">
        <v>2018</v>
      </c>
      <c r="C2203" s="2" t="n">
        <v>43214.33333333334</v>
      </c>
      <c r="D2203" t="inlineStr">
        <is>
          <t>A CRITICA</t>
        </is>
      </c>
      <c r="E2203" t="inlineStr">
        <is>
          <t>VENEZUELANOS</t>
        </is>
      </c>
      <c r="F2203" t="inlineStr">
        <is>
          <t>OPINIAO</t>
        </is>
      </c>
      <c r="G2203" t="inlineStr"/>
      <c r="H2203" t="inlineStr">
        <is>
          <t>MANAUS E OS REFUGIADOS</t>
        </is>
      </c>
      <c r="I2203" t="inlineStr"/>
      <c r="J2203" t="inlineStr"/>
      <c r="K2203" t="n">
        <v>0</v>
      </c>
      <c r="L2203" t="n">
        <v>1</v>
      </c>
      <c r="M2203" t="n">
        <v>0</v>
      </c>
      <c r="N2203" t="n">
        <v>0</v>
      </c>
      <c r="O2203" t="n">
        <v>0</v>
      </c>
      <c r="P2203">
        <f>HYPERLINK("https://www.acritica.com/opiniao/manaus-e-os-refugiados-1.229980", "URL")</f>
        <v/>
      </c>
      <c r="Q2203">
        <f>HYPERLINK("https://raw.githubusercontent.com/marcosmapl/dataset_imigrantes/main/materias_filtered/a_critica/venezuelanos/2018/03_abr/html/1.229980_651.html", "HTML")</f>
        <v/>
      </c>
      <c r="R2203">
        <f>HYPERLINK("https://raw.githubusercontent.com/marcosmapl/dataset_imigrantes/main/materias_filtered/a_critica/venezuelanos/2018/03_abr/txt/1.229980_651.txt", "TXT")</f>
        <v/>
      </c>
    </row>
    <row r="2204">
      <c r="A2204" s="1" t="n">
        <v>2202</v>
      </c>
      <c r="B2204" t="n">
        <v>2018</v>
      </c>
      <c r="C2204" s="2" t="n">
        <v>43213.94663997685</v>
      </c>
      <c r="D2204" t="inlineStr">
        <is>
          <t>G1</t>
        </is>
      </c>
      <c r="E2204" t="inlineStr">
        <is>
          <t>HAITIANOS</t>
        </is>
      </c>
      <c r="F2204" t="inlineStr">
        <is>
          <t>MATO GROSSO</t>
        </is>
      </c>
      <c r="G2204" t="inlineStr">
        <is>
          <t>G1 MT</t>
        </is>
      </c>
      <c r="H2204" t="inlineStr">
        <is>
          <t>VIÚVA DE HAITIANO QUE MORREU EM ACIDENTE DE TRABALHO EM MT DEVE RECEBER R$ 197 MIL EM INDENIZAÇÃO</t>
        </is>
      </c>
      <c r="I2204" t="inlineStr">
        <is>
          <t>SIMILIEN DONABLE, DE 46 ANOS, QUE MORREU SOTERRADO EM 2016. A MULHER DELE ENTROU EM ACORDO COM A EMPRESA RESPONSÁVEL. A AUDIÊNCIA FOI REALIZADA COM A AJUDA DE INTÉRPRETE DE LÍNGUA CRIOULA HAITIANA E LÍNGUA FRANCESA.</t>
        </is>
      </c>
      <c r="J2204" t="inlineStr"/>
      <c r="K2204" t="n">
        <v>0</v>
      </c>
      <c r="L2204" t="n">
        <v>2</v>
      </c>
      <c r="M2204" t="n">
        <v>0</v>
      </c>
      <c r="N2204" t="n">
        <v>0</v>
      </c>
      <c r="O2204" t="n">
        <v>1</v>
      </c>
      <c r="P2204">
        <f>HYPERLINK("https://g1.globo.com/mt/mato-grosso/noticia/viuva-de-haitiano-que-morreu-em-acidente-de-trabalho-em-mt-deve-receber-r-197-mil-em-indenizacao.ghtml", "URL")</f>
        <v/>
      </c>
      <c r="Q2204">
        <f>HYPERLINK("https://raw.githubusercontent.com/marcosmapl/dataset_imigrantes/main/materias_filtered/g1/haitianos/2018/03_abr/html/g1_022e6f56-22ee-11ed-b24f-6dbe51e79fca_1695.html", "HTML")</f>
        <v/>
      </c>
      <c r="R2204">
        <f>HYPERLINK("https://raw.githubusercontent.com/marcosmapl/dataset_imigrantes/main/materias_filtered/g1/haitianos/2018/03_abr/txt/g1_022e6f56-22ee-11ed-b24f-6dbe51e79fca_1695.txt", "TXT")</f>
        <v/>
      </c>
    </row>
    <row r="2205">
      <c r="A2205" s="1" t="n">
        <v>2203</v>
      </c>
      <c r="B2205" t="n">
        <v>2018</v>
      </c>
      <c r="C2205" s="2" t="n">
        <v>43213.94663997685</v>
      </c>
      <c r="D2205" t="inlineStr">
        <is>
          <t>G1</t>
        </is>
      </c>
      <c r="E2205" t="inlineStr">
        <is>
          <t>HAITIANOS</t>
        </is>
      </c>
      <c r="F2205" t="inlineStr">
        <is>
          <t>MATO GROSSO</t>
        </is>
      </c>
      <c r="G2205" t="inlineStr">
        <is>
          <t>G1 MT</t>
        </is>
      </c>
      <c r="H2205" t="inlineStr">
        <is>
          <t>VIÚVA DE HAITIANO QUE MORREU EM ACIDENTE DE TRABALHO EM MT DEVE RECEBER R$ 197 MIL EM INDENIZAÇÃO</t>
        </is>
      </c>
      <c r="I2205" t="inlineStr">
        <is>
          <t>SIMILIEN DONABLE, DE 46 ANOS, QUE MORREU SOTERRADO EM 2016. A MULHER DELE ENTROU EM ACORDO COM A EMPRESA RESPONSÁVEL. A AUDIÊNCIA FOI REALIZADA COM A AJUDA DE INTÉRPRETE DE LÍNGUA CRIOULA HAITIANA E LÍNGUA FRANCESA.</t>
        </is>
      </c>
      <c r="J2205" t="inlineStr"/>
      <c r="K2205" t="n">
        <v>0</v>
      </c>
      <c r="L2205" t="n">
        <v>2</v>
      </c>
      <c r="M2205" t="n">
        <v>0</v>
      </c>
      <c r="N2205" t="n">
        <v>0</v>
      </c>
      <c r="O2205" t="n">
        <v>7</v>
      </c>
      <c r="P2205">
        <f>HYPERLINK("https://g1.globo.com/mt/mato-grosso/noticia/viuva-de-haitiano-que-morreu-em-acidente-de-trabalho-em-mt-deve-receber-r-197-mil-em-indenizacao.ghtml", "URL")</f>
        <v/>
      </c>
      <c r="Q2205">
        <f>HYPERLINK("https://raw.githubusercontent.com/marcosmapl/dataset_imigrantes/main/materias_filtered/g1/haitianos/2018/03_abr/html/g1_5182eb00-0daf-4414-b99d-aa35eb057b22_1626.html", "HTML")</f>
        <v/>
      </c>
      <c r="R2205">
        <f>HYPERLINK("https://raw.githubusercontent.com/marcosmapl/dataset_imigrantes/main/materias_filtered/g1/haitianos/2018/03_abr/txt/g1_5182eb00-0daf-4414-b99d-aa35eb057b22_1626.txt", "TXT")</f>
        <v/>
      </c>
    </row>
    <row r="2206">
      <c r="A2206" s="1" t="n">
        <v>2204</v>
      </c>
      <c r="B2206" t="n">
        <v>2018</v>
      </c>
      <c r="C2206" s="2" t="n">
        <v>43213.78223184028</v>
      </c>
      <c r="D2206" t="inlineStr">
        <is>
          <t>G1</t>
        </is>
      </c>
      <c r="E2206" t="inlineStr">
        <is>
          <t>HAITIANOS</t>
        </is>
      </c>
      <c r="F2206" t="inlineStr">
        <is>
          <t>MATO GROSSO</t>
        </is>
      </c>
      <c r="G2206" t="inlineStr">
        <is>
          <t>G1 MT</t>
        </is>
      </c>
      <c r="H2206" t="inlineStr">
        <is>
          <t>UNIVERSITÁRIO HAITIANO QUE MORREU EM ACIDENTE AUTOMOBILÍSTICO TINHA SE CASADO HÁ 8 DIAS EM CUIABÁ</t>
        </is>
      </c>
      <c r="I2206" t="inlineStr">
        <is>
          <t>MICHELET NOEL ESTAVA NO BRASIL DESDE 2015, CURSAVA PUBLICIDADE E PROPAGANDA E ERA DONO DE UMA LAN HOUSE. CASAL TEM FILHO DE 1 ANO.</t>
        </is>
      </c>
      <c r="J2206" t="inlineStr"/>
      <c r="K2206" t="n">
        <v>0</v>
      </c>
      <c r="L2206" t="n">
        <v>2</v>
      </c>
      <c r="M2206" t="n">
        <v>0</v>
      </c>
      <c r="N2206" t="n">
        <v>0</v>
      </c>
      <c r="O2206" t="n">
        <v>1</v>
      </c>
      <c r="P2206">
        <f>HYPERLINK("https://g1.globo.com/mt/mato-grosso/noticia/universitario-haitiano-que-morreu-em-acidente-automobilistico-tinha-se-casado-ha-8-dias-em-cuiaba.ghtml", "URL")</f>
        <v/>
      </c>
      <c r="Q2206">
        <f>HYPERLINK("https://raw.githubusercontent.com/marcosmapl/dataset_imigrantes/main/materias_filtered/g1/haitianos/2018/03_abr/html/g1_07a1f8b4-22f2-11ed-b24f-6dbe51e79fca_1776.html", "HTML")</f>
        <v/>
      </c>
      <c r="R2206">
        <f>HYPERLINK("https://raw.githubusercontent.com/marcosmapl/dataset_imigrantes/main/materias_filtered/g1/haitianos/2018/03_abr/txt/g1_07a1f8b4-22f2-11ed-b24f-6dbe51e79fca_1776.txt", "TXT")</f>
        <v/>
      </c>
    </row>
    <row r="2207">
      <c r="A2207" s="1" t="n">
        <v>2205</v>
      </c>
      <c r="B2207" t="n">
        <v>2018</v>
      </c>
      <c r="C2207" s="2" t="n">
        <v>43212.84629572916</v>
      </c>
      <c r="D2207" t="inlineStr">
        <is>
          <t>G1</t>
        </is>
      </c>
      <c r="E2207" t="inlineStr">
        <is>
          <t>HAITIANOS</t>
        </is>
      </c>
      <c r="F2207" t="inlineStr">
        <is>
          <t>MATO GROSSO</t>
        </is>
      </c>
      <c r="G2207" t="inlineStr">
        <is>
          <t>G1 MT</t>
        </is>
      </c>
      <c r="H2207" t="inlineStr">
        <is>
          <t>ACIDENTE COM CARRO QUE CAPOTOU NA MT-251 MATOU 2 HAITIANOS, DIZ DELETRAN</t>
        </is>
      </c>
      <c r="I2207" t="inlineStr">
        <is>
          <t>ACIDENTE OCORREU NA RODOVIA EMANUEL PINHEIRO, ENTRE CUIABÁ E CHAPADA DOS GUIMARÃES. OUTROS DOIS HAITIANOS ESTÃO INTERNADOS NO PRONTO-SOCORRO.</t>
        </is>
      </c>
      <c r="J2207" t="inlineStr"/>
      <c r="K2207" t="n">
        <v>0</v>
      </c>
      <c r="L2207" t="n">
        <v>1</v>
      </c>
      <c r="M2207" t="n">
        <v>0</v>
      </c>
      <c r="N2207" t="n">
        <v>0</v>
      </c>
      <c r="O2207" t="n">
        <v>1</v>
      </c>
      <c r="P2207">
        <f>HYPERLINK("https://g1.globo.com/mt/mato-grosso/noticia/acidente-com-carro-que-capotou-na-mt-251-matou-2-haitianos-diz-deletran.ghtml", "URL")</f>
        <v/>
      </c>
      <c r="Q2207">
        <f>HYPERLINK("https://raw.githubusercontent.com/marcosmapl/dataset_imigrantes/main/materias_filtered/g1/haitianos/2018/03_abr/html/g1_336555d6-22f2-11ed-b24f-6dbe51e79fca_1783.html", "HTML")</f>
        <v/>
      </c>
      <c r="R2207">
        <f>HYPERLINK("https://raw.githubusercontent.com/marcosmapl/dataset_imigrantes/main/materias_filtered/g1/haitianos/2018/03_abr/txt/g1_336555d6-22f2-11ed-b24f-6dbe51e79fca_1783.txt", "TXT")</f>
        <v/>
      </c>
    </row>
    <row r="2208">
      <c r="A2208" s="1" t="n">
        <v>2206</v>
      </c>
      <c r="B2208" t="n">
        <v>2018</v>
      </c>
      <c r="C2208" s="2" t="n">
        <v>43210.761254375</v>
      </c>
      <c r="D2208" t="inlineStr">
        <is>
          <t>G1</t>
        </is>
      </c>
      <c r="E2208" t="inlineStr">
        <is>
          <t>VENEZUELANOS</t>
        </is>
      </c>
      <c r="F2208" t="inlineStr">
        <is>
          <t>SANTA CATARINA</t>
        </is>
      </c>
      <c r="G2208" t="inlineStr">
        <is>
          <t>G1 SC</t>
        </is>
      </c>
      <c r="H2208" t="inlineStr">
        <is>
          <t>SECRETÁRIA DE SC DIZ QUE GOVERNO FEDERAL DEVERÁ REPASSAR R$ 400 POR VENEZUELANO RECEBIDO NO ESTADO</t>
        </is>
      </c>
      <c r="I2208" t="inlineStr">
        <is>
          <t>AINDA NÃO SE SABE QUANDO E POR QUAIS MUNICÍPIOS ESSES VENEZUELANOS SERÃO RECEBIDOS.</t>
        </is>
      </c>
      <c r="J2208" t="inlineStr"/>
      <c r="K2208" t="n">
        <v>0</v>
      </c>
      <c r="L2208" t="n">
        <v>1</v>
      </c>
      <c r="M2208" t="n">
        <v>0</v>
      </c>
      <c r="N2208" t="n">
        <v>0</v>
      </c>
      <c r="O2208" t="n">
        <v>3</v>
      </c>
      <c r="P2208">
        <f>HYPERLINK("https://g1.globo.com/sc/santa-catarina/noticia/secretaria-de-sc-diz-que-governo-federal-devera-repassar-r-400-por-venezuelano-recebido-no-estado.ghtml", "URL")</f>
        <v/>
      </c>
      <c r="Q2208">
        <f>HYPERLINK("https://raw.githubusercontent.com/marcosmapl/dataset_imigrantes/main/materias_filtered/g1/venezuelanos/2018/03_abr/html/g1_89b4b68e-230b-11ed-b24f-6dbe51e79fca_2569.html", "HTML")</f>
        <v/>
      </c>
      <c r="R2208">
        <f>HYPERLINK("https://raw.githubusercontent.com/marcosmapl/dataset_imigrantes/main/materias_filtered/g1/venezuelanos/2018/03_abr/txt/g1_89b4b68e-230b-11ed-b24f-6dbe51e79fca_2569.txt", "TXT")</f>
        <v/>
      </c>
    </row>
    <row r="2209">
      <c r="A2209" s="1" t="n">
        <v>2207</v>
      </c>
      <c r="B2209" t="n">
        <v>2018</v>
      </c>
      <c r="C2209" s="2" t="n">
        <v>43206.88611111111</v>
      </c>
      <c r="D2209" t="inlineStr">
        <is>
          <t>PORTAL AMAZONIA</t>
        </is>
      </c>
      <c r="E2209" t="inlineStr">
        <is>
          <t>VENEZUELANOS</t>
        </is>
      </c>
      <c r="F2209" t="inlineStr">
        <is>
          <t>CIDADES</t>
        </is>
      </c>
      <c r="G2209" t="inlineStr">
        <is>
          <t>REDAÇÃO</t>
        </is>
      </c>
      <c r="H2209" t="inlineStr">
        <is>
          <t>ASSISTÊNCIA EMERGENCIAL A VENEZUELANOS É TEMA DE AUDIÊNCIAS PÚBLICAS NO SENADO</t>
        </is>
      </c>
      <c r="I2209" t="inlineStr">
        <is>
          <t>FOTO:REPRODUÇÃO/HUMAN RIGHTS WATCHTRÊS AUDIÊNCIAS PÚBLICAS NO SENADO, ESTA SEMANA, VÃO DEBATER ESTRUTURA DE ASSISTÊNCIA EMERGENCIAL VOLTADA AOS VENEZUELANOS. AS REUNIÕES SERÃO REALIZADAS NOS DIAS 17, 18 E 19 E FORAM AGEN</t>
        </is>
      </c>
      <c r="J2209" t="inlineStr">
        <is>
          <t>AMAZÔNIA INTERNACIONAL, ASSISTENCIA SOCIAL, AUDIÊNCIA PÚBLICA, IMIGRANTES VENEZUELANOS, SENADO, VENEZUELA, VENEZUELANOS</t>
        </is>
      </c>
      <c r="K2209" t="n">
        <v>7</v>
      </c>
      <c r="L2209" t="n">
        <v>2</v>
      </c>
      <c r="M2209" t="n">
        <v>0</v>
      </c>
      <c r="N2209" t="n">
        <v>0</v>
      </c>
      <c r="O2209" t="n">
        <v>12</v>
      </c>
      <c r="P2209">
        <f>HYPERLINK("https://portalamazonia.com/noticias/cidades/assistencia-emergencial-a-venezuelanos-e-tema-de-audiencias-publicas-no-senado", "URL")</f>
        <v/>
      </c>
      <c r="Q2209">
        <f>HYPERLINK("https://raw.githubusercontent.com/marcosmapl/dataset_imigrantes/main/materias_filtered/portal_amazonia/venezuelanos/2018/03_abr/html/13358.13358_1478.html", "HTML")</f>
        <v/>
      </c>
      <c r="R2209">
        <f>HYPERLINK("https://raw.githubusercontent.com/marcosmapl/dataset_imigrantes/main/materias_filtered/portal_amazonia/venezuelanos/2018/03_abr/txt/13358.13358_1478.txt", "TXT")</f>
        <v/>
      </c>
    </row>
    <row r="2210">
      <c r="A2210" s="1" t="n">
        <v>2208</v>
      </c>
      <c r="B2210" t="n">
        <v>2018</v>
      </c>
      <c r="C2210" s="2" t="n">
        <v>43204.83673670139</v>
      </c>
      <c r="D2210" t="inlineStr">
        <is>
          <t>G1</t>
        </is>
      </c>
      <c r="E2210" t="inlineStr">
        <is>
          <t>VENEZUELANOS</t>
        </is>
      </c>
      <c r="F2210" t="inlineStr">
        <is>
          <t>RORAIMA</t>
        </is>
      </c>
      <c r="G2210" t="inlineStr">
        <is>
          <t>G1 RR</t>
        </is>
      </c>
      <c r="H2210" t="inlineStr">
        <is>
          <t>PRF APREENDE CARRO QUE TRANSPORTAVA 500 LITROS DE GASOLINA VENEZUELANA EM BOA VISTA</t>
        </is>
      </c>
      <c r="I2210" t="inlineStr">
        <is>
          <t>ALÉM DESSE VEÍCULO, UM SEGUNDO TAMBÉM FOI VISTO E FUGIU. MATERIAL FOI APREENDIDO E LEVADO À RECEITA FEDERAL.</t>
        </is>
      </c>
      <c r="J2210" t="inlineStr"/>
      <c r="K2210" t="n">
        <v>0</v>
      </c>
      <c r="L2210" t="n">
        <v>1</v>
      </c>
      <c r="M2210" t="n">
        <v>0</v>
      </c>
      <c r="N2210" t="n">
        <v>0</v>
      </c>
      <c r="O2210" t="n">
        <v>0</v>
      </c>
      <c r="P2210">
        <f>HYPERLINK("https://g1.globo.com/rr/roraima/noticia/prf-apreende-carro-que-transportava-500-litros-de-gasolina-venezuelana-em-boa-vista.ghtml", "URL")</f>
        <v/>
      </c>
      <c r="Q2210">
        <f>HYPERLINK("https://raw.githubusercontent.com/marcosmapl/dataset_imigrantes/main/materias_filtered/g1/venezuelanos/2018/03_abr/html/g1_9e2a3dfc-2318-11ed-b24f-6dbe51e79fca_3270.html", "HTML")</f>
        <v/>
      </c>
      <c r="R2210">
        <f>HYPERLINK("https://raw.githubusercontent.com/marcosmapl/dataset_imigrantes/main/materias_filtered/g1/venezuelanos/2018/03_abr/txt/g1_9e2a3dfc-2318-11ed-b24f-6dbe51e79fca_3270.txt", "TXT")</f>
        <v/>
      </c>
    </row>
    <row r="2211">
      <c r="A2211" s="1" t="n">
        <v>2209</v>
      </c>
      <c r="B2211" t="n">
        <v>2018</v>
      </c>
      <c r="C2211" s="2" t="n">
        <v>43204.60011574074</v>
      </c>
      <c r="D2211" t="inlineStr">
        <is>
          <t>A CRITICA</t>
        </is>
      </c>
      <c r="E2211" t="inlineStr">
        <is>
          <t>VENEZUELANOS</t>
        </is>
      </c>
      <c r="F2211" t="inlineStr"/>
      <c r="G2211" t="inlineStr">
        <is>
          <t>CAMILA BOEHM -  AGÊNCIA BRASIL</t>
        </is>
      </c>
      <c r="H2211" t="inlineStr">
        <is>
          <t>IMIGRANTES ESTÃO DISTRIBUÍDOS PELO INTERIOR DO BRASIL, MOSTRA PESQUISA DA UNICAMP</t>
        </is>
      </c>
      <c r="I2211" t="inlineStr">
        <is>
          <t>OS 8.437 VENEZUELANOS QUE REGISTRARAM RESIDÊNCIA NO BRASIL NO PERÍODO ESTÃO PRESENTES NÃO SÓ NAS REGIÕES DE FRONTEIRA, COMO EM RORAIMA</t>
        </is>
      </c>
      <c r="J2211" t="inlineStr"/>
      <c r="K2211" t="n">
        <v>0</v>
      </c>
      <c r="L2211" t="n">
        <v>1</v>
      </c>
      <c r="M2211" t="n">
        <v>0</v>
      </c>
      <c r="N2211" t="n">
        <v>0</v>
      </c>
      <c r="O2211" t="n">
        <v>0</v>
      </c>
      <c r="P2211">
        <f>HYPERLINK("https://www.acritica.com/imigrantes-est-o-distribuidos-pelo-interior-do-brasil-mostra-pesquisa-da-unicamp-1.92547", "URL")</f>
        <v/>
      </c>
      <c r="Q2211">
        <f>HYPERLINK("https://raw.githubusercontent.com/marcosmapl/dataset_imigrantes/main/materias_filtered/a_critica/venezuelanos/2018/03_abr/html/1.92547_947.html", "HTML")</f>
        <v/>
      </c>
      <c r="R2211">
        <f>HYPERLINK("https://raw.githubusercontent.com/marcosmapl/dataset_imigrantes/main/materias_filtered/a_critica/venezuelanos/2018/03_abr/txt/1.92547_947.txt", "TXT")</f>
        <v/>
      </c>
    </row>
    <row r="2212">
      <c r="A2212" s="1" t="n">
        <v>2210</v>
      </c>
      <c r="B2212" t="n">
        <v>2018</v>
      </c>
      <c r="C2212" s="2" t="n">
        <v>43204.02789351852</v>
      </c>
      <c r="D2212" t="inlineStr">
        <is>
          <t>A CRITICA</t>
        </is>
      </c>
      <c r="E2212" t="inlineStr">
        <is>
          <t>VENEZUELANOS</t>
        </is>
      </c>
      <c r="F2212" t="inlineStr"/>
      <c r="G2212" t="inlineStr">
        <is>
          <t>DA AGÊNCIA EFE</t>
        </is>
      </c>
      <c r="H2212" t="inlineStr">
        <is>
          <t>DONALD TRUMP ANUNCIA ATAQUE DE 'PRECISÃO' À SÍRIA CONTRA USO DE ARMAS QUÍMICAS</t>
        </is>
      </c>
      <c r="I2212" t="inlineStr">
        <is>
          <t>OS ATAQUES DE PRECISÃO DOS EUA CONTRA O REGIME DO SÍRIO BASHAR AL ASSAD SERÃO REALIZADOS EM PARCERIA COM O REINO UNIDO E A FRANÇA</t>
        </is>
      </c>
      <c r="J2212" t="inlineStr"/>
      <c r="K2212" t="n">
        <v>0</v>
      </c>
      <c r="L2212" t="n">
        <v>1</v>
      </c>
      <c r="M2212" t="n">
        <v>0</v>
      </c>
      <c r="N2212" t="n">
        <v>0</v>
      </c>
      <c r="O2212" t="n">
        <v>0</v>
      </c>
      <c r="P2212">
        <f>HYPERLINK("https://www.acritica.com/donald-trump-anuncia-ataque-de-precis-o-a-siria-contra-uso-de-armas-quimicas-1.92561", "URL")</f>
        <v/>
      </c>
      <c r="Q2212">
        <f>HYPERLINK("https://raw.githubusercontent.com/marcosmapl/dataset_imigrantes/main/materias_filtered/a_critica/venezuelanos/2018/03_abr/html/1.92561_1044.html", "HTML")</f>
        <v/>
      </c>
      <c r="R2212">
        <f>HYPERLINK("https://raw.githubusercontent.com/marcosmapl/dataset_imigrantes/main/materias_filtered/a_critica/venezuelanos/2018/03_abr/txt/1.92561_1044.txt", "TXT")</f>
        <v/>
      </c>
    </row>
    <row r="2213">
      <c r="A2213" s="1" t="n">
        <v>2211</v>
      </c>
      <c r="B2213" t="n">
        <v>2018</v>
      </c>
      <c r="C2213" s="2" t="n">
        <v>43203.94226851852</v>
      </c>
      <c r="D2213" t="inlineStr">
        <is>
          <t>A CRITICA</t>
        </is>
      </c>
      <c r="E2213" t="inlineStr">
        <is>
          <t>VENEZUELANOS</t>
        </is>
      </c>
      <c r="F2213" t="inlineStr"/>
      <c r="G2213" t="inlineStr">
        <is>
          <t>ALEX RODRIGUES - REPÓRTER DA AGÊNCIA BRASIL</t>
        </is>
      </c>
      <c r="H2213" t="inlineStr">
        <is>
          <t>RORAIMA PEDE AO STF QUE DETERMINE FECHAMENTO DA FRONTEIRA COM A VENEZUELA</t>
        </is>
      </c>
      <c r="I2213" t="inlineStr">
        <is>
          <t>A GOVERNADORA JUSTIFICA A AÇÃO AFIRMANDO QUE “PARA RESOLVER OS IMPACTOS DA MIGRAÇÃO E PROTEGER O POVO DE RORAIMA É PRECISO QUE A FRONTEIRA SEJA FECHADA TEMPORARIAMENTE”</t>
        </is>
      </c>
      <c r="J2213" t="inlineStr"/>
      <c r="K2213" t="n">
        <v>0</v>
      </c>
      <c r="L2213" t="n">
        <v>1</v>
      </c>
      <c r="M2213" t="n">
        <v>0</v>
      </c>
      <c r="N2213" t="n">
        <v>0</v>
      </c>
      <c r="O2213" t="n">
        <v>0</v>
      </c>
      <c r="P2213">
        <f>HYPERLINK("https://www.acritica.com/roraima-pede-ao-stf-que-determine-fechamento-da-fronteira-com-a-venezuela-1.92577", "URL")</f>
        <v/>
      </c>
      <c r="Q2213">
        <f>HYPERLINK("https://raw.githubusercontent.com/marcosmapl/dataset_imigrantes/main/materias_filtered/a_critica/venezuelanos/2018/03_abr/html/1.92577_1142.html", "HTML")</f>
        <v/>
      </c>
      <c r="R2213">
        <f>HYPERLINK("https://raw.githubusercontent.com/marcosmapl/dataset_imigrantes/main/materias_filtered/a_critica/venezuelanos/2018/03_abr/txt/1.92577_1142.txt", "TXT")</f>
        <v/>
      </c>
    </row>
    <row r="2214">
      <c r="A2214" s="1" t="n">
        <v>2212</v>
      </c>
      <c r="B2214" t="n">
        <v>2018</v>
      </c>
      <c r="C2214" s="2" t="n">
        <v>43202.88868216435</v>
      </c>
      <c r="D2214" t="inlineStr">
        <is>
          <t>G1</t>
        </is>
      </c>
      <c r="E2214" t="inlineStr">
        <is>
          <t>VENEZUELANOS</t>
        </is>
      </c>
      <c r="F2214" t="inlineStr">
        <is>
          <t>MUNDO</t>
        </is>
      </c>
      <c r="G2214" t="inlineStr">
        <is>
          <t>FRANCE PRESSE</t>
        </is>
      </c>
      <c r="H2214" t="inlineStr">
        <is>
          <t>PODER ELEITORAL VENEZUELANO CONVIDA UE PARA OBSERVAR ELEIÇÕES PRESIDENCIAIS</t>
        </is>
      </c>
      <c r="I2214" t="inlineStr">
        <is>
          <t>BLOCO QUESTIONA LEGITIMIDADE DAS ELEIÇÕES, QUE SERÃO REALIZADAS EM 20 DE MAIO. ONU TAMBÉM RECEBEU CONVITE, A PEDIDO DOS PRINCIPAIS CANDIDATOS, NICOLÁS MADURO E O OPOSITOR HENRI FALCÓN.</t>
        </is>
      </c>
      <c r="J2214" t="inlineStr"/>
      <c r="K2214" t="n">
        <v>0</v>
      </c>
      <c r="L2214" t="n">
        <v>2</v>
      </c>
      <c r="M2214" t="n">
        <v>0</v>
      </c>
      <c r="N2214" t="n">
        <v>0</v>
      </c>
      <c r="O2214" t="n">
        <v>2</v>
      </c>
      <c r="P2214">
        <f>HYPERLINK("https://g1.globo.com/mundo/noticia/poder-eleitoral-venezuelano-convida-ue-para-observar-eleicoes-presidenciais.ghtml", "URL")</f>
        <v/>
      </c>
      <c r="Q2214">
        <f>HYPERLINK("https://raw.githubusercontent.com/marcosmapl/dataset_imigrantes/main/materias_filtered/g1/venezuelanos/2018/03_abr/html/g1_fb223fb6-230c-11ed-b24f-6dbe51e79fca_2660.html", "HTML")</f>
        <v/>
      </c>
      <c r="R2214">
        <f>HYPERLINK("https://raw.githubusercontent.com/marcosmapl/dataset_imigrantes/main/materias_filtered/g1/venezuelanos/2018/03_abr/txt/g1_fb223fb6-230c-11ed-b24f-6dbe51e79fca_2660.txt", "TXT")</f>
        <v/>
      </c>
    </row>
    <row r="2215">
      <c r="A2215" s="1" t="n">
        <v>2213</v>
      </c>
      <c r="B2215" t="n">
        <v>2018</v>
      </c>
      <c r="C2215" s="2" t="n">
        <v>43202.35486111111</v>
      </c>
      <c r="D2215" t="inlineStr">
        <is>
          <t>A CRITICA</t>
        </is>
      </c>
      <c r="E2215" t="inlineStr">
        <is>
          <t>VENEZUELANOS</t>
        </is>
      </c>
      <c r="F2215" t="inlineStr">
        <is>
          <t>MANAUS</t>
        </is>
      </c>
      <c r="G2215" t="inlineStr">
        <is>
          <t>PAULO ANDRÉ NUNES</t>
        </is>
      </c>
      <c r="H2215" t="inlineStr">
        <is>
          <t>ABRIGO DO COROADO RECEBERÁ 200 REFUGIADOS DA VENEZUELA ATÉ O FIM DO MÊS</t>
        </is>
      </c>
      <c r="I2215" t="inlineStr">
        <is>
          <t>ESPAÇO QUE ATENDEU WARAOS NO ANO PASSADO AGORA ATENDERÁ NÃO-INDÍGENAS QUE FOGEM DAS CRISES NO PAÍS VIZINHO</t>
        </is>
      </c>
      <c r="J2215" t="inlineStr"/>
      <c r="K2215" t="n">
        <v>0</v>
      </c>
      <c r="L2215" t="n">
        <v>1</v>
      </c>
      <c r="M2215" t="n">
        <v>0</v>
      </c>
      <c r="N2215" t="n">
        <v>0</v>
      </c>
      <c r="O2215" t="n">
        <v>0</v>
      </c>
      <c r="P2215">
        <f>HYPERLINK("https://www.acritica.com/manaus/abrigo-do-coroado-recebera-200-refugiados-da-venezuela-ate-o-fim-do-mes-1.91443", "URL")</f>
        <v/>
      </c>
      <c r="Q2215">
        <f>HYPERLINK("https://raw.githubusercontent.com/marcosmapl/dataset_imigrantes/main/materias_filtered/a_critica/venezuelanos/2018/03_abr/html/1.91443_1138.html", "HTML")</f>
        <v/>
      </c>
      <c r="R2215">
        <f>HYPERLINK("https://raw.githubusercontent.com/marcosmapl/dataset_imigrantes/main/materias_filtered/a_critica/venezuelanos/2018/03_abr/txt/1.91443_1138.txt", "TXT")</f>
        <v/>
      </c>
    </row>
    <row r="2216">
      <c r="A2216" s="1" t="n">
        <v>2214</v>
      </c>
      <c r="B2216" t="n">
        <v>2018</v>
      </c>
      <c r="C2216" s="2" t="n">
        <v>43201.60694444444</v>
      </c>
      <c r="D2216" t="inlineStr">
        <is>
          <t>A CRITICA</t>
        </is>
      </c>
      <c r="E2216" t="inlineStr">
        <is>
          <t>VENEZUELANOS</t>
        </is>
      </c>
      <c r="F2216" t="inlineStr"/>
      <c r="G2216" t="inlineStr">
        <is>
          <t>ACRITICA.COM*</t>
        </is>
      </c>
      <c r="H2216" t="inlineStr">
        <is>
          <t>AMAZONAS PODE SE TORNAR LIVRE DE FEBRE AFTOSA SEM VACINAÇÃO ATÉ 2020</t>
        </is>
      </c>
      <c r="I2216" t="inlineStr">
        <is>
          <t>O ESTADO DEVE SER RECONHECIDO PELA ORGANIZAÇÃO MUNDIAL DE SAÚDE (OIE) COMO ÁREA LIVRE DE FEBRE AFTOSA COM VACINAÇÃO ATÉ O PRÓXIMO MÊS</t>
        </is>
      </c>
      <c r="J2216" t="inlineStr"/>
      <c r="K2216" t="n">
        <v>0</v>
      </c>
      <c r="L2216" t="n">
        <v>1</v>
      </c>
      <c r="M2216" t="n">
        <v>0</v>
      </c>
      <c r="N2216" t="n">
        <v>0</v>
      </c>
      <c r="O2216" t="n">
        <v>0</v>
      </c>
      <c r="P2216">
        <f>HYPERLINK("https://www.acritica.com/amazonas-pode-se-tornar-livre-de-febre-aftosa-sem-vacinac-o-ate-2020-1.204542", "URL")</f>
        <v/>
      </c>
      <c r="Q2216">
        <f>HYPERLINK("https://raw.githubusercontent.com/marcosmapl/dataset_imigrantes/main/materias_filtered/a_critica/venezuelanos/2018/03_abr/html/1.204542_470.html", "HTML")</f>
        <v/>
      </c>
      <c r="R2216">
        <f>HYPERLINK("https://raw.githubusercontent.com/marcosmapl/dataset_imigrantes/main/materias_filtered/a_critica/venezuelanos/2018/03_abr/txt/1.204542_470.txt", "TXT")</f>
        <v/>
      </c>
    </row>
    <row r="2217">
      <c r="A2217" s="1" t="n">
        <v>2215</v>
      </c>
      <c r="B2217" t="n">
        <v>2018</v>
      </c>
      <c r="C2217" s="2" t="n">
        <v>43200.70270833333</v>
      </c>
      <c r="D2217" t="inlineStr">
        <is>
          <t>A CRITICA</t>
        </is>
      </c>
      <c r="E2217" t="inlineStr">
        <is>
          <t>HAITIANOS</t>
        </is>
      </c>
      <c r="F2217" t="inlineStr"/>
      <c r="G2217" t="inlineStr">
        <is>
          <t>AGÊNCIA BRASIL</t>
        </is>
      </c>
      <c r="H2217" t="inlineStr">
        <is>
          <t>GOVERNO DECIDE CONCEDER VISTO HUMANITÁRIO A HAITIANOS QUE DESEJAM VIR AO BRASIL</t>
        </is>
      </c>
      <c r="I2217" t="inlineStr">
        <is>
          <t>O VISTO SERÁ EMITIDO EXCLUSIVAMENTE PELA EMBAIXADA BRASILEIRA EM PORTO PRÍNCIPE, CAPITAL DO HAITI, E PERMITIRÁ A CONCESSÃO DE RESIDÊNCIA TEMPORÁRIA DE DOIS ANOS NO BRASIL</t>
        </is>
      </c>
      <c r="J2217" t="inlineStr"/>
      <c r="K2217" t="n">
        <v>0</v>
      </c>
      <c r="L2217" t="n">
        <v>1</v>
      </c>
      <c r="M2217" t="n">
        <v>0</v>
      </c>
      <c r="N2217" t="n">
        <v>0</v>
      </c>
      <c r="O2217" t="n">
        <v>0</v>
      </c>
      <c r="P2217">
        <f>HYPERLINK("https://www.acritica.com/governo-decide-conceder-visto-humanitario-a-haitianos-que-desejam-vir-ao-brasil-1.204615", "URL")</f>
        <v/>
      </c>
      <c r="Q2217">
        <f>HYPERLINK("https://raw.githubusercontent.com/marcosmapl/dataset_imigrantes/main/materias_filtered/a_critica/haitianos/2018/03_abr/html/1.204615_948.html", "HTML")</f>
        <v/>
      </c>
      <c r="R2217">
        <f>HYPERLINK("https://raw.githubusercontent.com/marcosmapl/dataset_imigrantes/main/materias_filtered/a_critica/haitianos/2018/03_abr/txt/1.204615_948.txt", "TXT")</f>
        <v/>
      </c>
    </row>
    <row r="2218">
      <c r="A2218" s="1" t="n">
        <v>2216</v>
      </c>
      <c r="B2218" t="n">
        <v>2018</v>
      </c>
      <c r="C2218" s="2" t="n">
        <v>43200.0423937037</v>
      </c>
      <c r="D2218" t="inlineStr">
        <is>
          <t>G1</t>
        </is>
      </c>
      <c r="E2218" t="inlineStr">
        <is>
          <t>VENEZUELANOS</t>
        </is>
      </c>
      <c r="F2218" t="inlineStr">
        <is>
          <t>MUNDO</t>
        </is>
      </c>
      <c r="G2218" t="inlineStr">
        <is>
          <t>FRANCE PRESSE</t>
        </is>
      </c>
      <c r="H2218" t="inlineStr">
        <is>
          <t>SUPREMO VENEZUELANO DESTITUÍDO PEDE NA COLÔMBIA CAPTURA DE MADURO</t>
        </is>
      </c>
      <c r="I2218" t="inlineStr">
        <is>
          <t>JUÍZES EXILADOS CITAM SUPOSTOS VÍNCULOS DO PRESIDENTE VENEZUELANO COM O ESCÂNDALO DE CORRUPÇÃO DA ODEBRECHT. 'ATO CIRCENSE', DIZ PROCURADOR-GERAL.</t>
        </is>
      </c>
      <c r="J2218" t="inlineStr"/>
      <c r="K2218" t="n">
        <v>0</v>
      </c>
      <c r="L2218" t="n">
        <v>1</v>
      </c>
      <c r="M2218" t="n">
        <v>0</v>
      </c>
      <c r="N2218" t="n">
        <v>0</v>
      </c>
      <c r="O2218" t="n">
        <v>0</v>
      </c>
      <c r="P2218">
        <f>HYPERLINK("https://g1.globo.com/mundo/noticia/supremo-venezuelano-destituido-pede-na-colombia-captura-de-maduro.ghtml", "URL")</f>
        <v/>
      </c>
      <c r="Q2218">
        <f>HYPERLINK("https://raw.githubusercontent.com/marcosmapl/dataset_imigrantes/main/materias_filtered/g1/venezuelanos/2018/03_abr/html/g1_51da123e-2308-11ed-b24f-6dbe51e79fca_2378.html", "HTML")</f>
        <v/>
      </c>
      <c r="R2218">
        <f>HYPERLINK("https://raw.githubusercontent.com/marcosmapl/dataset_imigrantes/main/materias_filtered/g1/venezuelanos/2018/03_abr/txt/g1_51da123e-2308-11ed-b24f-6dbe51e79fca_2378.txt", "TXT")</f>
        <v/>
      </c>
    </row>
    <row r="2219">
      <c r="A2219" s="1" t="n">
        <v>2217</v>
      </c>
      <c r="B2219" t="n">
        <v>2018</v>
      </c>
      <c r="C2219" s="2" t="n">
        <v>43198.55209408565</v>
      </c>
      <c r="D2219" t="inlineStr">
        <is>
          <t>G1</t>
        </is>
      </c>
      <c r="E2219" t="inlineStr">
        <is>
          <t>AMBOS</t>
        </is>
      </c>
      <c r="F2219" t="inlineStr">
        <is>
          <t>AMAZONAS</t>
        </is>
      </c>
      <c r="G2219" t="inlineStr">
        <is>
          <t>G1 AM</t>
        </is>
      </c>
      <c r="H2219" t="inlineStr">
        <is>
          <t>REDE PÚBLICA DE ENSINO DO AM TEM MAIS DE 700 ALUNOS VENEZUELANOS E HAITIANOS</t>
        </is>
      </c>
      <c r="I2219" t="inlineStr">
        <is>
          <t>EM 2017, NÚMERO DE HAITIANOS E VENEZUELANOS INSERIDOS EM ESCOLAS PÚBLICAS NO ESTADO ERA DE 435 ESTUDANTES.</t>
        </is>
      </c>
      <c r="J2219" t="inlineStr"/>
      <c r="K2219" t="n">
        <v>0</v>
      </c>
      <c r="L2219" t="n">
        <v>3</v>
      </c>
      <c r="M2219" t="n">
        <v>1</v>
      </c>
      <c r="N2219" t="n">
        <v>0</v>
      </c>
      <c r="O2219" t="n">
        <v>2</v>
      </c>
      <c r="P2219">
        <f>HYPERLINK("https://g1.globo.com/am/amazonas/noticia/rede-publica-de-ensino-do-am-tem-mais-de-700-alunos-venezuelanos-e-haitianos.ghtml", "URL")</f>
        <v/>
      </c>
      <c r="Q2219">
        <f>HYPERLINK("https://raw.githubusercontent.com/marcosmapl/dataset_imigrantes/main/materias_filtered/g1/ambos/2018/03_abr/html/g1_c45321ca-22f9-11ed-b24f-6dbe51e79fca_2183.html", "HTML")</f>
        <v/>
      </c>
      <c r="R2219">
        <f>HYPERLINK("https://raw.githubusercontent.com/marcosmapl/dataset_imigrantes/main/materias_filtered/g1/ambos/2018/03_abr/txt/g1_c45321ca-22f9-11ed-b24f-6dbe51e79fca_2183.txt", "TXT")</f>
        <v/>
      </c>
    </row>
    <row r="2220">
      <c r="A2220" s="1" t="n">
        <v>2218</v>
      </c>
      <c r="B2220" t="n">
        <v>2018</v>
      </c>
      <c r="C2220" s="2" t="n">
        <v>43197.03263888889</v>
      </c>
      <c r="D2220" t="inlineStr">
        <is>
          <t>A CRITICA</t>
        </is>
      </c>
      <c r="E2220" t="inlineStr">
        <is>
          <t>VENEZUELANOS</t>
        </is>
      </c>
      <c r="F2220" t="inlineStr">
        <is>
          <t>ESPORTES</t>
        </is>
      </c>
      <c r="G2220" t="inlineStr">
        <is>
          <t>DENIR SIMPLÍCIO</t>
        </is>
      </c>
      <c r="H2220" t="inlineStr">
        <is>
          <t>FAST CLUBE E MANAUS FC DECIDEM 102ª EDIÇÃO DO BAREZÃO 2018 NESTE SÁBADO (7)</t>
        </is>
      </c>
      <c r="I2220" t="inlineStr">
        <is>
          <t>ARENA DA AMAZÔNIA RECEBE A SUA QUARTA FINAL DE CAMPEONATO AMAZONENSE. OS DOIS TIMES JÁ ERGUERAM A TAÇA NO ESTÁDIO, PORÉM, HOJE, APENAS UM DELES VAI SER O PRIMEIRO BICAMPEÃO DA ARENA</t>
        </is>
      </c>
      <c r="J2220" t="inlineStr"/>
      <c r="K2220" t="n">
        <v>0</v>
      </c>
      <c r="L2220" t="n">
        <v>1</v>
      </c>
      <c r="M2220" t="n">
        <v>0</v>
      </c>
      <c r="N2220" t="n">
        <v>0</v>
      </c>
      <c r="O2220" t="n">
        <v>0</v>
      </c>
      <c r="P2220">
        <f>HYPERLINK("https://www.acritica.com/esportes/fast-clube-e-manaus-fc-decidem-102-edic-o-do-barez-o-2018-neste-sabado-7-1.91671", "URL")</f>
        <v/>
      </c>
      <c r="Q2220">
        <f>HYPERLINK("https://raw.githubusercontent.com/marcosmapl/dataset_imigrantes/main/materias_filtered/a_critica/venezuelanos/2018/03_abr/html/1.91671_741.html", "HTML")</f>
        <v/>
      </c>
      <c r="R2220">
        <f>HYPERLINK("https://raw.githubusercontent.com/marcosmapl/dataset_imigrantes/main/materias_filtered/a_critica/venezuelanos/2018/03_abr/txt/1.91671_741.txt", "TXT")</f>
        <v/>
      </c>
    </row>
    <row r="2221">
      <c r="A2221" s="1" t="n">
        <v>2219</v>
      </c>
      <c r="B2221" t="n">
        <v>2018</v>
      </c>
      <c r="C2221" s="2" t="n">
        <v>43196.78333333333</v>
      </c>
      <c r="D2221" t="inlineStr">
        <is>
          <t>A CRITICA</t>
        </is>
      </c>
      <c r="E2221" t="inlineStr">
        <is>
          <t>VENEZUELANOS</t>
        </is>
      </c>
      <c r="F2221" t="inlineStr">
        <is>
          <t>ESPORTES</t>
        </is>
      </c>
      <c r="G2221" t="inlineStr">
        <is>
          <t>DENIR SIMPLÍCIO</t>
        </is>
      </c>
      <c r="H2221" t="inlineStr">
        <is>
          <t>CAPITÃO DO FAST 'RENASCE DAS CINZAS' EM BUSCA DO BICAMPEONATO DO BAREZÃO</t>
        </is>
      </c>
      <c r="I2221" t="inlineStr">
        <is>
          <t>ROBERTO DINAMITE QUASE TEVE QUE ABANDONAR O FUTEBOL, MAS SE RECUPEROU A TEMPO DE LIDERAR O ROLO COMPRESSOR NA GRANDE FINAL DO CAMPEONATO AMAZONENSE DE 2018</t>
        </is>
      </c>
      <c r="J2221" t="inlineStr"/>
      <c r="K2221" t="n">
        <v>0</v>
      </c>
      <c r="L2221" t="n">
        <v>1</v>
      </c>
      <c r="M2221" t="n">
        <v>0</v>
      </c>
      <c r="N2221" t="n">
        <v>0</v>
      </c>
      <c r="O2221" t="n">
        <v>0</v>
      </c>
      <c r="P2221">
        <f>HYPERLINK("https://www.acritica.com/esportes/capit-o-do-fast-renasce-das-cinzas-em-busca-do-bicampeonato-do-barez-o-1.204971", "URL")</f>
        <v/>
      </c>
      <c r="Q2221">
        <f>HYPERLINK("https://raw.githubusercontent.com/marcosmapl/dataset_imigrantes/main/materias_filtered/a_critica/venezuelanos/2018/03_abr/html/1.204971_1289.html", "HTML")</f>
        <v/>
      </c>
      <c r="R2221">
        <f>HYPERLINK("https://raw.githubusercontent.com/marcosmapl/dataset_imigrantes/main/materias_filtered/a_critica/venezuelanos/2018/03_abr/txt/1.204971_1289.txt", "TXT")</f>
        <v/>
      </c>
    </row>
    <row r="2222">
      <c r="A2222" s="1" t="n">
        <v>2220</v>
      </c>
      <c r="B2222" t="n">
        <v>2018</v>
      </c>
      <c r="C2222" s="2" t="n">
        <v>43196.43649731481</v>
      </c>
      <c r="D2222" t="inlineStr">
        <is>
          <t>G1</t>
        </is>
      </c>
      <c r="E2222" t="inlineStr">
        <is>
          <t>VENEZUELANOS</t>
        </is>
      </c>
      <c r="F2222" t="inlineStr">
        <is>
          <t>AMAZONAS</t>
        </is>
      </c>
      <c r="G2222" t="inlineStr">
        <is>
          <t>G1 AM</t>
        </is>
      </c>
      <c r="H2222" t="inlineStr">
        <is>
          <t>VENEZUELANA É ASSALTADA EM RUA NA ZONA LESTE DE MANAUS, DIZ PM</t>
        </is>
      </c>
      <c r="I2222" t="inlineStr">
        <is>
          <t>POLÍCIA ENCONTROU A MULHER E CINCO CRIANÇAS CAMINHANDO DURANTE A MADRUGADA.</t>
        </is>
      </c>
      <c r="J2222" t="inlineStr"/>
      <c r="K2222" t="n">
        <v>0</v>
      </c>
      <c r="L2222" t="n">
        <v>1</v>
      </c>
      <c r="M2222" t="n">
        <v>0</v>
      </c>
      <c r="N2222" t="n">
        <v>0</v>
      </c>
      <c r="O2222" t="n">
        <v>0</v>
      </c>
      <c r="P2222">
        <f>HYPERLINK("https://g1.globo.com/am/amazonas/noticia/venezuelana-e-assaltada-em-rua-na-zona-leste-de-manaus-diz-pm.ghtml", "URL")</f>
        <v/>
      </c>
      <c r="Q2222">
        <f>HYPERLINK("https://raw.githubusercontent.com/marcosmapl/dataset_imigrantes/main/materias_filtered/g1/venezuelanos/2018/03_abr/html/g1_a3c6def6-232b-11ed-b24f-6dbe51e79fca_4260.html", "HTML")</f>
        <v/>
      </c>
      <c r="R2222">
        <f>HYPERLINK("https://raw.githubusercontent.com/marcosmapl/dataset_imigrantes/main/materias_filtered/g1/venezuelanos/2018/03_abr/txt/g1_a3c6def6-232b-11ed-b24f-6dbe51e79fca_4260.txt", "TXT")</f>
        <v/>
      </c>
    </row>
    <row r="2223">
      <c r="A2223" s="1" t="n">
        <v>2221</v>
      </c>
      <c r="B2223" t="n">
        <v>2018</v>
      </c>
      <c r="C2223" s="2" t="n">
        <v>43195.56527777778</v>
      </c>
      <c r="D2223" t="inlineStr">
        <is>
          <t>PORTAL AMAZONIA</t>
        </is>
      </c>
      <c r="E2223" t="inlineStr">
        <is>
          <t>VENEZUELANOS</t>
        </is>
      </c>
      <c r="F2223" t="inlineStr">
        <is>
          <t>CIDADES</t>
        </is>
      </c>
      <c r="G2223" t="inlineStr">
        <is>
          <t>REDAÇÃO</t>
        </is>
      </c>
      <c r="H2223" t="inlineStr">
        <is>
          <t>VENEZUELANOS COMEÇAM A DEIXAR RORAIMA E SÃO ABRIGADOS EM CUIABÁ</t>
        </is>
      </c>
      <c r="I2223" t="inlineStr">
        <is>
          <t>O PROCESSO DE INTERIORIZAÇÃO DE IMIGRANTES VENEZUELANOS QUE ESTÃO EM RORAIMA PARA OUTROS ESTADOS COMEÇA NESTA QUINTA-FEIRA (5). ATÉ AMANHÃ, SEXTA-FEIRA(6), 267 IMIGRANTES SERÃO LEVADOS PARA SÃO PAULO E CUIABÁ POR AVIÕES DA FORÇA AÉREA BRASILEIRA (FAB</t>
        </is>
      </c>
      <c r="J2223" t="inlineStr">
        <is>
          <t>CUIABÃ¡, REFUGIADOS, RORAIMA, VENEZUELANOS</t>
        </is>
      </c>
      <c r="K2223" t="n">
        <v>4</v>
      </c>
      <c r="L2223" t="n">
        <v>2</v>
      </c>
      <c r="M2223" t="n">
        <v>0</v>
      </c>
      <c r="N2223" t="n">
        <v>0</v>
      </c>
      <c r="O2223" t="n">
        <v>9</v>
      </c>
      <c r="P2223">
        <f>HYPERLINK("https://portalamazonia.com/noticias/cidades/venezuelanos-comecam-a-deixar-roraima-e-sao-abrigados-em-cuiaba", "URL")</f>
        <v/>
      </c>
      <c r="Q2223">
        <f>HYPERLINK("https://raw.githubusercontent.com/marcosmapl/dataset_imigrantes/main/materias_filtered/portal_amazonia/venezuelanos/2018/03_abr/html/13166.13166_1448.html", "HTML")</f>
        <v/>
      </c>
      <c r="R2223">
        <f>HYPERLINK("https://raw.githubusercontent.com/marcosmapl/dataset_imigrantes/main/materias_filtered/portal_amazonia/venezuelanos/2018/03_abr/txt/13166.13166_1448.txt", "TXT")</f>
        <v/>
      </c>
    </row>
    <row r="2224">
      <c r="A2224" s="1" t="n">
        <v>2222</v>
      </c>
      <c r="B2224" t="n">
        <v>2018</v>
      </c>
      <c r="C2224" s="2" t="n">
        <v>43194.77811959491</v>
      </c>
      <c r="D2224" t="inlineStr">
        <is>
          <t>G1</t>
        </is>
      </c>
      <c r="E2224" t="inlineStr">
        <is>
          <t>VENEZUELANOS</t>
        </is>
      </c>
      <c r="F2224" t="inlineStr">
        <is>
          <t>RORAIMA</t>
        </is>
      </c>
      <c r="G2224" t="inlineStr">
        <is>
          <t>G1 RR</t>
        </is>
      </c>
      <c r="H2224" t="inlineStr">
        <is>
          <t>MULHER É PRESA EM AEROPORTO DE RR COM MUNIÇÃO DE COMPANHIA MILITAR VENEZUELANA</t>
        </is>
      </c>
      <c r="I2224" t="inlineStr">
        <is>
          <t>SUSPEITA CONFESSOU O CRIME E DISSE QUE CONSEGUIU PROJÉTIL APÓS CONFRONTO DE GANGUES NA VENEZUELA. PRISÃO OCORREU NA MADRUGADA DESTA QUARTA (4).</t>
        </is>
      </c>
      <c r="J2224" t="inlineStr"/>
      <c r="K2224" t="n">
        <v>0</v>
      </c>
      <c r="L2224" t="n">
        <v>1</v>
      </c>
      <c r="M2224" t="n">
        <v>0</v>
      </c>
      <c r="N2224" t="n">
        <v>0</v>
      </c>
      <c r="O2224" t="n">
        <v>1</v>
      </c>
      <c r="P2224">
        <f>HYPERLINK("https://g1.globo.com/rr/roraima/noticia/mulher-e-presa-em-aeroporto-de-rr-com-municao-de-companhia-militar-venezuelana.ghtml", "URL")</f>
        <v/>
      </c>
      <c r="Q2224">
        <f>HYPERLINK("https://raw.githubusercontent.com/marcosmapl/dataset_imigrantes/main/materias_filtered/g1/venezuelanos/2018/03_abr/html/g1_5b025728-2316-11ed-b24f-6dbe51e79fca_3142.html", "HTML")</f>
        <v/>
      </c>
      <c r="R2224">
        <f>HYPERLINK("https://raw.githubusercontent.com/marcosmapl/dataset_imigrantes/main/materias_filtered/g1/venezuelanos/2018/03_abr/txt/g1_5b025728-2316-11ed-b24f-6dbe51e79fca_3142.txt", "TXT")</f>
        <v/>
      </c>
    </row>
    <row r="2225">
      <c r="A2225" s="1" t="n">
        <v>2223</v>
      </c>
      <c r="B2225" t="n">
        <v>2018</v>
      </c>
      <c r="C2225" s="2" t="n">
        <v>43194.46752408564</v>
      </c>
      <c r="D2225" t="inlineStr">
        <is>
          <t>G1</t>
        </is>
      </c>
      <c r="E2225" t="inlineStr">
        <is>
          <t>HAITIANOS</t>
        </is>
      </c>
      <c r="F2225" t="inlineStr">
        <is>
          <t>MUNDO</t>
        </is>
      </c>
      <c r="G2225" t="inlineStr">
        <is>
          <t>FRANCE PRESSE</t>
        </is>
      </c>
      <c r="H2225" t="inlineStr">
        <is>
          <t>OBRAS DE ARTE DESAPARECEM DA ASSEMBLEIA NACIONAL DA FRANÇA</t>
        </is>
      </c>
      <c r="I2225" t="inlineStr">
        <is>
          <t>RECENTE INVENTÁRIO CONSTATOU A FALTA DE QUATRO OBRAS.</t>
        </is>
      </c>
      <c r="J2225" t="inlineStr"/>
      <c r="K2225" t="n">
        <v>0</v>
      </c>
      <c r="L2225" t="n">
        <v>0</v>
      </c>
      <c r="M2225" t="n">
        <v>0</v>
      </c>
      <c r="N2225" t="n">
        <v>0</v>
      </c>
      <c r="O2225" t="n">
        <v>0</v>
      </c>
      <c r="P2225">
        <f>HYPERLINK("https://g1.globo.com/mundo/noticia/obras-de-arte-desaparecem-da-assembleia-nacional-da-franca.ghtml", "URL")</f>
        <v/>
      </c>
      <c r="Q2225">
        <f>HYPERLINK("https://raw.githubusercontent.com/marcosmapl/dataset_imigrantes/main/materias_filtered/g1/haitianos/2018/03_abr/html/g1_f2112a1a-22ec-11ed-b24f-6dbe51e79fca_1673.html", "HTML")</f>
        <v/>
      </c>
      <c r="R2225">
        <f>HYPERLINK("https://raw.githubusercontent.com/marcosmapl/dataset_imigrantes/main/materias_filtered/g1/haitianos/2018/03_abr/txt/g1_f2112a1a-22ec-11ed-b24f-6dbe51e79fca_1673.txt", "TXT")</f>
        <v/>
      </c>
    </row>
    <row r="2226">
      <c r="A2226" s="1" t="n">
        <v>2224</v>
      </c>
      <c r="B2226" t="n">
        <v>2018</v>
      </c>
      <c r="C2226" s="2" t="n">
        <v>43193.83157407407</v>
      </c>
      <c r="D2226" t="inlineStr">
        <is>
          <t>A CRITICA</t>
        </is>
      </c>
      <c r="E2226" t="inlineStr">
        <is>
          <t>VENEZUELANOS</t>
        </is>
      </c>
      <c r="F2226" t="inlineStr"/>
      <c r="G2226" t="inlineStr">
        <is>
          <t>JOANA QUEIROZ</t>
        </is>
      </c>
      <c r="H2226" t="inlineStr">
        <is>
          <t>AUTORIDADES DO AM DEFENDEM INTERVENÇÃO FEDERAL NAS FRONTEIRAS PARA BARRAR ARMAS</t>
        </is>
      </c>
      <c r="I2226" t="inlineStr">
        <is>
          <t>DIVISAS COM A VENEZUELA, COLÔMBIA E PERU SERIAM MONITORADAS POR CONTA DA GRANDE ENTRADA DE ARMAS NO BRASIL. ARMAS SÃO FRUTO DE ROUBOS OU DESVIOS NOS PAÍSES VIZINHOS</t>
        </is>
      </c>
      <c r="J2226" t="inlineStr"/>
      <c r="K2226" t="n">
        <v>0</v>
      </c>
      <c r="L2226" t="n">
        <v>1</v>
      </c>
      <c r="M2226" t="n">
        <v>0</v>
      </c>
      <c r="N2226" t="n">
        <v>0</v>
      </c>
      <c r="O2226" t="n">
        <v>0</v>
      </c>
      <c r="P2226">
        <f>HYPERLINK("https://www.acritica.com/autoridades-do-am-defendem-intervenc-o-federal-nas-fronteiras-para-barrar-armas-1.184574", "URL")</f>
        <v/>
      </c>
      <c r="Q2226">
        <f>HYPERLINK("https://raw.githubusercontent.com/marcosmapl/dataset_imigrantes/main/materias_filtered/a_critica/venezuelanos/2018/03_abr/html/1.184574_909.html", "HTML")</f>
        <v/>
      </c>
      <c r="R2226">
        <f>HYPERLINK("https://raw.githubusercontent.com/marcosmapl/dataset_imigrantes/main/materias_filtered/a_critica/venezuelanos/2018/03_abr/txt/1.184574_909.txt", "TXT")</f>
        <v/>
      </c>
    </row>
    <row r="2227">
      <c r="A2227" s="1" t="n">
        <v>2225</v>
      </c>
      <c r="B2227" t="n">
        <v>2018</v>
      </c>
      <c r="C2227" s="2" t="n">
        <v>43193.51597222222</v>
      </c>
      <c r="D2227" t="inlineStr">
        <is>
          <t>PORTAL AMAZONIA</t>
        </is>
      </c>
      <c r="E2227" t="inlineStr">
        <is>
          <t>VENEZUELANOS</t>
        </is>
      </c>
      <c r="F2227" t="inlineStr">
        <is>
          <t>CIDADES</t>
        </is>
      </c>
      <c r="G2227" t="inlineStr">
        <is>
          <t>REDAÇÃO</t>
        </is>
      </c>
      <c r="H2227" t="inlineStr">
        <is>
          <t>MANAUS RECEBERÁ 70 VENEZUELANOS TRANSFERIDOS DE RORAIMA, NESTA SEMANA</t>
        </is>
      </c>
      <c r="I2227" t="inlineStr">
        <is>
          <t>EM TORNO DE 550 VENEZUELANOS QUE ESTÃO EM RORAIMA SERÃO TRANSFERIDOS PARA OUTROS ESTADOS A PARTIR DESTA SEMANA. ELES EMIGRARAM FUGINDO DA SITUAÇÃO POLÍTICA E ECONÔMICA DO PAÍS NATAL EM UM MOVIMENTO QUE LEVOU QUASE 40 MIL A TENTAREM A VIDA NO BRASIL.U</t>
        </is>
      </c>
      <c r="J2227" t="inlineStr">
        <is>
          <t>AMAZONAS, CUIABÃ¡, RORAIMA, TRANSFERENCIA, VENEZUELANOS</t>
        </is>
      </c>
      <c r="K2227" t="n">
        <v>5</v>
      </c>
      <c r="L2227" t="n">
        <v>2</v>
      </c>
      <c r="M2227" t="n">
        <v>0</v>
      </c>
      <c r="N2227" t="n">
        <v>0</v>
      </c>
      <c r="O2227" t="n">
        <v>10</v>
      </c>
      <c r="P2227">
        <f>HYPERLINK("https://portalamazonia.com/noticias/cidades/manaus-recebera-70-venezuelanos-transferidos-de-roraima-nesta-semana", "URL")</f>
        <v/>
      </c>
      <c r="Q2227">
        <f>HYPERLINK("https://raw.githubusercontent.com/marcosmapl/dataset_imigrantes/main/materias_filtered/portal_amazonia/venezuelanos/2018/03_abr/html/13123.13123_1525.html", "HTML")</f>
        <v/>
      </c>
      <c r="R2227">
        <f>HYPERLINK("https://raw.githubusercontent.com/marcosmapl/dataset_imigrantes/main/materias_filtered/portal_amazonia/venezuelanos/2018/03_abr/txt/13123.13123_1525.txt", "TXT")</f>
        <v/>
      </c>
    </row>
    <row r="2228">
      <c r="A2228" s="1" t="n">
        <v>2226</v>
      </c>
      <c r="B2228" t="n">
        <v>2018</v>
      </c>
      <c r="C2228" s="2" t="n">
        <v>43191.92946126158</v>
      </c>
      <c r="D2228" t="inlineStr">
        <is>
          <t>G1</t>
        </is>
      </c>
      <c r="E2228" t="inlineStr">
        <is>
          <t>HAITIANOS</t>
        </is>
      </c>
      <c r="F2228" t="inlineStr">
        <is>
          <t>MINAS GERAIS</t>
        </is>
      </c>
      <c r="G2228" t="inlineStr">
        <is>
          <t>G1 MG — BELO HORIZONTE</t>
        </is>
      </c>
      <c r="H2228" t="inlineStr">
        <is>
          <t>HAITIANA É AGREDIDA DURANTE ASSALTO NA REGIÃO DA PAMPULHA, EM BH</t>
        </is>
      </c>
      <c r="I2228" t="inlineStr">
        <is>
          <t>SEGUNDO A PM, ELA FAZ INTERCÂMBIO NO BRASIL E ESTUDA NA UFMG. DOIS SUSPEITOS FORAM PRESOS.</t>
        </is>
      </c>
      <c r="J2228" t="inlineStr"/>
      <c r="K2228" t="n">
        <v>0</v>
      </c>
      <c r="L2228" t="n">
        <v>2</v>
      </c>
      <c r="M2228" t="n">
        <v>1</v>
      </c>
      <c r="N2228" t="n">
        <v>0</v>
      </c>
      <c r="O2228" t="n">
        <v>0</v>
      </c>
      <c r="P2228">
        <f>HYPERLINK("https://g1.globo.com/mg/minas-gerais/noticia/haitiana-e-agredida-durante-assalto-na-regiao-da-pampulha-em-bh.ghtml", "URL")</f>
        <v/>
      </c>
      <c r="Q2228">
        <f>HYPERLINK("https://raw.githubusercontent.com/marcosmapl/dataset_imigrantes/main/materias_filtered/g1/haitianos/2018/03_abr/html/g1_e491fee2-230e-11ed-b24f-6dbe51e79fca_2764.html", "HTML")</f>
        <v/>
      </c>
      <c r="R2228">
        <f>HYPERLINK("https://raw.githubusercontent.com/marcosmapl/dataset_imigrantes/main/materias_filtered/g1/haitianos/2018/03_abr/txt/g1_e491fee2-230e-11ed-b24f-6dbe51e79fca_2764.txt", "TXT")</f>
        <v/>
      </c>
    </row>
    <row r="2229">
      <c r="A2229" s="1" t="n">
        <v>2227</v>
      </c>
      <c r="B2229" t="n">
        <v>2018</v>
      </c>
      <c r="C2229" s="2" t="n">
        <v>43191.73472222222</v>
      </c>
      <c r="D2229" t="inlineStr">
        <is>
          <t>PORTAL AMAZONIA</t>
        </is>
      </c>
      <c r="E2229" t="inlineStr">
        <is>
          <t>VENEZUELANOS</t>
        </is>
      </c>
      <c r="F2229" t="inlineStr">
        <is>
          <t>CIDADES</t>
        </is>
      </c>
      <c r="G2229" t="inlineStr">
        <is>
          <t>REDAÇÃO</t>
        </is>
      </c>
      <c r="H2229" t="inlineStr">
        <is>
          <t>TAPUMES SÃO INSTALADOS NA PRAÇA SIMÓN BOLÍVAR, EM BOA VISTA</t>
        </is>
      </c>
      <c r="I2229" t="inlineStr">
        <is>
          <t>A ASSESSORIA DA PREFEITURA DE BOA VISTA, EM RORAIMA, CONFIRMOU A INSTALAÇÃO DE TAPUMES EM TORNO DA PRAÇA SIMÓN BOLÍVAR DURANTE ESTE FINAL DE SEMANA. ELA AFIRMA QUE OS TAPUMES FAZEM PARTE DE UMA AÇÃO JÁ PREVISTA DE MANUTENÇÃO DAS PRAÇAS DA CAPITAL.A O</t>
        </is>
      </c>
      <c r="J2229" t="inlineStr">
        <is>
          <t>BOA VISTA, IMIGRANTES, RORAIMA, VENEZUELANOS</t>
        </is>
      </c>
      <c r="K2229" t="n">
        <v>4</v>
      </c>
      <c r="L2229" t="n">
        <v>2</v>
      </c>
      <c r="M2229" t="n">
        <v>0</v>
      </c>
      <c r="N2229" t="n">
        <v>0</v>
      </c>
      <c r="O2229" t="n">
        <v>9</v>
      </c>
      <c r="P2229">
        <f>HYPERLINK("https://portalamazonia.com/noticias/cidades/tapumes-sao-instalados-na-praca-simon-bolivar-em-boa-vista", "URL")</f>
        <v/>
      </c>
      <c r="Q2229">
        <f>HYPERLINK("https://raw.githubusercontent.com/marcosmapl/dataset_imigrantes/main/materias_filtered/portal_amazonia/venezuelanos/2018/03_abr/html/13090.13090_1408.html", "HTML")</f>
        <v/>
      </c>
      <c r="R2229">
        <f>HYPERLINK("https://raw.githubusercontent.com/marcosmapl/dataset_imigrantes/main/materias_filtered/portal_amazonia/venezuelanos/2018/03_abr/txt/13090.13090_1408.txt", "TXT")</f>
        <v/>
      </c>
    </row>
    <row r="2230">
      <c r="A2230" s="1" t="n">
        <v>2228</v>
      </c>
      <c r="B2230" t="n">
        <v>2018</v>
      </c>
      <c r="C2230" s="2" t="n">
        <v>43187.81290962963</v>
      </c>
      <c r="D2230" t="inlineStr">
        <is>
          <t>G1</t>
        </is>
      </c>
      <c r="E2230" t="inlineStr">
        <is>
          <t>VENEZUELANOS</t>
        </is>
      </c>
      <c r="F2230" t="inlineStr">
        <is>
          <t>MUNDO</t>
        </is>
      </c>
      <c r="G2230" t="inlineStr">
        <is>
          <t>FRANCE PRESSE</t>
        </is>
      </c>
      <c r="H2230" t="inlineStr">
        <is>
          <t>SUÍÇA ANUNCIA SANÇÕES CONTRA SETE AUTORIDADES VENEZUELANAS</t>
        </is>
      </c>
      <c r="I2230" t="inlineStr">
        <is>
          <t>PAÍS CONGELOU ATIVOS E PROIBIU ENTRADA EM SEU TERRITÓRIO. ENTRE OS ATINGIDOS ESTÃO DIOSDADO CABELLO, NÚMERO DOIS DO CHAVISMO, E MAIKEL MORENO, PRESIDENTE DA SUPREMA CORTE.</t>
        </is>
      </c>
      <c r="J2230" t="inlineStr"/>
      <c r="K2230" t="n">
        <v>0</v>
      </c>
      <c r="L2230" t="n">
        <v>1</v>
      </c>
      <c r="M2230" t="n">
        <v>0</v>
      </c>
      <c r="N2230" t="n">
        <v>0</v>
      </c>
      <c r="O2230" t="n">
        <v>1</v>
      </c>
      <c r="P2230">
        <f>HYPERLINK("https://g1.globo.com/mundo/noticia/suica-anuncia-sancoes-contra-sete-autoridades-venezuelanas.ghtml", "URL")</f>
        <v/>
      </c>
      <c r="Q2230">
        <f>HYPERLINK("https://raw.githubusercontent.com/marcosmapl/dataset_imigrantes/main/materias_filtered/g1/venezuelanos/2018/02_mar/html/g1_a2d61304-2312-11ed-b24f-6dbe51e79fca_2974.html", "HTML")</f>
        <v/>
      </c>
      <c r="R2230">
        <f>HYPERLINK("https://raw.githubusercontent.com/marcosmapl/dataset_imigrantes/main/materias_filtered/g1/venezuelanos/2018/02_mar/txt/g1_a2d61304-2312-11ed-b24f-6dbe51e79fca_2974.txt", "TXT")</f>
        <v/>
      </c>
    </row>
    <row r="2231">
      <c r="A2231" s="1" t="n">
        <v>2229</v>
      </c>
      <c r="B2231" t="n">
        <v>2018</v>
      </c>
      <c r="C2231" s="2" t="n">
        <v>43186.87013888889</v>
      </c>
      <c r="D2231" t="inlineStr">
        <is>
          <t>PORTAL AMAZONIA</t>
        </is>
      </c>
      <c r="E2231" t="inlineStr">
        <is>
          <t>VENEZUELANOS</t>
        </is>
      </c>
      <c r="F2231" t="inlineStr">
        <is>
          <t>CIDADES</t>
        </is>
      </c>
      <c r="G2231" t="inlineStr">
        <is>
          <t>REDAÇÃO</t>
        </is>
      </c>
      <c r="H2231" t="inlineStr">
        <is>
          <t>ITÁLIA DOA 250 MIL EUROS PARA AJUDAR RORAIMA COM VENEZUELANOS</t>
        </is>
      </c>
      <c r="I2231" t="inlineStr">
        <is>
          <t>FOTO:REPRODUÇÃO/HUMAN RIGHTS WATCHA ITÁLIA DOARÁ 250 MIL EUROS (CERCA DE R$ 1 MILHÃO) PARA O ALTO COMISSARIADO DAS NAÇÕES UNIDAS PARA OS REFUGIADOS (ACNUR), COM O OBJETIVO DE AJUDAR NO COMBATE À CRISE HUMANITÁRIA NA FRONTEIRA ENTRE&amp;NBS</t>
        </is>
      </c>
      <c r="J2231" t="inlineStr">
        <is>
          <t>BRASIL, CRISE ECONÔMICA, IMIGRANTES, ITALIA, REFUGIADOS, RORAIMA, VENEZUELA</t>
        </is>
      </c>
      <c r="K2231" t="n">
        <v>7</v>
      </c>
      <c r="L2231" t="n">
        <v>2</v>
      </c>
      <c r="M2231" t="n">
        <v>0</v>
      </c>
      <c r="N2231" t="n">
        <v>0</v>
      </c>
      <c r="O2231" t="n">
        <v>12</v>
      </c>
      <c r="P2231">
        <f>HYPERLINK("https://portalamazonia.com/noticias/cidades/italia-doa-250-mil-euros-para-ajudar-roraima-com-venezuelanos", "URL")</f>
        <v/>
      </c>
      <c r="Q2231">
        <f>HYPERLINK("https://raw.githubusercontent.com/marcosmapl/dataset_imigrantes/main/materias_filtered/portal_amazonia/venezuelanos/2018/02_mar/html/13018.13018_1568.html", "HTML")</f>
        <v/>
      </c>
      <c r="R2231">
        <f>HYPERLINK("https://raw.githubusercontent.com/marcosmapl/dataset_imigrantes/main/materias_filtered/portal_amazonia/venezuelanos/2018/02_mar/txt/13018.13018_1568.txt", "TXT")</f>
        <v/>
      </c>
    </row>
    <row r="2232">
      <c r="A2232" s="1" t="n">
        <v>2230</v>
      </c>
      <c r="B2232" t="n">
        <v>2018</v>
      </c>
      <c r="C2232" s="2" t="n">
        <v>43185.55555555555</v>
      </c>
      <c r="D2232" t="inlineStr">
        <is>
          <t>PORTAL AMAZONIA</t>
        </is>
      </c>
      <c r="E2232" t="inlineStr">
        <is>
          <t>VENEZUELANOS</t>
        </is>
      </c>
      <c r="F2232" t="inlineStr">
        <is>
          <t>NOTÍCIAS</t>
        </is>
      </c>
      <c r="G2232" t="inlineStr">
        <is>
          <t>REDAÇÃO</t>
        </is>
      </c>
      <c r="H2232" t="inlineStr">
        <is>
          <t>MADURO TERIA LIBERADO US$ 4 BI À ODEBRECHT APÓS ELEIÇÃO</t>
        </is>
      </c>
      <c r="I2232" t="inlineStr">
        <is>
          <t>O PRESIDENTE DA VENEZUELA, NICOLÁS MADURO, TERIA LIBERADO MAIS DE US$ 4 BILHÕES PARA OBRAS DA ODEBRECHT NO PAÍS FINANCIADAS PELO BANCO NACIONAL DE DESENVOLVIMENTO ECONÔMICO E SOCIAL (BNDES). AS INFORMAÇÕES SÃO DA ANSA.A DENÚNCIA É DO JORNAL O ESTADO</t>
        </is>
      </c>
      <c r="J2232" t="inlineStr">
        <is>
          <t>NICOLÃ¡S MADURO, ODEBRECHT</t>
        </is>
      </c>
      <c r="K2232" t="n">
        <v>2</v>
      </c>
      <c r="L2232" t="n">
        <v>2</v>
      </c>
      <c r="M2232" t="n">
        <v>0</v>
      </c>
      <c r="N2232" t="n">
        <v>0</v>
      </c>
      <c r="O2232" t="n">
        <v>10</v>
      </c>
      <c r="P2232">
        <f>HYPERLINK("https://portalamazonia.com/noticias/maduro-teria-liberado-us-4-bi-a-odebrecht-apos-eleicao", "URL")</f>
        <v/>
      </c>
      <c r="Q2232">
        <f>HYPERLINK("https://raw.githubusercontent.com/marcosmapl/dataset_imigrantes/main/materias_filtered/portal_amazonia/venezuelanos/2018/02_mar/html/12975.29989_1573.html", "HTML")</f>
        <v/>
      </c>
      <c r="R2232">
        <f>HYPERLINK("https://raw.githubusercontent.com/marcosmapl/dataset_imigrantes/main/materias_filtered/portal_amazonia/venezuelanos/2018/02_mar/txt/12975.29989_1573.txt", "TXT")</f>
        <v/>
      </c>
    </row>
    <row r="2233">
      <c r="A2233" s="1" t="n">
        <v>2231</v>
      </c>
      <c r="B2233" t="n">
        <v>2018</v>
      </c>
      <c r="C2233" s="2" t="n">
        <v>43183.125</v>
      </c>
      <c r="D2233" t="inlineStr">
        <is>
          <t>A CRITICA</t>
        </is>
      </c>
      <c r="E2233" t="inlineStr">
        <is>
          <t>VENEZUELANOS</t>
        </is>
      </c>
      <c r="F2233" t="inlineStr">
        <is>
          <t>OPINIAO</t>
        </is>
      </c>
      <c r="G2233" t="inlineStr">
        <is>
          <t>ORLANDO CÂMARA</t>
        </is>
      </c>
      <c r="H2233" t="inlineStr">
        <is>
          <t>LIMITES</t>
        </is>
      </c>
      <c r="I2233" t="inlineStr">
        <is>
          <t>CRÔNICAS DE DOMINGO - 25 DE MARÇO DE 2018</t>
        </is>
      </c>
      <c r="J2233" t="inlineStr">
        <is>
          <t>ORLANDO-CAMARA</t>
        </is>
      </c>
      <c r="K2233" t="n">
        <v>1</v>
      </c>
      <c r="L2233" t="n">
        <v>1</v>
      </c>
      <c r="M2233" t="n">
        <v>0</v>
      </c>
      <c r="N2233" t="n">
        <v>0</v>
      </c>
      <c r="O2233" t="n">
        <v>1</v>
      </c>
      <c r="P2233">
        <f>HYPERLINK("https://www.acritica.com/opiniao/limites-1.217149", "URL")</f>
        <v/>
      </c>
      <c r="Q2233">
        <f>HYPERLINK("https://raw.githubusercontent.com/marcosmapl/dataset_imigrantes/main/materias_filtered/a_critica/venezuelanos/2018/02_mar/html/1.217149_691.html", "HTML")</f>
        <v/>
      </c>
      <c r="R2233">
        <f>HYPERLINK("https://raw.githubusercontent.com/marcosmapl/dataset_imigrantes/main/materias_filtered/a_critica/venezuelanos/2018/02_mar/txt/1.217149_691.txt", "TXT")</f>
        <v/>
      </c>
    </row>
    <row r="2234">
      <c r="A2234" s="1" t="n">
        <v>2232</v>
      </c>
      <c r="B2234" t="n">
        <v>2018</v>
      </c>
      <c r="C2234" s="2" t="n">
        <v>43181.47457881944</v>
      </c>
      <c r="D2234" t="inlineStr">
        <is>
          <t>G1</t>
        </is>
      </c>
      <c r="E2234" t="inlineStr">
        <is>
          <t>VENEZUELANOS</t>
        </is>
      </c>
      <c r="F2234" t="inlineStr">
        <is>
          <t>SANTARÉM E REGIÃO</t>
        </is>
      </c>
      <c r="G2234" t="inlineStr">
        <is>
          <t>DOMINIQUE CAVALEIRO, G1 SANTARÉM, PA</t>
        </is>
      </c>
      <c r="H2234" t="inlineStr">
        <is>
          <t>EM ÓBIDOS, PF PRENDE MULHER SUSPEITA DE ALICIAR VENEZUELANAS PARA PROSTITUIÇÃO</t>
        </is>
      </c>
      <c r="I2234" t="inlineStr">
        <is>
          <t>SUSPEITA ESTAVA EM UMA EMBARCAÇÃO QUE SAIU DE MANAUS COM DESTINO À SANTARÉM. PRISÃO ACONTECEU DURANTE FISCALIZAÇÕES DA OPERAÇÃO SENTINELA.</t>
        </is>
      </c>
      <c r="J2234" t="inlineStr"/>
      <c r="K2234" t="n">
        <v>0</v>
      </c>
      <c r="L2234" t="n">
        <v>0</v>
      </c>
      <c r="M2234" t="n">
        <v>0</v>
      </c>
      <c r="N2234" t="n">
        <v>0</v>
      </c>
      <c r="O2234" t="n">
        <v>0</v>
      </c>
      <c r="P2234">
        <f>HYPERLINK("https://g1.globo.com/pa/santarem-regiao/noticia/em-obidos-pf-prende-mulher-suspeita-de-aliciar-venezuelanas-para-prostituicao.ghtml", "URL")</f>
        <v/>
      </c>
      <c r="Q2234">
        <f>HYPERLINK("https://raw.githubusercontent.com/marcosmapl/dataset_imigrantes/main/materias_filtered/g1/venezuelanos/2018/02_mar/html/g1_7520edbe-231a-11ed-b24f-6dbe51e79fca_3336.html", "HTML")</f>
        <v/>
      </c>
      <c r="R2234">
        <f>HYPERLINK("https://raw.githubusercontent.com/marcosmapl/dataset_imigrantes/main/materias_filtered/g1/venezuelanos/2018/02_mar/txt/g1_7520edbe-231a-11ed-b24f-6dbe51e79fca_3336.txt", "TXT")</f>
        <v/>
      </c>
    </row>
    <row r="2235">
      <c r="A2235" s="1" t="n">
        <v>2233</v>
      </c>
      <c r="B2235" t="n">
        <v>2018</v>
      </c>
      <c r="C2235" s="2" t="n">
        <v>43180.85293243056</v>
      </c>
      <c r="D2235" t="inlineStr">
        <is>
          <t>G1</t>
        </is>
      </c>
      <c r="E2235" t="inlineStr">
        <is>
          <t>VENEZUELANOS</t>
        </is>
      </c>
      <c r="F2235" t="inlineStr">
        <is>
          <t>RORAIMA</t>
        </is>
      </c>
      <c r="G2235" t="inlineStr">
        <is>
          <t>G1 RR</t>
        </is>
      </c>
      <c r="H2235" t="inlineStr">
        <is>
          <t>MINISTRO DO TRABALHO DISCUTE MIGRAÇÃO VENEZUELANA COM REPRESENTANTE DA OEA</t>
        </is>
      </c>
      <c r="I2235" t="inlineStr">
        <is>
          <t>VENEZUELANOS ENTRAM NO BRASIL POR RORAIMA E BUSCAM TRABALHO E MELHORES CONDIÇÕES DE VIDA.</t>
        </is>
      </c>
      <c r="J2235" t="inlineStr"/>
      <c r="K2235" t="n">
        <v>0</v>
      </c>
      <c r="L2235" t="n">
        <v>1</v>
      </c>
      <c r="M2235" t="n">
        <v>0</v>
      </c>
      <c r="N2235" t="n">
        <v>0</v>
      </c>
      <c r="O2235" t="n">
        <v>4</v>
      </c>
      <c r="P2235">
        <f>HYPERLINK("https://g1.globo.com/rr/roraima/noticia/ministro-do-trabalho-discute-migracao-venezuelana-com-representante-da-oea.ghtml", "URL")</f>
        <v/>
      </c>
      <c r="Q2235">
        <f>HYPERLINK("https://raw.githubusercontent.com/marcosmapl/dataset_imigrantes/main/materias_filtered/g1/venezuelanos/2018/02_mar/html/g1_1a8c1fbe-2323-11ed-b24f-6dbe51e79fca_3788.html", "HTML")</f>
        <v/>
      </c>
      <c r="R2235">
        <f>HYPERLINK("https://raw.githubusercontent.com/marcosmapl/dataset_imigrantes/main/materias_filtered/g1/venezuelanos/2018/02_mar/txt/g1_1a8c1fbe-2323-11ed-b24f-6dbe51e79fca_3788.txt", "TXT")</f>
        <v/>
      </c>
    </row>
    <row r="2236">
      <c r="A2236" s="1" t="n">
        <v>2234</v>
      </c>
      <c r="B2236" t="n">
        <v>2018</v>
      </c>
      <c r="C2236" s="2" t="n">
        <v>43180.71324074074</v>
      </c>
      <c r="D2236" t="inlineStr">
        <is>
          <t>A CRITICA</t>
        </is>
      </c>
      <c r="E2236" t="inlineStr">
        <is>
          <t>VENEZUELANOS</t>
        </is>
      </c>
      <c r="F2236" t="inlineStr"/>
      <c r="G2236" t="inlineStr">
        <is>
          <t>KARINE MELO - AGÊNCIA BRASIL</t>
        </is>
      </c>
      <c r="H2236" t="inlineStr">
        <is>
          <t>MINISTRO PEDE AJUDA À OMS PARA OBRIGAR VENEZUELANOS A SEREM VACINADOS</t>
        </is>
      </c>
      <c r="I2236" t="inlineStr">
        <is>
          <t>O PEDIDO FOI FEITO EM RAZÃO DO GRANDE NÚMERO DE CASOS DE SARAMPO QUE TÊM SIDO NOTIFICADOS EM RORAIMA, A PARTIR DA VINDA DE VENEZUELANOS PARA O BRASIL</t>
        </is>
      </c>
      <c r="J2236" t="inlineStr"/>
      <c r="K2236" t="n">
        <v>0</v>
      </c>
      <c r="L2236" t="n">
        <v>1</v>
      </c>
      <c r="M2236" t="n">
        <v>0</v>
      </c>
      <c r="N2236" t="n">
        <v>0</v>
      </c>
      <c r="O2236" t="n">
        <v>0</v>
      </c>
      <c r="P2236">
        <f>HYPERLINK("https://www.acritica.com/ministro-pede-ajuda-a-oms-para-obrigar-venezuelanos-a-serem-vacinados-1.182324", "URL")</f>
        <v/>
      </c>
      <c r="Q2236">
        <f>HYPERLINK("https://raw.githubusercontent.com/marcosmapl/dataset_imigrantes/main/materias_filtered/a_critica/venezuelanos/2018/02_mar/html/1.182324_203.html", "HTML")</f>
        <v/>
      </c>
      <c r="R2236">
        <f>HYPERLINK("https://raw.githubusercontent.com/marcosmapl/dataset_imigrantes/main/materias_filtered/a_critica/venezuelanos/2018/02_mar/txt/1.182324_203.txt", "TXT")</f>
        <v/>
      </c>
    </row>
    <row r="2237">
      <c r="A2237" s="1" t="n">
        <v>2235</v>
      </c>
      <c r="B2237" t="n">
        <v>2018</v>
      </c>
      <c r="C2237" s="2" t="n">
        <v>43179.97277777778</v>
      </c>
      <c r="D2237" t="inlineStr">
        <is>
          <t>A CRITICA</t>
        </is>
      </c>
      <c r="E2237" t="inlineStr">
        <is>
          <t>VENEZUELANOS</t>
        </is>
      </c>
      <c r="F2237" t="inlineStr"/>
      <c r="G2237" t="inlineStr"/>
      <c r="H2237" t="inlineStr">
        <is>
          <t>DESERTO DE MÉDICOS NO INTERIOR</t>
        </is>
      </c>
      <c r="I2237" t="inlineStr"/>
      <c r="J2237" t="inlineStr"/>
      <c r="K2237" t="n">
        <v>0</v>
      </c>
      <c r="L2237" t="n">
        <v>0</v>
      </c>
      <c r="M2237" t="n">
        <v>0</v>
      </c>
      <c r="N2237" t="n">
        <v>0</v>
      </c>
      <c r="O2237" t="n">
        <v>0</v>
      </c>
      <c r="P2237">
        <f>HYPERLINK("https://www.acritica.com/deserto-de-medicos-no-interior-1.229721", "URL")</f>
        <v/>
      </c>
      <c r="Q2237">
        <f>HYPERLINK("https://raw.githubusercontent.com/marcosmapl/dataset_imigrantes/main/materias_filtered/a_critica/venezuelanos/2018/02_mar/html/1.229721_1236.html", "HTML")</f>
        <v/>
      </c>
      <c r="R2237">
        <f>HYPERLINK("https://raw.githubusercontent.com/marcosmapl/dataset_imigrantes/main/materias_filtered/a_critica/venezuelanos/2018/02_mar/txt/1.229721_1236.txt", "TXT")</f>
        <v/>
      </c>
    </row>
    <row r="2238">
      <c r="A2238" s="1" t="n">
        <v>2236</v>
      </c>
      <c r="B2238" t="n">
        <v>2018</v>
      </c>
      <c r="C2238" s="2" t="n">
        <v>43179.78304398148</v>
      </c>
      <c r="D2238" t="inlineStr">
        <is>
          <t>A CRITICA</t>
        </is>
      </c>
      <c r="E2238" t="inlineStr">
        <is>
          <t>VENEZUELANOS</t>
        </is>
      </c>
      <c r="F2238" t="inlineStr"/>
      <c r="G2238" t="inlineStr">
        <is>
          <t>LETYCIA BOND (AGÊNCIA BRASIL)</t>
        </is>
      </c>
      <c r="H2238" t="inlineStr">
        <is>
          <t>GRUPO INVADE ABRIGO E QUEIMA PERTENCES DE VENEZUELANOS EM CIDADE DE RORAIMA</t>
        </is>
      </c>
      <c r="I2238" t="inlineStr">
        <is>
          <t>O PROTESTO OCORREU APÓS MORADORES TEREM FICADO REVOLTADOS COM A MORTE DE UM BRASILEIRO, SUPOSTAMENTE MORTO DURANTE BRIGA COM VENEZUELANOS EM UM BAR</t>
        </is>
      </c>
      <c r="J2238" t="inlineStr"/>
      <c r="K2238" t="n">
        <v>0</v>
      </c>
      <c r="L2238" t="n">
        <v>1</v>
      </c>
      <c r="M2238" t="n">
        <v>0</v>
      </c>
      <c r="N2238" t="n">
        <v>0</v>
      </c>
      <c r="O2238" t="n">
        <v>0</v>
      </c>
      <c r="P2238">
        <f>HYPERLINK("https://www.acritica.com/grupo-invade-abrigo-e-queima-pertences-de-venezuelanos-em-cidade-de-roraima-1.182227", "URL")</f>
        <v/>
      </c>
      <c r="Q2238">
        <f>HYPERLINK("https://raw.githubusercontent.com/marcosmapl/dataset_imigrantes/main/materias_filtered/a_critica/venezuelanos/2018/02_mar/html/1.182227_294.html", "HTML")</f>
        <v/>
      </c>
      <c r="R2238">
        <f>HYPERLINK("https://raw.githubusercontent.com/marcosmapl/dataset_imigrantes/main/materias_filtered/a_critica/venezuelanos/2018/02_mar/txt/1.182227_294.txt", "TXT")</f>
        <v/>
      </c>
    </row>
    <row r="2239">
      <c r="A2239" s="1" t="n">
        <v>2237</v>
      </c>
      <c r="B2239" t="n">
        <v>2018</v>
      </c>
      <c r="C2239" s="2" t="n">
        <v>43179.59444444445</v>
      </c>
      <c r="D2239" t="inlineStr">
        <is>
          <t>PORTAL AMAZONIA</t>
        </is>
      </c>
      <c r="E2239" t="inlineStr">
        <is>
          <t>VENEZUELANOS</t>
        </is>
      </c>
      <c r="F2239" t="inlineStr">
        <is>
          <t>CIDADES</t>
        </is>
      </c>
      <c r="G2239" t="inlineStr">
        <is>
          <t>REDAÇÃO</t>
        </is>
      </c>
      <c r="H2239" t="inlineStr">
        <is>
          <t>INTERIORIZAÇÃO DE VENEZUELANOS PARA SÃO PAULO E MANAUS COMEÇA EM ABRIL</t>
        </is>
      </c>
      <c r="I2239" t="inlineStr">
        <is>
          <t>O PROCESSO DE INTERIORIZAÇÃO DOS IMIGRANTES VENEZUELANOS QUE ESTÃO EM RORAIMA COMEÇA NO MÊS DE ABRIL, COM O TRANSPORTE DE PARTE DELES PARA AS CIDADES DE SÃO PAULO E MANAUS, INFORMOU A CASA CIVIL DO GOVERNO ESTADUAL. O OBJETIVO É LEVÁ-LOS A OUTROS EST</t>
        </is>
      </c>
      <c r="J2239" t="inlineStr">
        <is>
          <t>CIDADE, CRISE ECONÔMICA, IMIGRANTES, MANAUS, PACARAIMA, RORAIMA, SAO PAULO, VENEZUELA, VENEZUELANOS</t>
        </is>
      </c>
      <c r="K2239" t="n">
        <v>9</v>
      </c>
      <c r="L2239" t="n">
        <v>2</v>
      </c>
      <c r="M2239" t="n">
        <v>0</v>
      </c>
      <c r="N2239" t="n">
        <v>0</v>
      </c>
      <c r="O2239" t="n">
        <v>13</v>
      </c>
      <c r="P2239">
        <f>HYPERLINK("https://portalamazonia.com/noticias/cidades/interiorizacao-de-venezuelanos-para-sao-paulo-e-manaus-comeca-em-abril", "URL")</f>
        <v/>
      </c>
      <c r="Q2239">
        <f>HYPERLINK("https://raw.githubusercontent.com/marcosmapl/dataset_imigrantes/main/materias_filtered/portal_amazonia/venezuelanos/2018/02_mar/html/12874.12874_1561.html", "HTML")</f>
        <v/>
      </c>
      <c r="R2239">
        <f>HYPERLINK("https://raw.githubusercontent.com/marcosmapl/dataset_imigrantes/main/materias_filtered/portal_amazonia/venezuelanos/2018/02_mar/txt/12874.12874_1561.txt", "TXT")</f>
        <v/>
      </c>
    </row>
    <row r="2240">
      <c r="A2240" s="1" t="n">
        <v>2238</v>
      </c>
      <c r="B2240" t="n">
        <v>2018</v>
      </c>
      <c r="C2240" s="2" t="n">
        <v>43179.56445601852</v>
      </c>
      <c r="D2240" t="inlineStr">
        <is>
          <t>A CRITICA</t>
        </is>
      </c>
      <c r="E2240" t="inlineStr">
        <is>
          <t>VENEZUELANOS</t>
        </is>
      </c>
      <c r="F2240" t="inlineStr">
        <is>
          <t>MANAUS</t>
        </is>
      </c>
      <c r="G2240" t="inlineStr">
        <is>
          <t>ACRÍTICA.COM</t>
        </is>
      </c>
      <c r="H2240" t="inlineStr">
        <is>
          <t>INTERIORIZAÇÃO DE VENEZUELANOS ABRE 180 VAGAS PARA MANAUS A PARTIR DE ABRIL</t>
        </is>
      </c>
      <c r="I2240" t="inlineStr">
        <is>
          <t>VENEZUELANOS RECEBERÃO ABRIGO E APOIO EM MANAUS E SÃO PAULO, PROCESSO BUSCA OFERECER MELHOR ESTRUTURA E ALIVIAR SUPERLOTAÇÃO EM RORAIMAN</t>
        </is>
      </c>
      <c r="J2240" t="inlineStr"/>
      <c r="K2240" t="n">
        <v>0</v>
      </c>
      <c r="L2240" t="n">
        <v>1</v>
      </c>
      <c r="M2240" t="n">
        <v>0</v>
      </c>
      <c r="N2240" t="n">
        <v>0</v>
      </c>
      <c r="O2240" t="n">
        <v>0</v>
      </c>
      <c r="P2240">
        <f>HYPERLINK("https://www.acritica.com/manaus/interiorizac-o-de-venezuelanos-abre-180-vagas-para-manaus-a-partir-de-abril-1.182070", "URL")</f>
        <v/>
      </c>
      <c r="Q2240">
        <f>HYPERLINK("https://raw.githubusercontent.com/marcosmapl/dataset_imigrantes/main/materias_filtered/a_critica/venezuelanos/2018/02_mar/html/1.182070_661.html", "HTML")</f>
        <v/>
      </c>
      <c r="R2240">
        <f>HYPERLINK("https://raw.githubusercontent.com/marcosmapl/dataset_imigrantes/main/materias_filtered/a_critica/venezuelanos/2018/02_mar/txt/1.182070_661.txt", "TXT")</f>
        <v/>
      </c>
    </row>
    <row r="2241">
      <c r="A2241" s="1" t="n">
        <v>2239</v>
      </c>
      <c r="B2241" t="n">
        <v>2018</v>
      </c>
      <c r="C2241" s="2" t="n">
        <v>43178.98546296296</v>
      </c>
      <c r="D2241" t="inlineStr">
        <is>
          <t>A CRITICA</t>
        </is>
      </c>
      <c r="E2241" t="inlineStr">
        <is>
          <t>VENEZUELANOS</t>
        </is>
      </c>
      <c r="F2241" t="inlineStr">
        <is>
          <t>MANAUS</t>
        </is>
      </c>
      <c r="G2241" t="inlineStr">
        <is>
          <t>ACRITICA.COM*</t>
        </is>
      </c>
      <c r="H2241" t="inlineStr">
        <is>
          <t>IMIGRANTES VENEZUELANOS SÃO ATENDIDOS POR MUTIRÃO DE CIDADANIA EM PAC DE MANAUS</t>
        </is>
      </c>
      <c r="I2241" t="inlineStr">
        <is>
          <t>VENEZUELANOS PUDERAM EMITIR CARTEIRA DE TRABALHO E CADASTRO DE PESSOA FÍSICA (CPF), REALIZAR EXAMES MÉDICOS, ALÉM DE RECEBER VACINAÇÃO. SERVIÇOS NA ZONA LESTE DA CAPITAL CONTINUAM NO SÁBADO (24)</t>
        </is>
      </c>
      <c r="J2241" t="inlineStr"/>
      <c r="K2241" t="n">
        <v>0</v>
      </c>
      <c r="L2241" t="n">
        <v>1</v>
      </c>
      <c r="M2241" t="n">
        <v>0</v>
      </c>
      <c r="N2241" t="n">
        <v>0</v>
      </c>
      <c r="O2241" t="n">
        <v>0</v>
      </c>
      <c r="P2241">
        <f>HYPERLINK("https://www.acritica.com/manaus/imigrantes-venezuelanos-s-o-atendidos-por-mutir-o-de-cidadania-em-pac-de-manaus-1.182100", "URL")</f>
        <v/>
      </c>
      <c r="Q2241">
        <f>HYPERLINK("https://raw.githubusercontent.com/marcosmapl/dataset_imigrantes/main/materias_filtered/a_critica/venezuelanos/2018/02_mar/html/1.182100_785.html", "HTML")</f>
        <v/>
      </c>
      <c r="R2241">
        <f>HYPERLINK("https://raw.githubusercontent.com/marcosmapl/dataset_imigrantes/main/materias_filtered/a_critica/venezuelanos/2018/02_mar/txt/1.182100_785.txt", "TXT")</f>
        <v/>
      </c>
    </row>
    <row r="2242">
      <c r="A2242" s="1" t="n">
        <v>2240</v>
      </c>
      <c r="B2242" t="n">
        <v>2018</v>
      </c>
      <c r="C2242" s="2" t="n">
        <v>43175.63677083333</v>
      </c>
      <c r="D2242" t="inlineStr">
        <is>
          <t>A CRITICA</t>
        </is>
      </c>
      <c r="E2242" t="inlineStr">
        <is>
          <t>HAITIANOS</t>
        </is>
      </c>
      <c r="F2242" t="inlineStr">
        <is>
          <t>MANAUS</t>
        </is>
      </c>
      <c r="G2242" t="inlineStr">
        <is>
          <t>AMANDA GUIMARÃES</t>
        </is>
      </c>
      <c r="H2242" t="inlineStr">
        <is>
          <t>VIDAS ANÔNIMAS: HAITIANA PASSA POR CIMA DE PRECONCEITO E ABRE RESTAURANTE EM MANAUS</t>
        </is>
      </c>
      <c r="I2242" t="inlineStr">
        <is>
          <t>CONHEÇA A TRAJETÓRIA DA REFUGIADA GLORIANE AIMABLE, DE 35 ANOS, QUE CHEGOU NA CAPITAL APÓS O HAITI SER ATINGIDO POR UM TERREMOTO DE MAGNITUDE  7,0</t>
        </is>
      </c>
      <c r="J2242" t="inlineStr"/>
      <c r="K2242" t="n">
        <v>0</v>
      </c>
      <c r="L2242" t="n">
        <v>1</v>
      </c>
      <c r="M2242" t="n">
        <v>0</v>
      </c>
      <c r="N2242" t="n">
        <v>0</v>
      </c>
      <c r="O2242" t="n">
        <v>0</v>
      </c>
      <c r="P2242">
        <f>HYPERLINK("https://www.acritica.com/manaus/vidas-anonimas-haitiana-passa-por-cima-de-preconceito-e-abre-restaurante-em-manaus-1.181234", "URL")</f>
        <v/>
      </c>
      <c r="Q2242">
        <f>HYPERLINK("https://raw.githubusercontent.com/marcosmapl/dataset_imigrantes/main/materias_filtered/a_critica/haitianos/2018/02_mar/html/1.181234_27.html", "HTML")</f>
        <v/>
      </c>
      <c r="R2242">
        <f>HYPERLINK("https://raw.githubusercontent.com/marcosmapl/dataset_imigrantes/main/materias_filtered/a_critica/haitianos/2018/02_mar/txt/1.181234_27.txt", "TXT")</f>
        <v/>
      </c>
    </row>
    <row r="2243">
      <c r="A2243" s="1" t="n">
        <v>2241</v>
      </c>
      <c r="B2243" t="n">
        <v>2018</v>
      </c>
      <c r="C2243" s="2" t="n">
        <v>43174.81342831018</v>
      </c>
      <c r="D2243" t="inlineStr">
        <is>
          <t>G1</t>
        </is>
      </c>
      <c r="E2243" t="inlineStr">
        <is>
          <t>VENEZUELANOS</t>
        </is>
      </c>
      <c r="F2243" t="inlineStr">
        <is>
          <t>RORAIMA</t>
        </is>
      </c>
      <c r="G2243" t="inlineStr">
        <is>
          <t>ALAN CHAVES, G1 RR</t>
        </is>
      </c>
      <c r="H2243" t="inlineStr">
        <is>
          <t>EXAME CONFIRMA SARAMPO EM CRIANÇA VENEZUELANA QUE MORREU EM RR; SAÚDE INVESTIGA 55 CASOS SUSPEITOS DA DOENÇA</t>
        </is>
      </c>
      <c r="I2243" t="inlineStr">
        <is>
          <t>CRIANÇA MORREU NO COMEÇO DE MARÇO NO HOSPITAL DA CRIANÇA DE BOA VISTA. ALÉM DE SARAMPO, IMIGRANTE ESTAVA DESNUTRIDA E DESIDRATADA.</t>
        </is>
      </c>
      <c r="J2243" t="inlineStr"/>
      <c r="K2243" t="n">
        <v>0</v>
      </c>
      <c r="L2243" t="n">
        <v>2</v>
      </c>
      <c r="M2243" t="n">
        <v>0</v>
      </c>
      <c r="N2243" t="n">
        <v>0</v>
      </c>
      <c r="O2243" t="n">
        <v>4</v>
      </c>
      <c r="P2243">
        <f>HYPERLINK("https://g1.globo.com/rr/roraima/noticia/exame-confirma-sarampo-em-crianca-venezuelana-que-morreu-em-rr-saude-investiga-56-casos-suspeitos-da-doenca.ghtml", "URL")</f>
        <v/>
      </c>
      <c r="Q2243">
        <f>HYPERLINK("https://raw.githubusercontent.com/marcosmapl/dataset_imigrantes/main/materias_filtered/g1/venezuelanos/2018/02_mar/html/g1_ae2733ae-2313-11ed-b24f-6dbe51e79fca_3021.html", "HTML")</f>
        <v/>
      </c>
      <c r="R2243">
        <f>HYPERLINK("https://raw.githubusercontent.com/marcosmapl/dataset_imigrantes/main/materias_filtered/g1/venezuelanos/2018/02_mar/txt/g1_ae2733ae-2313-11ed-b24f-6dbe51e79fca_3021.txt", "TXT")</f>
        <v/>
      </c>
    </row>
    <row r="2244">
      <c r="A2244" s="1" t="n">
        <v>2242</v>
      </c>
      <c r="B2244" t="n">
        <v>2018</v>
      </c>
      <c r="C2244" s="2" t="n">
        <v>43174.65</v>
      </c>
      <c r="D2244" t="inlineStr">
        <is>
          <t>PORTAL AMAZONIA</t>
        </is>
      </c>
      <c r="E2244" t="inlineStr">
        <is>
          <t>VENEZUELANOS</t>
        </is>
      </c>
      <c r="F2244" t="inlineStr">
        <is>
          <t>CIDADES</t>
        </is>
      </c>
      <c r="G2244" t="inlineStr">
        <is>
          <t>REDAÇÃO</t>
        </is>
      </c>
      <c r="H2244" t="inlineStr">
        <is>
          <t>RORAIMA DEVE FAZER LEILÃO PARA REFORÇAR GERAÇÃO ALTERNATIVA DE ENERGIA</t>
        </is>
      </c>
      <c r="I2244" t="inlineStr">
        <is>
          <t>RORAIMA DEVE REALIZAR AINDA NESTE SEMESTRE UM LEILÃO PARA REFORÇAR A GERAÇÃO E O FORNECIMENTO DE ENERGIA ALTERNATIVA. A EXPECTATIVA É GARANTIR A GERAÇÃO DE 270 MEGAWATTS, O SUFICIENTE PARA ABASTECER O ESTADO PELOS PRÓXIMOS CINCO ANOS. AS INFORMAÇÕES</t>
        </is>
      </c>
      <c r="J2244" t="inlineStr">
        <is>
          <t>ALTERNATIVAS, ENERGIA, ENERGIA LIMPA, ENERGIA RENOVAVEL, ENERGIA SOLAR, RORAIMA</t>
        </is>
      </c>
      <c r="K2244" t="n">
        <v>6</v>
      </c>
      <c r="L2244" t="n">
        <v>1</v>
      </c>
      <c r="M2244" t="n">
        <v>0</v>
      </c>
      <c r="N2244" t="n">
        <v>0</v>
      </c>
      <c r="O2244" t="n">
        <v>11</v>
      </c>
      <c r="P2244">
        <f>HYPERLINK("https://portalamazonia.com/noticias/cidades/roraima-deve-fazer-leilao-para-reforcar-geracao-alternativa-de-energia", "URL")</f>
        <v/>
      </c>
      <c r="Q2244">
        <f>HYPERLINK("https://raw.githubusercontent.com/marcosmapl/dataset_imigrantes/main/materias_filtered/portal_amazonia/venezuelanos/2018/02_mar/html/12789.12789_1572.html", "HTML")</f>
        <v/>
      </c>
      <c r="R2244">
        <f>HYPERLINK("https://raw.githubusercontent.com/marcosmapl/dataset_imigrantes/main/materias_filtered/portal_amazonia/venezuelanos/2018/02_mar/txt/12789.12789_1572.txt", "TXT")</f>
        <v/>
      </c>
    </row>
    <row r="2245">
      <c r="A2245" s="1" t="n">
        <v>2243</v>
      </c>
      <c r="B2245" t="n">
        <v>2018</v>
      </c>
      <c r="C2245" s="2" t="n">
        <v>43172.78611111111</v>
      </c>
      <c r="D2245" t="inlineStr">
        <is>
          <t>A CRITICA</t>
        </is>
      </c>
      <c r="E2245" t="inlineStr">
        <is>
          <t>VENEZUELANOS</t>
        </is>
      </c>
      <c r="F2245" t="inlineStr">
        <is>
          <t>MANAUS</t>
        </is>
      </c>
      <c r="G2245" t="inlineStr">
        <is>
          <t>JOANA QUEIROZ</t>
        </is>
      </c>
      <c r="H2245" t="inlineStr">
        <is>
          <t>CRISE NA VENEZUELA TORNA FRONTEIRA DO AM EM COMÉRCIO DE FUZIS COM PCC, DIZ POLÍCIA</t>
        </is>
      </c>
      <c r="I2245" t="inlineStr">
        <is>
          <t>POLÍCIA CIVIL TEM REGISTROS DE QUE MILICIANOS DO PRESIDENTE DA VENEZUELA, NICOLÁS MADURO, ESTARIAM VENDENDO ARMAS PARA A FACÇÃO PRIMEIRO COMANDO DA CAPITAL (PCC), COMPROMETENDO A SEGURANÇA DO ESTADO</t>
        </is>
      </c>
      <c r="J2245" t="inlineStr"/>
      <c r="K2245" t="n">
        <v>0</v>
      </c>
      <c r="L2245" t="n">
        <v>1</v>
      </c>
      <c r="M2245" t="n">
        <v>0</v>
      </c>
      <c r="N2245" t="n">
        <v>0</v>
      </c>
      <c r="O2245" t="n">
        <v>1</v>
      </c>
      <c r="P2245">
        <f>HYPERLINK("https://www.acritica.com/manaus/crise-na-venezuela-torna-fronteira-do-am-em-comercio-de-fuzis-com-pcc-diz-policia-1.181041", "URL")</f>
        <v/>
      </c>
      <c r="Q2245">
        <f>HYPERLINK("https://raw.githubusercontent.com/marcosmapl/dataset_imigrantes/main/materias_filtered/a_critica/venezuelanos/2018/02_mar/html/1.181041_521.html", "HTML")</f>
        <v/>
      </c>
      <c r="R2245">
        <f>HYPERLINK("https://raw.githubusercontent.com/marcosmapl/dataset_imigrantes/main/materias_filtered/a_critica/venezuelanos/2018/02_mar/txt/1.181041_521.txt", "TXT")</f>
        <v/>
      </c>
    </row>
    <row r="2246">
      <c r="A2246" s="1" t="n">
        <v>2244</v>
      </c>
      <c r="B2246" t="n">
        <v>2018</v>
      </c>
      <c r="C2246" s="2" t="n">
        <v>43172.52847222222</v>
      </c>
      <c r="D2246" t="inlineStr">
        <is>
          <t>PORTAL AMAZONIA</t>
        </is>
      </c>
      <c r="E2246" t="inlineStr">
        <is>
          <t>VENEZUELANOS</t>
        </is>
      </c>
      <c r="F2246" t="inlineStr">
        <is>
          <t>CIDADES</t>
        </is>
      </c>
      <c r="G2246" t="inlineStr">
        <is>
          <t>REDAÇÃO</t>
        </is>
      </c>
      <c r="H2246" t="inlineStr">
        <is>
          <t>GOVERNO LIBERA R$ 600 MIL PARA AJUDAR VENEZUELANOS EM MUNICÍPIO DE RORAIMA</t>
        </is>
      </c>
      <c r="I2246" t="inlineStr">
        <is>
          <t>O MINISTÉRIO DO DESENVOLVIMENTO SOCIAL AUTORIZOU, NESTA SEGUNDA-FEIRA (12), O REPASSE EMERGENCIAL DE R$ 600 MIL À PREFEITURA DE PACARAIMA PARA GARANTIR AJUDA A ATÉ 250 DOS IMIGRANTES VENEZUELANOS QUE ESTÃO NA REGIÃO. O MUNICÍPIO DE RORAIMA FICA NA FR</t>
        </is>
      </c>
      <c r="J2246" t="inlineStr">
        <is>
          <t>PACARAIMA, RORAIMA, VENEZUELANOS</t>
        </is>
      </c>
      <c r="K2246" t="n">
        <v>3</v>
      </c>
      <c r="L2246" t="n">
        <v>1</v>
      </c>
      <c r="M2246" t="n">
        <v>0</v>
      </c>
      <c r="N2246" t="n">
        <v>0</v>
      </c>
      <c r="O2246" t="n">
        <v>8</v>
      </c>
      <c r="P2246">
        <f>HYPERLINK("https://portalamazonia.com/noticias/cidades/governo-libera-r-600-mil-para-ajudar-venezuelanos-em-municipio-de-roraima", "URL")</f>
        <v/>
      </c>
      <c r="Q2246">
        <f>HYPERLINK("https://raw.githubusercontent.com/marcosmapl/dataset_imigrantes/main/materias_filtered/portal_amazonia/venezuelanos/2018/02_mar/html/12710.12710_1443.html", "HTML")</f>
        <v/>
      </c>
      <c r="R2246">
        <f>HYPERLINK("https://raw.githubusercontent.com/marcosmapl/dataset_imigrantes/main/materias_filtered/portal_amazonia/venezuelanos/2018/02_mar/txt/12710.12710_1443.txt", "TXT")</f>
        <v/>
      </c>
    </row>
    <row r="2247">
      <c r="A2247" s="1" t="n">
        <v>2245</v>
      </c>
      <c r="B2247" t="n">
        <v>2018</v>
      </c>
      <c r="C2247" s="2" t="n">
        <v>43172.42378472222</v>
      </c>
      <c r="D2247" t="inlineStr">
        <is>
          <t>A CRITICA</t>
        </is>
      </c>
      <c r="E2247" t="inlineStr">
        <is>
          <t>VENEZUELANOS</t>
        </is>
      </c>
      <c r="F2247" t="inlineStr"/>
      <c r="G2247" t="inlineStr">
        <is>
          <t>MAIANA DINIZ -  AGÊNCIA BRASIL</t>
        </is>
      </c>
      <c r="H2247" t="inlineStr">
        <is>
          <t>GOVERNO LIBERA R$ 600 MIL PARA AJUDAR VENEZUELANOS EM MUNICÍPIO DE RORAIMA</t>
        </is>
      </c>
      <c r="I2247" t="inlineStr">
        <is>
          <t>ENTRE JANEIRO E FEVEREIRO DE 2018, MAIS DE 24 MIL VENEZUELANOS ENTRARAM NO PAÍS PELO POSTO DA POLÍCIA FEDERAL EM PACARAIMA</t>
        </is>
      </c>
      <c r="J2247" t="inlineStr"/>
      <c r="K2247" t="n">
        <v>0</v>
      </c>
      <c r="L2247" t="n">
        <v>1</v>
      </c>
      <c r="M2247" t="n">
        <v>0</v>
      </c>
      <c r="N2247" t="n">
        <v>0</v>
      </c>
      <c r="O2247" t="n">
        <v>0</v>
      </c>
      <c r="P2247">
        <f>HYPERLINK("https://www.acritica.com/governo-libera-r-600-mil-para-ajudar-venezuelanos-em-municipio-de-roraima-1.180860", "URL")</f>
        <v/>
      </c>
      <c r="Q2247">
        <f>HYPERLINK("https://raw.githubusercontent.com/marcosmapl/dataset_imigrantes/main/materias_filtered/a_critica/venezuelanos/2018/02_mar/html/1.180860_1098.html", "HTML")</f>
        <v/>
      </c>
      <c r="R2247">
        <f>HYPERLINK("https://raw.githubusercontent.com/marcosmapl/dataset_imigrantes/main/materias_filtered/a_critica/venezuelanos/2018/02_mar/txt/1.180860_1098.txt", "TXT")</f>
        <v/>
      </c>
    </row>
    <row r="2248">
      <c r="A2248" s="1" t="n">
        <v>2246</v>
      </c>
      <c r="B2248" t="n">
        <v>2018</v>
      </c>
      <c r="C2248" s="2" t="n">
        <v>43171.9511574537</v>
      </c>
      <c r="D2248" t="inlineStr">
        <is>
          <t>G1</t>
        </is>
      </c>
      <c r="E2248" t="inlineStr">
        <is>
          <t>HAITIANOS</t>
        </is>
      </c>
      <c r="F2248" t="inlineStr">
        <is>
          <t>ACRE</t>
        </is>
      </c>
      <c r="G2248" t="inlineStr">
        <is>
          <t>IRYÁ RODRIGUES, G1 AC — RIO BRANCO</t>
        </is>
      </c>
      <c r="H2248" t="inlineStr">
        <is>
          <t>APÓS SER ROTA PARA 50 MIL IMIGRANTES, AC QUER QUE GOVERNO FEDERAL PAGUE QUASE R$ 13 MILHÕES GASTOS COM AJUDA HUMANITÁRIA</t>
        </is>
      </c>
      <c r="I2248" t="inlineStr">
        <is>
          <t>ESTADO FOI ROTA DE IMIGRAÇÃO DE HAITIANOS, SENEGALESES E OUTROS IMIGRANTES ENTRE DEZEMBRO DE 2010 A MARÇO DE 2016. ACRE ACIONOU STF PARA SER RESSARCIDO.</t>
        </is>
      </c>
      <c r="J2248" t="inlineStr"/>
      <c r="K2248" t="n">
        <v>0</v>
      </c>
      <c r="L2248" t="n">
        <v>2</v>
      </c>
      <c r="M2248" t="n">
        <v>0</v>
      </c>
      <c r="N2248" t="n">
        <v>0</v>
      </c>
      <c r="O2248" t="n">
        <v>3</v>
      </c>
      <c r="P2248">
        <f>HYPERLINK("https://g1.globo.com/ac/acre/noticia/apos-ser-rota-para-50-mil-imigrantes-ac-quer-que-governo-federal-pague-quase-r-13-milhoes-gastos-com-ajuda-humanitaria.ghtml", "URL")</f>
        <v/>
      </c>
      <c r="Q2248">
        <f>HYPERLINK("https://raw.githubusercontent.com/marcosmapl/dataset_imigrantes/main/materias_filtered/g1/haitianos/2018/02_mar/html/g1_fd678fde-231a-11ed-b24f-6dbe51e79fca_3365.html", "HTML")</f>
        <v/>
      </c>
      <c r="R2248">
        <f>HYPERLINK("https://raw.githubusercontent.com/marcosmapl/dataset_imigrantes/main/materias_filtered/g1/haitianos/2018/02_mar/txt/g1_fd678fde-231a-11ed-b24f-6dbe51e79fca_3365.txt", "TXT")</f>
        <v/>
      </c>
    </row>
    <row r="2249">
      <c r="A2249" s="1" t="n">
        <v>2247</v>
      </c>
      <c r="B2249" t="n">
        <v>2018</v>
      </c>
      <c r="C2249" s="2" t="n">
        <v>43171.70899305555</v>
      </c>
      <c r="D2249" t="inlineStr">
        <is>
          <t>A CRITICA</t>
        </is>
      </c>
      <c r="E2249" t="inlineStr">
        <is>
          <t>HAITIANOS</t>
        </is>
      </c>
      <c r="F2249" t="inlineStr">
        <is>
          <t>POLICIA</t>
        </is>
      </c>
      <c r="G2249" t="inlineStr">
        <is>
          <t>CONCEIÇÃO MELQUIADES</t>
        </is>
      </c>
      <c r="H2249" t="inlineStr">
        <is>
          <t>HAITIANO TEM LOJA INVADIDA E PREJUÍZO EM MERCADORIA CHEGA A R$ 10 MIL EM MANAUS</t>
        </is>
      </c>
      <c r="I2249" t="inlineStr">
        <is>
          <t>O COMERCIANTE ESTRANGEIRO ENCONTROU O ESTABELECIMENTO COM A PORTA ARROMBADA E AS PRATELEIRAS VAZIAS. É A TERCEIRA VEZ QUE O LOCAL É ASSALTADO</t>
        </is>
      </c>
      <c r="J2249" t="inlineStr"/>
      <c r="K2249" t="n">
        <v>0</v>
      </c>
      <c r="L2249" t="n">
        <v>1</v>
      </c>
      <c r="M2249" t="n">
        <v>0</v>
      </c>
      <c r="N2249" t="n">
        <v>0</v>
      </c>
      <c r="O2249" t="n">
        <v>0</v>
      </c>
      <c r="P2249">
        <f>HYPERLINK("https://www.acritica.com/policia/haitiano-tem-loja-invadida-e-prejuizo-em-mercadoria-chega-a-r-10-mil-em-manaus-1.180697", "URL")</f>
        <v/>
      </c>
      <c r="Q2249">
        <f>HYPERLINK("https://raw.githubusercontent.com/marcosmapl/dataset_imigrantes/main/materias_filtered/a_critica/haitianos/2018/02_mar/html/1.180697_1025.html", "HTML")</f>
        <v/>
      </c>
      <c r="R2249">
        <f>HYPERLINK("https://raw.githubusercontent.com/marcosmapl/dataset_imigrantes/main/materias_filtered/a_critica/haitianos/2018/02_mar/txt/1.180697_1025.txt", "TXT")</f>
        <v/>
      </c>
    </row>
    <row r="2250">
      <c r="A2250" s="1" t="n">
        <v>2248</v>
      </c>
      <c r="B2250" t="n">
        <v>2018</v>
      </c>
      <c r="C2250" s="2" t="n">
        <v>43170.68125</v>
      </c>
      <c r="D2250" t="inlineStr">
        <is>
          <t>A CRITICA</t>
        </is>
      </c>
      <c r="E2250" t="inlineStr">
        <is>
          <t>VENEZUELANOS</t>
        </is>
      </c>
      <c r="F2250" t="inlineStr">
        <is>
          <t>ESPORTES</t>
        </is>
      </c>
      <c r="G2250" t="inlineStr">
        <is>
          <t>CAMILA LEONEL</t>
        </is>
      </c>
      <c r="H2250" t="inlineStr">
        <is>
          <t>ATACANTE DO FAST, VENEZUELANO JHORMAN CONTA COMO O FUTEBOL DEU NOVA CHANCE DE VIDA A ELE</t>
        </is>
      </c>
      <c r="I2250" t="inlineStr">
        <is>
          <t>NASCIDO NA CIDADE DE MARACAY, A 90 QUILÔMETROS DE CARACAS, O JOGADOR DE 25 ANOS CHEGA AO FAST CLUBE PARA REALIZAR O SONHO DE JOGAR PROFISSIONALMENTE. ELE ESPERA FAZER HISTÓRIA NO BRASIL</t>
        </is>
      </c>
      <c r="J2250" t="inlineStr"/>
      <c r="K2250" t="n">
        <v>0</v>
      </c>
      <c r="L2250" t="n">
        <v>1</v>
      </c>
      <c r="M2250" t="n">
        <v>0</v>
      </c>
      <c r="N2250" t="n">
        <v>0</v>
      </c>
      <c r="O2250" t="n">
        <v>0</v>
      </c>
      <c r="P2250">
        <f>HYPERLINK("https://www.acritica.com/esportes/atacante-do-fast-venezuelano-jhorman-conta-como-o-futebol-deu-nova-chance-de-vida-a-ele-1.180601", "URL")</f>
        <v/>
      </c>
      <c r="Q2250">
        <f>HYPERLINK("https://raw.githubusercontent.com/marcosmapl/dataset_imigrantes/main/materias_filtered/a_critica/venezuelanos/2018/02_mar/html/1.180601_1169.html", "HTML")</f>
        <v/>
      </c>
      <c r="R2250">
        <f>HYPERLINK("https://raw.githubusercontent.com/marcosmapl/dataset_imigrantes/main/materias_filtered/a_critica/venezuelanos/2018/02_mar/txt/1.180601_1169.txt", "TXT")</f>
        <v/>
      </c>
    </row>
    <row r="2251">
      <c r="A2251" s="1" t="n">
        <v>2249</v>
      </c>
      <c r="B2251" t="n">
        <v>2018</v>
      </c>
      <c r="C2251" s="2" t="n">
        <v>43170.66678240741</v>
      </c>
      <c r="D2251" t="inlineStr">
        <is>
          <t>A CRITICA</t>
        </is>
      </c>
      <c r="E2251" t="inlineStr">
        <is>
          <t>VENEZUELANOS</t>
        </is>
      </c>
      <c r="F2251" t="inlineStr"/>
      <c r="G2251" t="inlineStr">
        <is>
          <t>ALANA GANDRA (AGÊNCIA BRASIL)</t>
        </is>
      </c>
      <c r="H2251" t="inlineStr">
        <is>
          <t>REFUGIADOS GANHAM BOLSAS PARA CURSAR UNIVERSIDADE NO BRASIL</t>
        </is>
      </c>
      <c r="I2251" t="inlineStr">
        <is>
          <t>A INICIATIVA PERMITE QUE ELES POSSAM RECONSTRUIR SUAS VIDAS PROFISSIONAIS. OS PRIMEIROS ALUNOS QUE INGRESSARÃO NA UNIVERSIDADE ESTÃO NA FAIXA ETÁRIA DE 23 A 50 ANOS</t>
        </is>
      </c>
      <c r="J2251" t="inlineStr"/>
      <c r="K2251" t="n">
        <v>0</v>
      </c>
      <c r="L2251" t="n">
        <v>1</v>
      </c>
      <c r="M2251" t="n">
        <v>0</v>
      </c>
      <c r="N2251" t="n">
        <v>0</v>
      </c>
      <c r="O2251" t="n">
        <v>0</v>
      </c>
      <c r="P2251">
        <f>HYPERLINK("https://www.acritica.com/refugiados-ganham-bolsas-para-cursar-universidade-no-brasil-1.180787", "URL")</f>
        <v/>
      </c>
      <c r="Q2251">
        <f>HYPERLINK("https://raw.githubusercontent.com/marcosmapl/dataset_imigrantes/main/materias_filtered/a_critica/venezuelanos/2018/02_mar/html/1.180787_53.html", "HTML")</f>
        <v/>
      </c>
      <c r="R2251">
        <f>HYPERLINK("https://raw.githubusercontent.com/marcosmapl/dataset_imigrantes/main/materias_filtered/a_critica/venezuelanos/2018/02_mar/txt/1.180787_53.txt", "TXT")</f>
        <v/>
      </c>
    </row>
    <row r="2252">
      <c r="A2252" s="1" t="n">
        <v>2250</v>
      </c>
      <c r="B2252" t="n">
        <v>2018</v>
      </c>
      <c r="C2252" s="2" t="n">
        <v>43168.92222222222</v>
      </c>
      <c r="D2252" t="inlineStr">
        <is>
          <t>A CRITICA</t>
        </is>
      </c>
      <c r="E2252" t="inlineStr">
        <is>
          <t>VENEZUELANOS</t>
        </is>
      </c>
      <c r="F2252" t="inlineStr">
        <is>
          <t>MANAUS</t>
        </is>
      </c>
      <c r="G2252" t="inlineStr">
        <is>
          <t>ACRITICA.COM*</t>
        </is>
      </c>
      <c r="H2252" t="inlineStr">
        <is>
          <t>FVS DESCARTA DOIS CASOS SUSPEITOS DE SARAMPO E OUTROS QUATRO SEGUEM SOB INVESTIGAÇÃO</t>
        </is>
      </c>
      <c r="I2252" t="inlineStr">
        <is>
          <t>TODOS OS CASOS SUSPEITOS DE MANAUS DERAM ENTRADA NO HPS DA ZONA NORTE  SÃO ORIUNDOS DE BAIRROS NAS REDONDEZAS DO HOSPITAL; VEJA OS SINTOMAS E COMO AGIR</t>
        </is>
      </c>
      <c r="J2252" t="inlineStr"/>
      <c r="K2252" t="n">
        <v>0</v>
      </c>
      <c r="L2252" t="n">
        <v>1</v>
      </c>
      <c r="M2252" t="n">
        <v>0</v>
      </c>
      <c r="N2252" t="n">
        <v>0</v>
      </c>
      <c r="O2252" t="n">
        <v>0</v>
      </c>
      <c r="P2252">
        <f>HYPERLINK("https://www.acritica.com/manaus/fvs-descarta-dois-casos-suspeitos-de-sarampo-e-outros-quatro-seguem-sob-investigac-o-1.180645", "URL")</f>
        <v/>
      </c>
      <c r="Q2252">
        <f>HYPERLINK("https://raw.githubusercontent.com/marcosmapl/dataset_imigrantes/main/materias_filtered/a_critica/venezuelanos/2018/02_mar/html/1.180645_555.html", "HTML")</f>
        <v/>
      </c>
      <c r="R2252">
        <f>HYPERLINK("https://raw.githubusercontent.com/marcosmapl/dataset_imigrantes/main/materias_filtered/a_critica/venezuelanos/2018/02_mar/txt/1.180645_555.txt", "TXT")</f>
        <v/>
      </c>
    </row>
    <row r="2253">
      <c r="A2253" s="1" t="n">
        <v>2251</v>
      </c>
      <c r="B2253" t="n">
        <v>2018</v>
      </c>
      <c r="C2253" s="2" t="n">
        <v>43168.55833333333</v>
      </c>
      <c r="D2253" t="inlineStr">
        <is>
          <t>PORTAL AMAZONIA</t>
        </is>
      </c>
      <c r="E2253" t="inlineStr">
        <is>
          <t>HAITIANOS</t>
        </is>
      </c>
      <c r="F2253" t="inlineStr">
        <is>
          <t>CIDADES</t>
        </is>
      </c>
      <c r="G2253" t="inlineStr">
        <is>
          <t>REDAÇÃO</t>
        </is>
      </c>
      <c r="H2253" t="inlineStr">
        <is>
          <t>ACRE QUER RESSARCIMENTO DO GOVERNO FEDERAL POR GASTOS COM HAITIANOS</t>
        </is>
      </c>
      <c r="I2253" t="inlineStr">
        <is>
          <t>O ESTADO DO ACRE ACIONOU O SUPREMO TRIBUNAL FEDERAL (STF) PARA QUE O GOVERNO FEDERAL PAGUE MAIS DE R$ 12 MILHÕES POR GASTOS REALIZADOS ENTRE 2010 E 2016 COM IMIGRANTES HAITIANOS. O ESTADO FOI ROTA DESSES IMIGRANTES LOGO APÓS O TERREMOTO QUE ATINGIU O</t>
        </is>
      </c>
      <c r="J2253" t="inlineStr">
        <is>
          <t>ACRE, HAITIANOS, STF</t>
        </is>
      </c>
      <c r="K2253" t="n">
        <v>3</v>
      </c>
      <c r="L2253" t="n">
        <v>2</v>
      </c>
      <c r="M2253" t="n">
        <v>0</v>
      </c>
      <c r="N2253" t="n">
        <v>0</v>
      </c>
      <c r="O2253" t="n">
        <v>8</v>
      </c>
      <c r="P2253">
        <f>HYPERLINK("https://portalamazonia.com/noticias/cidades/acre-quer-ressarcimento-do-governo-federal-por-gastos-com-haitianos", "URL")</f>
        <v/>
      </c>
      <c r="Q2253">
        <f>HYPERLINK("https://raw.githubusercontent.com/marcosmapl/dataset_imigrantes/main/materias_filtered/portal_amazonia/haitianos/2018/02_mar/html/12639.12639_1430.html", "HTML")</f>
        <v/>
      </c>
      <c r="R2253">
        <f>HYPERLINK("https://raw.githubusercontent.com/marcosmapl/dataset_imigrantes/main/materias_filtered/portal_amazonia/haitianos/2018/02_mar/txt/12639.12639_1430.txt", "TXT")</f>
        <v/>
      </c>
    </row>
    <row r="2254">
      <c r="A2254" s="1" t="n">
        <v>2252</v>
      </c>
      <c r="B2254" t="n">
        <v>2018</v>
      </c>
      <c r="C2254" s="2" t="n">
        <v>43165.55069444444</v>
      </c>
      <c r="D2254" t="inlineStr">
        <is>
          <t>PORTAL AMAZONIA</t>
        </is>
      </c>
      <c r="E2254" t="inlineStr">
        <is>
          <t>VENEZUELANOS</t>
        </is>
      </c>
      <c r="F2254" t="inlineStr">
        <is>
          <t>CIDADES</t>
        </is>
      </c>
      <c r="G2254" t="inlineStr">
        <is>
          <t>REDAÇÃO</t>
        </is>
      </c>
      <c r="H2254" t="inlineStr">
        <is>
          <t>CRIADO POSTO DE VACINAÇÃO EM PACARAIMA PARA ATENDER VENEZUELANOS</t>
        </is>
      </c>
      <c r="I2254" t="inlineStr">
        <is>
          <t>FOI MONTADO EM PACARAIMA, MUNICÍPIO NA FRONTEIRA COM A VENEZUELA, UM POSTO DE VACINAÇÃO PARA ATENDER OS IMIGRANTES DO PAÍS VIZINHO. A EXPECTATIVA É QUE DENTRO DE 30 DIAS A ESTRUTURA EVOLUA PARA UMA BARREIRA SANITÁRIA, PARA UM MONITORAMENTO MAIS APROF</t>
        </is>
      </c>
      <c r="J2254" t="inlineStr">
        <is>
          <t>PACARAIMA, RORAIMA, VACINACAO VENEZUELANOS SARAMPO</t>
        </is>
      </c>
      <c r="K2254" t="n">
        <v>3</v>
      </c>
      <c r="L2254" t="n">
        <v>2</v>
      </c>
      <c r="M2254" t="n">
        <v>0</v>
      </c>
      <c r="N2254" t="n">
        <v>0</v>
      </c>
      <c r="O2254" t="n">
        <v>8</v>
      </c>
      <c r="P2254">
        <f>HYPERLINK("https://portalamazonia.com/noticias/cidades/criado-posto-de-vacinacao-em-pacaraima-para-atender-venezuelanos", "URL")</f>
        <v/>
      </c>
      <c r="Q2254">
        <f>HYPERLINK("https://raw.githubusercontent.com/marcosmapl/dataset_imigrantes/main/materias_filtered/portal_amazonia/venezuelanos/2018/02_mar/html/12535.12535_1475.html", "HTML")</f>
        <v/>
      </c>
      <c r="R2254">
        <f>HYPERLINK("https://raw.githubusercontent.com/marcosmapl/dataset_imigrantes/main/materias_filtered/portal_amazonia/venezuelanos/2018/02_mar/txt/12535.12535_1475.txt", "TXT")</f>
        <v/>
      </c>
    </row>
    <row r="2255">
      <c r="A2255" s="1" t="n">
        <v>2253</v>
      </c>
      <c r="B2255" t="n">
        <v>2018</v>
      </c>
      <c r="C2255" s="2" t="n">
        <v>43164.84236111111</v>
      </c>
      <c r="D2255" t="inlineStr">
        <is>
          <t>A CRITICA</t>
        </is>
      </c>
      <c r="E2255" t="inlineStr">
        <is>
          <t>VENEZUELANOS</t>
        </is>
      </c>
      <c r="F2255" t="inlineStr">
        <is>
          <t>OPINIAO</t>
        </is>
      </c>
      <c r="G2255" t="inlineStr">
        <is>
          <t>BEM VIVER BLOG</t>
        </is>
      </c>
      <c r="H2255" t="inlineStr">
        <is>
          <t>MOSTRA DE TEATRO, WORKSHOP PARA MULHERES E MUITO MAIS NA COLUNA BEM VIVER BLOG</t>
        </is>
      </c>
      <c r="I2255" t="inlineStr"/>
      <c r="J2255" t="inlineStr">
        <is>
          <t>BEM-VIVER-BLOG</t>
        </is>
      </c>
      <c r="K2255" t="n">
        <v>1</v>
      </c>
      <c r="L2255" t="n">
        <v>1</v>
      </c>
      <c r="M2255" t="n">
        <v>0</v>
      </c>
      <c r="N2255" t="n">
        <v>0</v>
      </c>
      <c r="O2255" t="n">
        <v>1</v>
      </c>
      <c r="P2255">
        <f>HYPERLINK("https://www.acritica.com/opiniao/mostra-de-teatro-workshop-para-mulheres-e-muito-mais-na-coluna-bem-viver-blog-1.217163", "URL")</f>
        <v/>
      </c>
      <c r="Q2255">
        <f>HYPERLINK("https://raw.githubusercontent.com/marcosmapl/dataset_imigrantes/main/materias_filtered/a_critica/venezuelanos/2018/02_mar/html/1.217163_911.html", "HTML")</f>
        <v/>
      </c>
      <c r="R2255">
        <f>HYPERLINK("https://raw.githubusercontent.com/marcosmapl/dataset_imigrantes/main/materias_filtered/a_critica/venezuelanos/2018/02_mar/txt/1.217163_911.txt", "TXT")</f>
        <v/>
      </c>
    </row>
    <row r="2256">
      <c r="A2256" s="1" t="n">
        <v>2254</v>
      </c>
      <c r="B2256" t="n">
        <v>2018</v>
      </c>
      <c r="C2256" s="2" t="n">
        <v>43164.70845467593</v>
      </c>
      <c r="D2256" t="inlineStr">
        <is>
          <t>G1</t>
        </is>
      </c>
      <c r="E2256" t="inlineStr">
        <is>
          <t>VENEZUELANOS</t>
        </is>
      </c>
      <c r="F2256" t="inlineStr">
        <is>
          <t>RORAIMA</t>
        </is>
      </c>
      <c r="G2256" t="inlineStr">
        <is>
          <t>G1 RR</t>
        </is>
      </c>
      <c r="H2256" t="inlineStr">
        <is>
          <t>GAROTA DE PROGRAMA VENEZUELANA É AGREDIDA POR CLIENTE APÓS ANUNCIAR FIM DO TEMPO DE ATENDIMENTO EM RR</t>
        </is>
      </c>
      <c r="I2256" t="inlineStr">
        <is>
          <t>SUSPEITO DISSE À POLÍCIA QUE APÓS 15 MINUTOS A JOVEM TERIA ENCERRADO O PROGRAMA. AO SER ATACADA, VÍTIMA PEDIU SOCORRO A FUNCIONÁRIOS DE POUSADA.</t>
        </is>
      </c>
      <c r="J2256" t="inlineStr"/>
      <c r="K2256" t="n">
        <v>0</v>
      </c>
      <c r="L2256" t="n">
        <v>1</v>
      </c>
      <c r="M2256" t="n">
        <v>0</v>
      </c>
      <c r="N2256" t="n">
        <v>0</v>
      </c>
      <c r="O2256" t="n">
        <v>0</v>
      </c>
      <c r="P2256">
        <f>HYPERLINK("https://g1.globo.com/rr/roraima/noticia/garota-de-programa-venezuelana-e-agredida-por-cliente-apos-anunciar-fim-do-tempo-de-atendimento-em-rr.ghtml", "URL")</f>
        <v/>
      </c>
      <c r="Q2256">
        <f>HYPERLINK("https://raw.githubusercontent.com/marcosmapl/dataset_imigrantes/main/materias_filtered/g1/venezuelanos/2018/02_mar/html/g1_9556e43a-2315-11ed-b24f-6dbe51e79fca_3094.html", "HTML")</f>
        <v/>
      </c>
      <c r="R2256">
        <f>HYPERLINK("https://raw.githubusercontent.com/marcosmapl/dataset_imigrantes/main/materias_filtered/g1/venezuelanos/2018/02_mar/txt/g1_9556e43a-2315-11ed-b24f-6dbe51e79fca_3094.txt", "TXT")</f>
        <v/>
      </c>
    </row>
    <row r="2257">
      <c r="A2257" s="1" t="n">
        <v>2255</v>
      </c>
      <c r="B2257" t="n">
        <v>2018</v>
      </c>
      <c r="C2257" s="2" t="n">
        <v>43164.42777777778</v>
      </c>
      <c r="D2257" t="inlineStr">
        <is>
          <t>A CRITICA</t>
        </is>
      </c>
      <c r="E2257" t="inlineStr">
        <is>
          <t>HAITIANOS</t>
        </is>
      </c>
      <c r="F2257" t="inlineStr">
        <is>
          <t>MANAUS</t>
        </is>
      </c>
      <c r="G2257" t="inlineStr">
        <is>
          <t>DANILO ALVES</t>
        </is>
      </c>
      <c r="H2257" t="inlineStr">
        <is>
          <t>ALUNOS ESTRANGEIROS QUE INGRESSAREM NA REDE MUNICIPAL PASSARÃO POR PROVAS EM MANAUS</t>
        </is>
      </c>
      <c r="I2257" t="inlineStr">
        <is>
          <t>A EXIGÊNCIA COMEÇA A VALER A PARTIR DESTE ANO EM MANAUS. A ESCOLA DEVERÁ ENCAMINHAR O ESTUDANTE À EQUIPE PEDAGÓGICA PARA REALIZAÇÃO DO EXAME DE CLASSIFICAÇÃO</t>
        </is>
      </c>
      <c r="J2257" t="inlineStr"/>
      <c r="K2257" t="n">
        <v>0</v>
      </c>
      <c r="L2257" t="n">
        <v>1</v>
      </c>
      <c r="M2257" t="n">
        <v>0</v>
      </c>
      <c r="N2257" t="n">
        <v>0</v>
      </c>
      <c r="O2257" t="n">
        <v>0</v>
      </c>
      <c r="P2257">
        <f>HYPERLINK("https://www.acritica.com/manaus/alunos-estrangeiros-que-ingressarem-na-rede-municipal-passar-o-por-provas-em-manaus-1.97037", "URL")</f>
        <v/>
      </c>
      <c r="Q2257">
        <f>HYPERLINK("https://raw.githubusercontent.com/marcosmapl/dataset_imigrantes/main/materias_filtered/a_critica/haitianos/2018/02_mar/html/1.97037_321.html", "HTML")</f>
        <v/>
      </c>
      <c r="R2257">
        <f>HYPERLINK("https://raw.githubusercontent.com/marcosmapl/dataset_imigrantes/main/materias_filtered/a_critica/haitianos/2018/02_mar/txt/1.97037_321.txt", "TXT")</f>
        <v/>
      </c>
    </row>
    <row r="2258">
      <c r="A2258" s="1" t="n">
        <v>2256</v>
      </c>
      <c r="B2258" t="n">
        <v>2018</v>
      </c>
      <c r="C2258" s="2" t="n">
        <v>43162.93224516204</v>
      </c>
      <c r="D2258" t="inlineStr">
        <is>
          <t>G1</t>
        </is>
      </c>
      <c r="E2258" t="inlineStr">
        <is>
          <t>HAITIANOS</t>
        </is>
      </c>
      <c r="F2258" t="inlineStr">
        <is>
          <t>AMAZONAS</t>
        </is>
      </c>
      <c r="G2258" t="inlineStr">
        <is>
          <t>G1 AM</t>
        </is>
      </c>
      <c r="H2258" t="inlineStr">
        <is>
          <t>FEIRA DE SAÚDE OFERECE SERVIÇOS GRATUITOS PARA HAITIANOS NA ZONA LESTE DE MANAUS</t>
        </is>
      </c>
      <c r="I2258" t="inlineStr">
        <is>
          <t>AÇÃO SOCIAL É PARTE DO PROJETO “10 DIAS DE ORAÇÃO E AÇÕES DE COMPAIXÃO", DA IGREJA ADVENTISTA.</t>
        </is>
      </c>
      <c r="J2258" t="inlineStr"/>
      <c r="K2258" t="n">
        <v>0</v>
      </c>
      <c r="L2258" t="n">
        <v>0</v>
      </c>
      <c r="M2258" t="n">
        <v>0</v>
      </c>
      <c r="N2258" t="n">
        <v>0</v>
      </c>
      <c r="O2258" t="n">
        <v>0</v>
      </c>
      <c r="P2258">
        <f>HYPERLINK("https://g1.globo.com/am/amazonas/noticia/feira-de-saude-oferece-servicos-gratuitos-para-haitianos-na-zona-leste-de-manaus.ghtml", "URL")</f>
        <v/>
      </c>
      <c r="Q2258">
        <f>HYPERLINK("https://raw.githubusercontent.com/marcosmapl/dataset_imigrantes/main/materias_filtered/g1/haitianos/2018/02_mar/html/g1_9872ce9a-22f2-11ed-b24f-6dbe51e79fca_1806.html", "HTML")</f>
        <v/>
      </c>
      <c r="R2258">
        <f>HYPERLINK("https://raw.githubusercontent.com/marcosmapl/dataset_imigrantes/main/materias_filtered/g1/haitianos/2018/02_mar/txt/g1_9872ce9a-22f2-11ed-b24f-6dbe51e79fca_1806.txt", "TXT")</f>
        <v/>
      </c>
    </row>
    <row r="2259">
      <c r="A2259" s="1" t="n">
        <v>2257</v>
      </c>
      <c r="B2259" t="n">
        <v>2018</v>
      </c>
      <c r="C2259" s="2" t="n">
        <v>43162.51939599537</v>
      </c>
      <c r="D2259" t="inlineStr">
        <is>
          <t>G1</t>
        </is>
      </c>
      <c r="E2259" t="inlineStr">
        <is>
          <t>HAITIANOS</t>
        </is>
      </c>
      <c r="F2259" t="inlineStr">
        <is>
          <t>SANTA CATARINA</t>
        </is>
      </c>
      <c r="G2259" t="inlineStr">
        <is>
          <t>G1 SC</t>
        </is>
      </c>
      <c r="H2259" t="inlineStr">
        <is>
          <t>ACIDENTE COM ÔNIBUS DE HAITIANOS DEIXA CINCO FERIDOS EM NAVEGANTES</t>
        </is>
      </c>
      <c r="I2259" t="inlineStr">
        <is>
          <t>DOIS PASSAGEIROS E O MOTORISTA QUE FICARAM FERIDOS FORAM LEVADOS AO HOSPITAL DA CIDADE.</t>
        </is>
      </c>
      <c r="J2259" t="inlineStr"/>
      <c r="K2259" t="n">
        <v>0</v>
      </c>
      <c r="L2259" t="n">
        <v>3</v>
      </c>
      <c r="M2259" t="n">
        <v>1</v>
      </c>
      <c r="N2259" t="n">
        <v>0</v>
      </c>
      <c r="O2259" t="n">
        <v>0</v>
      </c>
      <c r="P2259">
        <f>HYPERLINK("https://g1.globo.com/sc/santa-catarina/noticia/acidente-com-onibus-de-haitianos-deixa-tres-feridos-em-navegantes.ghtml", "URL")</f>
        <v/>
      </c>
      <c r="Q2259">
        <f>HYPERLINK("https://raw.githubusercontent.com/marcosmapl/dataset_imigrantes/main/materias_filtered/g1/haitianos/2018/02_mar/html/g1_118c7ebe-22f5-11ed-b24f-6dbe51e79fca_1928.html", "HTML")</f>
        <v/>
      </c>
      <c r="R2259">
        <f>HYPERLINK("https://raw.githubusercontent.com/marcosmapl/dataset_imigrantes/main/materias_filtered/g1/haitianos/2018/02_mar/txt/g1_118c7ebe-22f5-11ed-b24f-6dbe51e79fca_1928.txt", "TXT")</f>
        <v/>
      </c>
    </row>
    <row r="2260">
      <c r="A2260" s="1" t="n">
        <v>2258</v>
      </c>
      <c r="B2260" t="n">
        <v>2018</v>
      </c>
      <c r="C2260" s="2" t="n">
        <v>43161.78135582176</v>
      </c>
      <c r="D2260" t="inlineStr">
        <is>
          <t>G1</t>
        </is>
      </c>
      <c r="E2260" t="inlineStr">
        <is>
          <t>VENEZUELANOS</t>
        </is>
      </c>
      <c r="F2260" t="inlineStr">
        <is>
          <t>RORAIMA</t>
        </is>
      </c>
      <c r="G2260" t="inlineStr">
        <is>
          <t>G1 RR</t>
        </is>
      </c>
      <c r="H2260" t="inlineStr">
        <is>
          <t>CRIANÇA VENEZUELANA COM SUSPEITA DE SARAMPO E PNEUMONIA MORRE EM HOSPITAL DE BOA VISTA</t>
        </is>
      </c>
      <c r="I2260" t="inlineStr">
        <is>
          <t>CRIANÇA DE 4 ANOS ESTAVA INTERNADA HÁ DIAS. CASO ESTAVA ENTRE OS 12 EM INVESTIGAÇÃO SOB SUSPEITA DE SARAMPO.</t>
        </is>
      </c>
      <c r="J2260" t="inlineStr"/>
      <c r="K2260" t="n">
        <v>0</v>
      </c>
      <c r="L2260" t="n">
        <v>1</v>
      </c>
      <c r="M2260" t="n">
        <v>0</v>
      </c>
      <c r="N2260" t="n">
        <v>0</v>
      </c>
      <c r="O2260" t="n">
        <v>4</v>
      </c>
      <c r="P2260">
        <f>HYPERLINK("https://g1.globo.com/rr/roraima/noticia/crianca-venezuelana-com-suspeita-de-sarampo-e-pneumonia-morre-em-hospital-de-boa-vista.ghtml", "URL")</f>
        <v/>
      </c>
      <c r="Q2260">
        <f>HYPERLINK("https://raw.githubusercontent.com/marcosmapl/dataset_imigrantes/main/materias_filtered/g1/venezuelanos/2018/02_mar/html/g1_cd0d2586-232b-11ed-b24f-6dbe51e79fca_4271.html", "HTML")</f>
        <v/>
      </c>
      <c r="R2260">
        <f>HYPERLINK("https://raw.githubusercontent.com/marcosmapl/dataset_imigrantes/main/materias_filtered/g1/venezuelanos/2018/02_mar/txt/g1_cd0d2586-232b-11ed-b24f-6dbe51e79fca_4271.txt", "TXT")</f>
        <v/>
      </c>
    </row>
    <row r="2261">
      <c r="A2261" s="1" t="n">
        <v>2259</v>
      </c>
      <c r="B2261" t="n">
        <v>2018</v>
      </c>
      <c r="C2261" s="2" t="n">
        <v>43161.51458333333</v>
      </c>
      <c r="D2261" t="inlineStr">
        <is>
          <t>PORTAL AMAZONIA</t>
        </is>
      </c>
      <c r="E2261" t="inlineStr">
        <is>
          <t>VENEZUELANOS</t>
        </is>
      </c>
      <c r="F2261" t="inlineStr">
        <is>
          <t>CIDADES</t>
        </is>
      </c>
      <c r="G2261" t="inlineStr">
        <is>
          <t>REDAÇÃO</t>
        </is>
      </c>
      <c r="H2261" t="inlineStr">
        <is>
          <t>MANAUS NÃO TEM CONDIÇÕES DE RECEBER VENEZUELANOS, AFIRMA PREFEITURA</t>
        </is>
      </c>
      <c r="I2261" t="inlineStr">
        <is>
          <t>MANAUS (AM) ABRIGA, ATUALMENTE, 149 INDÍGENAS VENEZUELANOS E UM TOTAL DE 140 VENEZUELANOS VINDOS DE RORAIMA DEVEM SER TRANSFERIDOS PARA A CAPITAL NA PRIMEIRA SEMANA DE ABRIL. A INFORMAÇÃO FOI CONFIRMADA NESTA QUARTA-FEIRA (28</t>
        </is>
      </c>
      <c r="J2261" t="inlineStr">
        <is>
          <t>GOVERNO, IMIGRAÇÃO, MANAUS, PREFEITURA, VENEZUELANOS</t>
        </is>
      </c>
      <c r="K2261" t="n">
        <v>5</v>
      </c>
      <c r="L2261" t="n">
        <v>1</v>
      </c>
      <c r="M2261" t="n">
        <v>0</v>
      </c>
      <c r="N2261" t="n">
        <v>0</v>
      </c>
      <c r="O2261" t="n">
        <v>10</v>
      </c>
      <c r="P2261">
        <f>HYPERLINK("https://portalamazonia.com/noticias/cidades/manaus-nao-tem-condicoes-de-receber-venezuelanos-afirma-prefeitura", "URL")</f>
        <v/>
      </c>
      <c r="Q2261">
        <f>HYPERLINK("https://raw.githubusercontent.com/marcosmapl/dataset_imigrantes/main/materias_filtered/portal_amazonia/venezuelanos/2018/02_mar/html/12454.25644_1542.html", "HTML")</f>
        <v/>
      </c>
      <c r="R2261">
        <f>HYPERLINK("https://raw.githubusercontent.com/marcosmapl/dataset_imigrantes/main/materias_filtered/portal_amazonia/venezuelanos/2018/02_mar/txt/12454.25644_1542.txt", "TXT")</f>
        <v/>
      </c>
    </row>
    <row r="2262">
      <c r="A2262" s="1" t="n">
        <v>2260</v>
      </c>
      <c r="B2262" t="n">
        <v>2018</v>
      </c>
      <c r="C2262" s="2" t="n">
        <v>43159.78272728009</v>
      </c>
      <c r="D2262" t="inlineStr">
        <is>
          <t>G1</t>
        </is>
      </c>
      <c r="E2262" t="inlineStr">
        <is>
          <t>VENEZUELANOS</t>
        </is>
      </c>
      <c r="F2262" t="inlineStr">
        <is>
          <t>MUNDO</t>
        </is>
      </c>
      <c r="G2262" t="inlineStr">
        <is>
          <t>FRANCE PRESSE</t>
        </is>
      </c>
      <c r="H2262" t="inlineStr">
        <is>
          <t>PRAZO PARA INSCRIÇÃO DE CANDIDATOS NAS ELEIÇÕES VENEZUELANAS É PRORROGADO EM UM DIA</t>
        </is>
      </c>
      <c r="I2262" t="inlineStr">
        <is>
          <t>DE ACORDO COM O CONSELHO NACIONAL ELEITORAL, PRAZO MAIOR DEVE GARANTIR " DE FORMA PLENA O EXERCÍCIO DOS DIREITOS POLÍTICOS".</t>
        </is>
      </c>
      <c r="J2262" t="inlineStr"/>
      <c r="K2262" t="n">
        <v>0</v>
      </c>
      <c r="L2262" t="n">
        <v>0</v>
      </c>
      <c r="M2262" t="n">
        <v>0</v>
      </c>
      <c r="N2262" t="n">
        <v>0</v>
      </c>
      <c r="O2262" t="n">
        <v>2</v>
      </c>
      <c r="P2262">
        <f>HYPERLINK("https://g1.globo.com/mundo/noticia/prazo-para-inscricao-de-candidatos-nas-eleicoes-venezuelanas-e-prorrogado-em-um-dia.ghtml", "URL")</f>
        <v/>
      </c>
      <c r="Q2262">
        <f>HYPERLINK("https://raw.githubusercontent.com/marcosmapl/dataset_imigrantes/main/materias_filtered/g1/venezuelanos/2018/01_fev/html/g1_03c5e7de-230e-11ed-b24f-6dbe51e79fca_2716.html", "HTML")</f>
        <v/>
      </c>
      <c r="R2262">
        <f>HYPERLINK("https://raw.githubusercontent.com/marcosmapl/dataset_imigrantes/main/materias_filtered/g1/venezuelanos/2018/01_fev/txt/g1_03c5e7de-230e-11ed-b24f-6dbe51e79fca_2716.txt", "TXT")</f>
        <v/>
      </c>
    </row>
    <row r="2263">
      <c r="A2263" s="1" t="n">
        <v>2261</v>
      </c>
      <c r="B2263" t="n">
        <v>2018</v>
      </c>
      <c r="C2263" s="2" t="n">
        <v>43158.74634796297</v>
      </c>
      <c r="D2263" t="inlineStr">
        <is>
          <t>G1</t>
        </is>
      </c>
      <c r="E2263" t="inlineStr">
        <is>
          <t>HAITIANOS</t>
        </is>
      </c>
      <c r="F2263" t="inlineStr">
        <is>
          <t>MATO GROSSO DO SUL</t>
        </is>
      </c>
      <c r="G2263" t="inlineStr">
        <is>
          <t>CARLA SALENTIM, TV MORENA</t>
        </is>
      </c>
      <c r="H2263" t="inlineStr">
        <is>
          <t>HAITIANA PRESA COM DOCUMENTO DE IMIGRAÇÃO FALSO MORRE EM HOSPITAL DE MS</t>
        </is>
      </c>
      <c r="I2263" t="inlineStr">
        <is>
          <t>MULHER HAVIA SIDO PRESA COM OUTRAS DUAS HAITIANAS EM CORUMBÁ, QUE FICA NA FRONTEIRA DO BRASIL COM A BOLÍVIA, E MORREU NO PRONTO-SOCORRO ANTES DE PASSAR PELA AUDIÊNCIA DE CUSTÓDIA.</t>
        </is>
      </c>
      <c r="J2263" t="inlineStr"/>
      <c r="K2263" t="n">
        <v>0</v>
      </c>
      <c r="L2263" t="n">
        <v>2</v>
      </c>
      <c r="M2263" t="n">
        <v>1</v>
      </c>
      <c r="N2263" t="n">
        <v>0</v>
      </c>
      <c r="O2263" t="n">
        <v>2</v>
      </c>
      <c r="P2263">
        <f>HYPERLINK("https://g1.globo.com/ms/mato-grosso-do-sul/noticia/haitiana-presa-com-documento-de-imigracao-falso-morre-em-hospital-de-ms.ghtml", "URL")</f>
        <v/>
      </c>
      <c r="Q2263">
        <f>HYPERLINK("https://raw.githubusercontent.com/marcosmapl/dataset_imigrantes/main/materias_filtered/g1/haitianos/2018/01_fev/html/g1_25cf5022-2322-11ed-b24f-6dbe51e79fca_3737.html", "HTML")</f>
        <v/>
      </c>
      <c r="R2263">
        <f>HYPERLINK("https://raw.githubusercontent.com/marcosmapl/dataset_imigrantes/main/materias_filtered/g1/haitianos/2018/01_fev/txt/g1_25cf5022-2322-11ed-b24f-6dbe51e79fca_3737.txt", "TXT")</f>
        <v/>
      </c>
    </row>
    <row r="2264">
      <c r="A2264" s="1" t="n">
        <v>2262</v>
      </c>
      <c r="B2264" t="n">
        <v>2018</v>
      </c>
      <c r="C2264" s="2" t="n">
        <v>43158.71114583333</v>
      </c>
      <c r="D2264" t="inlineStr">
        <is>
          <t>A CRITICA</t>
        </is>
      </c>
      <c r="E2264" t="inlineStr">
        <is>
          <t>VENEZUELANOS</t>
        </is>
      </c>
      <c r="F2264" t="inlineStr"/>
      <c r="G2264" t="inlineStr">
        <is>
          <t>AGÊNCIA BRASIL</t>
        </is>
      </c>
      <c r="H2264" t="inlineStr">
        <is>
          <t>SOBE PARA 13 O NÚMERO DE CASOS SUSPEITOS DE SARAMPO EM RORAIMA, TODOS EM CRIANÇAS</t>
        </is>
      </c>
      <c r="I2264" t="inlineStr">
        <is>
          <t>O CASO CONFIRMADO NA SEMANA PASSADA FOI O DE UMA MENINA VENEZUELANA DE 1 ANO DE IDADE, SEM HISTÓRICO VACINAL</t>
        </is>
      </c>
      <c r="J2264" t="inlineStr"/>
      <c r="K2264" t="n">
        <v>0</v>
      </c>
      <c r="L2264" t="n">
        <v>1</v>
      </c>
      <c r="M2264" t="n">
        <v>0</v>
      </c>
      <c r="N2264" t="n">
        <v>0</v>
      </c>
      <c r="O2264" t="n">
        <v>0</v>
      </c>
      <c r="P2264">
        <f>HYPERLINK("https://www.acritica.com/sobe-para-13-o-numero-de-casos-suspeitos-de-sarampo-em-roraima-todos-em-criancas-1.97508", "URL")</f>
        <v/>
      </c>
      <c r="Q2264">
        <f>HYPERLINK("https://raw.githubusercontent.com/marcosmapl/dataset_imigrantes/main/materias_filtered/a_critica/venezuelanos/2018/01_fev/html/1.97508_959.html", "HTML")</f>
        <v/>
      </c>
      <c r="R2264">
        <f>HYPERLINK("https://raw.githubusercontent.com/marcosmapl/dataset_imigrantes/main/materias_filtered/a_critica/venezuelanos/2018/01_fev/txt/1.97508_959.txt", "TXT")</f>
        <v/>
      </c>
    </row>
    <row r="2265">
      <c r="A2265" s="1" t="n">
        <v>2263</v>
      </c>
      <c r="B2265" t="n">
        <v>2018</v>
      </c>
      <c r="C2265" s="2" t="n">
        <v>43158.52986111111</v>
      </c>
      <c r="D2265" t="inlineStr">
        <is>
          <t>PORTAL AMAZONIA</t>
        </is>
      </c>
      <c r="E2265" t="inlineStr">
        <is>
          <t>VENEZUELANOS</t>
        </is>
      </c>
      <c r="F2265" t="inlineStr">
        <is>
          <t>CIDADES</t>
        </is>
      </c>
      <c r="G2265" t="inlineStr">
        <is>
          <t>REDAÇÃO</t>
        </is>
      </c>
      <c r="H2265" t="inlineStr">
        <is>
          <t>SOBE PARA 13 O NÚMERO DE CASOS SUSPEITOS DE SARAMPO EM RORAIMA</t>
        </is>
      </c>
      <c r="I2265" t="inlineStr">
        <is>
          <t>A SECRETARIA ESTADUAL DE SAÚDE DE RORAIMA ATUALIZOU O NÚMERO DE CASOS SUSPEITOS DE SARAMPO NO ESTADO, PASSANDO DE 12 PARA 13. DESSES, UM FOI CONFIRMADO PELA FUNDAÇÃO OSWALDO CRUZ (FIOCRUZ), NO RIO DE JANEIRO.O CASO CONFIRMADO NA SEMANA PASSADA FOI O</t>
        </is>
      </c>
      <c r="J2265" t="inlineStr">
        <is>
          <t>BOA VISTA, RORAIMA, SARAMPO, VACINACAO VENEZUELANOS SARAMPO</t>
        </is>
      </c>
      <c r="K2265" t="n">
        <v>4</v>
      </c>
      <c r="L2265" t="n">
        <v>2</v>
      </c>
      <c r="M2265" t="n">
        <v>0</v>
      </c>
      <c r="N2265" t="n">
        <v>0</v>
      </c>
      <c r="O2265" t="n">
        <v>9</v>
      </c>
      <c r="P2265">
        <f>HYPERLINK("https://portalamazonia.com/noticias/cidades/sobe-para-13-o-numero-de-casos-suspeitos-de-sarampo-em-roraima", "URL")</f>
        <v/>
      </c>
      <c r="Q2265">
        <f>HYPERLINK("https://raw.githubusercontent.com/marcosmapl/dataset_imigrantes/main/materias_filtered/portal_amazonia/venezuelanos/2018/01_fev/html/12359.12359_1522.html", "HTML")</f>
        <v/>
      </c>
      <c r="R2265">
        <f>HYPERLINK("https://raw.githubusercontent.com/marcosmapl/dataset_imigrantes/main/materias_filtered/portal_amazonia/venezuelanos/2018/01_fev/txt/12359.12359_1522.txt", "TXT")</f>
        <v/>
      </c>
    </row>
    <row r="2266">
      <c r="A2266" s="1" t="n">
        <v>2264</v>
      </c>
      <c r="B2266" t="n">
        <v>2018</v>
      </c>
      <c r="C2266" s="2" t="n">
        <v>43157.60902777778</v>
      </c>
      <c r="D2266" t="inlineStr">
        <is>
          <t>PORTAL AMAZONIA</t>
        </is>
      </c>
      <c r="E2266" t="inlineStr">
        <is>
          <t>VENEZUELANOS</t>
        </is>
      </c>
      <c r="F2266" t="inlineStr">
        <is>
          <t>CIDADES</t>
        </is>
      </c>
      <c r="G2266" t="inlineStr">
        <is>
          <t>REDAÇÃO</t>
        </is>
      </c>
      <c r="H2266" t="inlineStr">
        <is>
          <t>VENEZUELANOS QUEREM SEGUIR PARA OUTROS ESTADOS, DIZ PREFEITURA DE BOA VISTA</t>
        </is>
      </c>
      <c r="I2266" t="inlineStr">
        <is>
          <t>DIANTE DA SOLICITAÇÃO DO GOVERNO FEDERAL PARA QUE O PROCESSO DE INTERIORIZAÇÃO SEJA CONCLUÍDO, A PREFEITURA DE BOA VISTA PROMOVEU NESTE SÁBADO (24), UMA AÇÃO DE VACINAÇÃO, AVALIAÇÃO E ATENDIMENTO MÉDICO PARA ATENDER OS VENEZUELANOS QUE ESTÃ</t>
        </is>
      </c>
      <c r="J2266" t="inlineStr">
        <is>
          <t>CRISE, ONU, RORAIMA, TRANSFERENCIA, VENEZUELANOS</t>
        </is>
      </c>
      <c r="K2266" t="n">
        <v>5</v>
      </c>
      <c r="L2266" t="n">
        <v>2</v>
      </c>
      <c r="M2266" t="n">
        <v>0</v>
      </c>
      <c r="N2266" t="n">
        <v>0</v>
      </c>
      <c r="O2266" t="n">
        <v>10</v>
      </c>
      <c r="P2266">
        <f>HYPERLINK("https://portalamazonia.com/noticias/cidades/venezuelanos-querem-seguir-para-outros-estados-diz-prefeitura-de-boa-vista", "URL")</f>
        <v/>
      </c>
      <c r="Q2266">
        <f>HYPERLINK("https://raw.githubusercontent.com/marcosmapl/dataset_imigrantes/main/materias_filtered/portal_amazonia/venezuelanos/2018/01_fev/html/12335.12335_1458.html", "HTML")</f>
        <v/>
      </c>
      <c r="R2266">
        <f>HYPERLINK("https://raw.githubusercontent.com/marcosmapl/dataset_imigrantes/main/materias_filtered/portal_amazonia/venezuelanos/2018/01_fev/txt/12335.12335_1458.txt", "TXT")</f>
        <v/>
      </c>
    </row>
    <row r="2267">
      <c r="A2267" s="1" t="n">
        <v>2265</v>
      </c>
      <c r="B2267" t="n">
        <v>2018</v>
      </c>
      <c r="C2267" s="2" t="n">
        <v>43157.34383109953</v>
      </c>
      <c r="D2267" t="inlineStr">
        <is>
          <t>G1</t>
        </is>
      </c>
      <c r="E2267" t="inlineStr">
        <is>
          <t>HAITIANOS</t>
        </is>
      </c>
      <c r="F2267" t="inlineStr">
        <is>
          <t>DISTRITO FEDERAL</t>
        </is>
      </c>
      <c r="G2267" t="inlineStr">
        <is>
          <t>ANA LUIZA DE CARVALHO*, G1 DF</t>
        </is>
      </c>
      <c r="H2267" t="inlineStr">
        <is>
          <t>REFUGIADOS RECEBEM AULA GRATUITA DE PORTUGUÊS DE VOLUNTÁRIOS NO DF</t>
        </is>
      </c>
      <c r="I2267" t="inlineStr">
        <is>
          <t>ALÉM DE ENSINAR IDIOMA, ALUNOS DE FACULDADE PROMOVEM INTEGRAÇÃO CULTURAL NO PARANOÁ E NO RIACHO FUNDO.</t>
        </is>
      </c>
      <c r="J2267" t="inlineStr"/>
      <c r="K2267" t="n">
        <v>0</v>
      </c>
      <c r="L2267" t="n">
        <v>2</v>
      </c>
      <c r="M2267" t="n">
        <v>0</v>
      </c>
      <c r="N2267" t="n">
        <v>0</v>
      </c>
      <c r="O2267" t="n">
        <v>1</v>
      </c>
      <c r="P2267">
        <f>HYPERLINK("https://g1.globo.com/df/distrito-federal/noticia/refugiados-recebem-aula-gratuita-de-portugues-de-voluntarios-no-df.ghtml", "URL")</f>
        <v/>
      </c>
      <c r="Q2267">
        <f>HYPERLINK("https://raw.githubusercontent.com/marcosmapl/dataset_imigrantes/main/materias_filtered/g1/haitianos/2018/01_fev/html/g1_b381151e-232b-11ed-b24f-6dbe51e79fca_4265.html", "HTML")</f>
        <v/>
      </c>
      <c r="R2267">
        <f>HYPERLINK("https://raw.githubusercontent.com/marcosmapl/dataset_imigrantes/main/materias_filtered/g1/haitianos/2018/01_fev/txt/g1_b381151e-232b-11ed-b24f-6dbe51e79fca_4265.txt", "TXT")</f>
        <v/>
      </c>
    </row>
    <row r="2268">
      <c r="A2268" s="1" t="n">
        <v>2266</v>
      </c>
      <c r="B2268" t="n">
        <v>2018</v>
      </c>
      <c r="C2268" s="2" t="n">
        <v>43155.61527777778</v>
      </c>
      <c r="D2268" t="inlineStr">
        <is>
          <t>PORTAL AMAZONIA</t>
        </is>
      </c>
      <c r="E2268" t="inlineStr">
        <is>
          <t>VENEZUELANOS</t>
        </is>
      </c>
      <c r="F2268" t="inlineStr">
        <is>
          <t>CIDADES</t>
        </is>
      </c>
      <c r="G2268" t="inlineStr">
        <is>
          <t>REDAÇÃO</t>
        </is>
      </c>
      <c r="H2268" t="inlineStr">
        <is>
          <t>BOA VISTA DECRETA SITUAÇÃO DE EMERGÊNCIA SOCIAL POR CAUSA DA CRISE MIGRATÓRIA</t>
        </is>
      </c>
      <c r="I2268" t="inlineStr">
        <is>
          <t>DADOS OFICIAIS APONTAM QUE MAIS DE 40 MIL VENEZUELANOS VIVEM EM BOA VISTA ATUALMENTE. PARA FUGIR DA CRISE HUMANITÁRIA INSTALADA EM SEU PAÍS, ESTIMA-SE QUE, POR DIA, 800 ENTREM EM RORAIMA. A MAIORIA DESSAS PESSOAS VIVE NAS RUAS OU EM ABRIGOS IMPROVISA</t>
        </is>
      </c>
      <c r="J2268" t="inlineStr">
        <is>
          <t>BOA VISTA, SITUAÇÃO DE EMERGÊNCIA, VENEZUELANOS</t>
        </is>
      </c>
      <c r="K2268" t="n">
        <v>3</v>
      </c>
      <c r="L2268" t="n">
        <v>2</v>
      </c>
      <c r="M2268" t="n">
        <v>0</v>
      </c>
      <c r="N2268" t="n">
        <v>0</v>
      </c>
      <c r="O2268" t="n">
        <v>8</v>
      </c>
      <c r="P2268">
        <f>HYPERLINK("https://portalamazonia.com/noticias/cidades/boa-vista-decreta-situacao-de-emergencia-social-por-causa-da-crise-migratoria", "URL")</f>
        <v/>
      </c>
      <c r="Q2268">
        <f>HYPERLINK("https://raw.githubusercontent.com/marcosmapl/dataset_imigrantes/main/materias_filtered/portal_amazonia/venezuelanos/2018/01_fev/html/12310.12310_1520.html", "HTML")</f>
        <v/>
      </c>
      <c r="R2268">
        <f>HYPERLINK("https://raw.githubusercontent.com/marcosmapl/dataset_imigrantes/main/materias_filtered/portal_amazonia/venezuelanos/2018/01_fev/txt/12310.12310_1520.txt", "TXT")</f>
        <v/>
      </c>
    </row>
    <row r="2269">
      <c r="A2269" s="1" t="n">
        <v>2267</v>
      </c>
      <c r="B2269" t="n">
        <v>2018</v>
      </c>
      <c r="C2269" s="2" t="n">
        <v>43155.48888888889</v>
      </c>
      <c r="D2269" t="inlineStr">
        <is>
          <t>PORTAL AMAZONIA</t>
        </is>
      </c>
      <c r="E2269" t="inlineStr">
        <is>
          <t>VENEZUELANOS</t>
        </is>
      </c>
      <c r="F2269" t="inlineStr">
        <is>
          <t>CIDADES</t>
        </is>
      </c>
      <c r="G2269" t="inlineStr">
        <is>
          <t>REDAÇÃO</t>
        </is>
      </c>
      <c r="H2269" t="inlineStr">
        <is>
          <t>PREFEITO DE MANAUS QUER AJUDA FEDERAL E ESTADUAL PARA RECEBER REFUGIADOS VENEZUELANOS</t>
        </is>
      </c>
      <c r="I2269" t="inlineStr">
        <is>
          <t>O PREFEITO DE MANAUS ARTHUR VIRGÍLIO NETO ANUNCIOU NESTA SEXTA-FEIRA (23), QUE MANAUS SÓ ESTARÁ APTA A PARTICIPAR DO PROCESSO DE TRANSFERÊNCIA DE VENEZUELANOS, QUE ESTÃO EM RORAIMA, COM A GARANTIA DE VERBAS DO GOVERNO FEDERAL E ESTADUAL DESTINAD</t>
        </is>
      </c>
      <c r="J2269" t="inlineStr">
        <is>
          <t>CASA CIVIL, MANAUS, RORAIMA, VENEZUELA, VENEZUELANOS</t>
        </is>
      </c>
      <c r="K2269" t="n">
        <v>5</v>
      </c>
      <c r="L2269" t="n">
        <v>2</v>
      </c>
      <c r="M2269" t="n">
        <v>0</v>
      </c>
      <c r="N2269" t="n">
        <v>0</v>
      </c>
      <c r="O2269" t="n">
        <v>10</v>
      </c>
      <c r="P2269">
        <f>HYPERLINK("https://portalamazonia.com/noticias/cidades/prefeito-de-manaus-quer-ajuda-federal-e-estadual-para-receber-refugiados-venezuelanos", "URL")</f>
        <v/>
      </c>
      <c r="Q2269">
        <f>HYPERLINK("https://raw.githubusercontent.com/marcosmapl/dataset_imigrantes/main/materias_filtered/portal_amazonia/venezuelanos/2018/01_fev/html/12306.12306_1445.html", "HTML")</f>
        <v/>
      </c>
      <c r="R2269">
        <f>HYPERLINK("https://raw.githubusercontent.com/marcosmapl/dataset_imigrantes/main/materias_filtered/portal_amazonia/venezuelanos/2018/01_fev/txt/12306.12306_1445.txt", "TXT")</f>
        <v/>
      </c>
    </row>
    <row r="2270">
      <c r="A2270" s="1" t="n">
        <v>2268</v>
      </c>
      <c r="B2270" t="n">
        <v>2018</v>
      </c>
      <c r="C2270" s="2" t="n">
        <v>43155.125</v>
      </c>
      <c r="D2270" t="inlineStr">
        <is>
          <t>A CRITICA</t>
        </is>
      </c>
      <c r="E2270" t="inlineStr">
        <is>
          <t>VENEZUELANOS</t>
        </is>
      </c>
      <c r="F2270" t="inlineStr">
        <is>
          <t>OPINIAO</t>
        </is>
      </c>
      <c r="G2270" t="inlineStr">
        <is>
          <t>ORLANDO CÂMARA</t>
        </is>
      </c>
      <c r="H2270" t="inlineStr">
        <is>
          <t>A SOCIEDADE DIGITAL E A FALTA DE CONEXÃO</t>
        </is>
      </c>
      <c r="I2270" t="inlineStr">
        <is>
          <t>CRÔNICAS DE DOMINGO - 25 DE FEVEREIRO DE 2018</t>
        </is>
      </c>
      <c r="J2270" t="inlineStr">
        <is>
          <t>ORLANDO-CAMARA</t>
        </is>
      </c>
      <c r="K2270" t="n">
        <v>1</v>
      </c>
      <c r="L2270" t="n">
        <v>1</v>
      </c>
      <c r="M2270" t="n">
        <v>0</v>
      </c>
      <c r="N2270" t="n">
        <v>0</v>
      </c>
      <c r="O2270" t="n">
        <v>1</v>
      </c>
      <c r="P2270">
        <f>HYPERLINK("https://www.acritica.com/opiniao/a-sociedade-digital-e-a-falta-de-conex-o-1.217172", "URL")</f>
        <v/>
      </c>
      <c r="Q2270">
        <f>HYPERLINK("https://raw.githubusercontent.com/marcosmapl/dataset_imigrantes/main/materias_filtered/a_critica/venezuelanos/2018/01_fev/html/1.217172_644.html", "HTML")</f>
        <v/>
      </c>
      <c r="R2270">
        <f>HYPERLINK("https://raw.githubusercontent.com/marcosmapl/dataset_imigrantes/main/materias_filtered/a_critica/venezuelanos/2018/01_fev/txt/1.217172_644.txt", "TXT")</f>
        <v/>
      </c>
    </row>
    <row r="2271">
      <c r="A2271" s="1" t="n">
        <v>2269</v>
      </c>
      <c r="B2271" t="n">
        <v>2018</v>
      </c>
      <c r="C2271" s="2" t="n">
        <v>43154.35069444445</v>
      </c>
      <c r="D2271" t="inlineStr">
        <is>
          <t>A CRITICA</t>
        </is>
      </c>
      <c r="E2271" t="inlineStr">
        <is>
          <t>VENEZUELANOS</t>
        </is>
      </c>
      <c r="F2271" t="inlineStr"/>
      <c r="G2271" t="inlineStr"/>
      <c r="H2271" t="inlineStr">
        <is>
          <t>O ALMOÇO DE TEMER COM OMAR E ARTHUR</t>
        </is>
      </c>
      <c r="I2271" t="inlineStr"/>
      <c r="J2271" t="inlineStr"/>
      <c r="K2271" t="n">
        <v>0</v>
      </c>
      <c r="L2271" t="n">
        <v>1</v>
      </c>
      <c r="M2271" t="n">
        <v>0</v>
      </c>
      <c r="N2271" t="n">
        <v>0</v>
      </c>
      <c r="O2271" t="n">
        <v>0</v>
      </c>
      <c r="P2271">
        <f>HYPERLINK("https://www.acritica.com/o-almoco-de-temer-com-omar-e-arthur-1.229398", "URL")</f>
        <v/>
      </c>
      <c r="Q2271">
        <f>HYPERLINK("https://raw.githubusercontent.com/marcosmapl/dataset_imigrantes/main/materias_filtered/a_critica/venezuelanos/2018/01_fev/html/1.229398_1125.html", "HTML")</f>
        <v/>
      </c>
      <c r="R2271">
        <f>HYPERLINK("https://raw.githubusercontent.com/marcosmapl/dataset_imigrantes/main/materias_filtered/a_critica/venezuelanos/2018/01_fev/txt/1.229398_1125.txt", "TXT")</f>
        <v/>
      </c>
    </row>
    <row r="2272">
      <c r="A2272" s="1" t="n">
        <v>2270</v>
      </c>
      <c r="B2272" t="n">
        <v>2018</v>
      </c>
      <c r="C2272" s="2" t="n">
        <v>43153.53888888889</v>
      </c>
      <c r="D2272" t="inlineStr">
        <is>
          <t>PORTAL AMAZONIA</t>
        </is>
      </c>
      <c r="E2272" t="inlineStr">
        <is>
          <t>VENEZUELANOS</t>
        </is>
      </c>
      <c r="F2272" t="inlineStr">
        <is>
          <t>CIDADES</t>
        </is>
      </c>
      <c r="G2272" t="inlineStr">
        <is>
          <t>REDAÇÃO</t>
        </is>
      </c>
      <c r="H2272" t="inlineStr">
        <is>
          <t>AMAZONAS ABRIGA 148 INDÍGENAS VENEZUELANOS, AFIRMA SECRETÁRIA AUXILIADORA ABRANTES</t>
        </is>
      </c>
      <c r="I2272" t="inlineStr">
        <is>
          <t>EM ENTREVISTA AO JORNAL DA CBN NESTA QUINTA-FEIRA (22), A SECRETÁRIA DE ESTADO DE ASSISTÊNCIA SOCIAL DO AMAZONAS, AUXILIADORA ABRANTES PINTO, AFIRMOU QUE MANAUS ABRIGA 148 VENEZUELANOS. PORÉM, O TITULAR DA SECRETARIA MUNICIPAL DE ASSISTÊNCIA SOCIAL E</t>
        </is>
      </c>
      <c r="J2272" t="inlineStr">
        <is>
          <t>AMAZONAS, IMIGRAÇÃO, INDÍGENAS, MANAUS, VENEZUELANOS</t>
        </is>
      </c>
      <c r="K2272" t="n">
        <v>5</v>
      </c>
      <c r="L2272" t="n">
        <v>1</v>
      </c>
      <c r="M2272" t="n">
        <v>0</v>
      </c>
      <c r="N2272" t="n">
        <v>0</v>
      </c>
      <c r="O2272" t="n">
        <v>10</v>
      </c>
      <c r="P2272">
        <f>HYPERLINK("https://portalamazonia.com/noticias/cidades/amazonas-abriga-148-indigenas-venezuelanos-afirma-secretaria-auxiliadora-abrantes", "URL")</f>
        <v/>
      </c>
      <c r="Q2272">
        <f>HYPERLINK("https://raw.githubusercontent.com/marcosmapl/dataset_imigrantes/main/materias_filtered/portal_amazonia/venezuelanos/2018/01_fev/html/12245.25668_1392.html", "HTML")</f>
        <v/>
      </c>
      <c r="R2272">
        <f>HYPERLINK("https://raw.githubusercontent.com/marcosmapl/dataset_imigrantes/main/materias_filtered/portal_amazonia/venezuelanos/2018/01_fev/txt/12245.25668_1392.txt", "TXT")</f>
        <v/>
      </c>
    </row>
    <row r="2273">
      <c r="A2273" s="1" t="n">
        <v>2271</v>
      </c>
      <c r="B2273" t="n">
        <v>2018</v>
      </c>
      <c r="C2273" s="2" t="n">
        <v>43153.50972222222</v>
      </c>
      <c r="D2273" t="inlineStr">
        <is>
          <t>PORTAL AMAZONIA</t>
        </is>
      </c>
      <c r="E2273" t="inlineStr">
        <is>
          <t>VENEZUELANOS</t>
        </is>
      </c>
      <c r="F2273" t="inlineStr">
        <is>
          <t>CIDADES</t>
        </is>
      </c>
      <c r="G2273" t="inlineStr">
        <is>
          <t>REDAÇÃO</t>
        </is>
      </c>
      <c r="H2273" t="inlineStr">
        <is>
          <t>MANAUS RECEBE 180 VENEZUELANOS VINDOS DE RORAIMA NOS PRÓXIMOS 15 DIAS</t>
        </is>
      </c>
      <c r="I2273" t="inlineStr">
        <is>
          <t>EM CERCA DE 15 DIAS, AS CIDADES DE MANAUS E SÃO PAULO RECEBERÃO OS PRIMEIROS VENEZUELANOS ATUALMENTE ABRIGADOS EM RORAIMA. NESTE PRIMEIRO MOMENTO, 350 PESSOAS SERÃO ENCAMINHADAS PARA SÃO PAULO E 180 PARA A CAPITAL DO AMAZONAS. OS VENEZUELANOS ES</t>
        </is>
      </c>
      <c r="J2273" t="inlineStr">
        <is>
          <t>AMAZONAS, RORAIMA, TRANSFERENCIA, VENEZUELANOS</t>
        </is>
      </c>
      <c r="K2273" t="n">
        <v>4</v>
      </c>
      <c r="L2273" t="n">
        <v>2</v>
      </c>
      <c r="M2273" t="n">
        <v>0</v>
      </c>
      <c r="N2273" t="n">
        <v>0</v>
      </c>
      <c r="O2273" t="n">
        <v>9</v>
      </c>
      <c r="P2273">
        <f>HYPERLINK("https://portalamazonia.com/noticias/cidades/manaus-recebe-180-venezuelanos-vindos-de-roraima-nos-proximos-15-dias", "URL")</f>
        <v/>
      </c>
      <c r="Q2273">
        <f>HYPERLINK("https://raw.githubusercontent.com/marcosmapl/dataset_imigrantes/main/materias_filtered/portal_amazonia/venezuelanos/2018/01_fev/html/12244.12244_1433.html", "HTML")</f>
        <v/>
      </c>
      <c r="R2273">
        <f>HYPERLINK("https://raw.githubusercontent.com/marcosmapl/dataset_imigrantes/main/materias_filtered/portal_amazonia/venezuelanos/2018/01_fev/txt/12244.12244_1433.txt", "TXT")</f>
        <v/>
      </c>
    </row>
    <row r="2274">
      <c r="A2274" s="1" t="n">
        <v>2272</v>
      </c>
      <c r="B2274" t="n">
        <v>2018</v>
      </c>
      <c r="C2274" s="2" t="n">
        <v>43152.99027777778</v>
      </c>
      <c r="D2274" t="inlineStr">
        <is>
          <t>A CRITICA</t>
        </is>
      </c>
      <c r="E2274" t="inlineStr">
        <is>
          <t>VENEZUELANOS</t>
        </is>
      </c>
      <c r="F2274" t="inlineStr"/>
      <c r="G2274" t="inlineStr">
        <is>
          <t>VITOR GAVIRATI</t>
        </is>
      </c>
      <c r="H2274" t="inlineStr">
        <is>
          <t>AMAZONAS VAI RECEBER 180 VENEZUELANOS DE RORAIMA ENVIADOS PELO GOVERNO FEDERAL</t>
        </is>
      </c>
      <c r="I2274" t="inlineStr">
        <is>
          <t>ATUALMENTE, O GRUPO FORMADO POR HOMENS SOLTEIROS COM QUALIFICAÇÃO PROFISSIONAL E DESEJO DE FICAR NO BRASIL ESTÁ EM "QUARENTENA", APÓS TER SIDO VACINADO CONTRA DOENÇAS COMO SARAMPO E FEBRE AMARELA</t>
        </is>
      </c>
      <c r="J2274" t="inlineStr"/>
      <c r="K2274" t="n">
        <v>0</v>
      </c>
      <c r="L2274" t="n">
        <v>1</v>
      </c>
      <c r="M2274" t="n">
        <v>0</v>
      </c>
      <c r="N2274" t="n">
        <v>0</v>
      </c>
      <c r="O2274" t="n">
        <v>2</v>
      </c>
      <c r="P2274">
        <f>HYPERLINK("https://www.acritica.com/amazonas-vai-receber-180-venezuelanos-de-roraima-enviados-pelo-governo-federal-1.103146", "URL")</f>
        <v/>
      </c>
      <c r="Q2274">
        <f>HYPERLINK("https://raw.githubusercontent.com/marcosmapl/dataset_imigrantes/main/materias_filtered/a_critica/venezuelanos/2018/01_fev/html/1.103146_974.html", "HTML")</f>
        <v/>
      </c>
      <c r="R2274">
        <f>HYPERLINK("https://raw.githubusercontent.com/marcosmapl/dataset_imigrantes/main/materias_filtered/a_critica/venezuelanos/2018/01_fev/txt/1.103146_974.txt", "TXT")</f>
        <v/>
      </c>
    </row>
    <row r="2275">
      <c r="A2275" s="1" t="n">
        <v>2273</v>
      </c>
      <c r="B2275" t="n">
        <v>2018</v>
      </c>
      <c r="C2275" s="2" t="n">
        <v>43152.50972222222</v>
      </c>
      <c r="D2275" t="inlineStr">
        <is>
          <t>PORTAL AMAZONIA</t>
        </is>
      </c>
      <c r="E2275" t="inlineStr">
        <is>
          <t>VENEZUELANOS</t>
        </is>
      </c>
      <c r="F2275" t="inlineStr">
        <is>
          <t>CIDADES</t>
        </is>
      </c>
      <c r="G2275" t="inlineStr">
        <is>
          <t>REDAÇÃO</t>
        </is>
      </c>
      <c r="H2275" t="inlineStr">
        <is>
          <t>AUMENTA NÚMERO DE CASOS SUSPEITOS DE SARAMPO EM RORAIMA</t>
        </is>
      </c>
      <c r="I2275" t="inlineStr">
        <is>
          <t>A SECRETARIA ESTADUAL DE SAÚDE DE RORAIMA CONFIRMOU NESTA TERÇA-FEIRA (20) QUE SETE CASOS SUSPEITOS DE SARAMPO ESTÃO SOB INVESTIGAÇÃO. UMA CRIANÇA VENEZUELANA DE 1 ANO DE IDADE, SEM HISTÓRICO VACINAL, JÁ TEVE A CONTAMINAÇÃO POR SARAMPO CONFIRMADA PEL</t>
        </is>
      </c>
      <c r="J2275" t="inlineStr">
        <is>
          <t>BOA VISTA, RORAIMA, SARAMPO, VACINACAO VENEZUELANOS SARAMPO</t>
        </is>
      </c>
      <c r="K2275" t="n">
        <v>4</v>
      </c>
      <c r="L2275" t="n">
        <v>2</v>
      </c>
      <c r="M2275" t="n">
        <v>0</v>
      </c>
      <c r="N2275" t="n">
        <v>0</v>
      </c>
      <c r="O2275" t="n">
        <v>9</v>
      </c>
      <c r="P2275">
        <f>HYPERLINK("https://portalamazonia.com/noticias/cidades/aumenta-numero-de-casos-suspeitos-de-sarampo-em-roraima", "URL")</f>
        <v/>
      </c>
      <c r="Q2275">
        <f>HYPERLINK("https://raw.githubusercontent.com/marcosmapl/dataset_imigrantes/main/materias_filtered/portal_amazonia/venezuelanos/2018/01_fev/html/12208.12208_1501.html", "HTML")</f>
        <v/>
      </c>
      <c r="R2275">
        <f>HYPERLINK("https://raw.githubusercontent.com/marcosmapl/dataset_imigrantes/main/materias_filtered/portal_amazonia/venezuelanos/2018/01_fev/txt/12208.12208_1501.txt", "TXT")</f>
        <v/>
      </c>
    </row>
    <row r="2276">
      <c r="A2276" s="1" t="n">
        <v>2274</v>
      </c>
      <c r="B2276" t="n">
        <v>2018</v>
      </c>
      <c r="C2276" s="2" t="n">
        <v>43151.89583333334</v>
      </c>
      <c r="D2276" t="inlineStr">
        <is>
          <t>G1</t>
        </is>
      </c>
      <c r="E2276" t="inlineStr">
        <is>
          <t>VENEZUELANOS</t>
        </is>
      </c>
      <c r="F2276" t="inlineStr"/>
      <c r="G2276" t="inlineStr"/>
      <c r="H2276" t="inlineStr">
        <is>
          <t>FILHOS DA IMIGRAÇÃO: EM RORAIMA, 150 VENEZUELANAS DERAM À LUZ EM JANEIRO</t>
        </is>
      </c>
      <c r="I2276" t="inlineStr"/>
      <c r="J2276" t="inlineStr">
        <is>
          <t>RORAIMA, VENEZUELA, BOA VISTA</t>
        </is>
      </c>
      <c r="K2276" t="n">
        <v>3</v>
      </c>
      <c r="L2276" t="n">
        <v>4</v>
      </c>
      <c r="M2276" t="n">
        <v>0</v>
      </c>
      <c r="N2276" t="n">
        <v>0</v>
      </c>
      <c r="O2276" t="n">
        <v>15</v>
      </c>
      <c r="P2276">
        <f>HYPERLINK("http://g1.globo.com/jornal-nacional/noticia/2018/02/filhos-da-imigracao-em-roraima-150-venezuelanas-deram-luz-em-janeiro.html", "URL")</f>
        <v/>
      </c>
      <c r="Q2276">
        <f>HYPERLINK("https://raw.githubusercontent.com/marcosmapl/dataset_imigrantes/main/materias_filtered/g1/venezuelanos/2018/01_fev/html/g1_136c0c6c-2323-11ed-b24f-6dbe51e79fca_3786.html", "HTML")</f>
        <v/>
      </c>
      <c r="R2276">
        <f>HYPERLINK("https://raw.githubusercontent.com/marcosmapl/dataset_imigrantes/main/materias_filtered/g1/venezuelanos/2018/01_fev/txt/g1_136c0c6c-2323-11ed-b24f-6dbe51e79fca_3786.txt", "TXT")</f>
        <v/>
      </c>
    </row>
    <row r="2277">
      <c r="A2277" s="1" t="n">
        <v>2275</v>
      </c>
      <c r="B2277" t="n">
        <v>2018</v>
      </c>
      <c r="C2277" s="2" t="n">
        <v>43151.74713287037</v>
      </c>
      <c r="D2277" t="inlineStr">
        <is>
          <t>G1</t>
        </is>
      </c>
      <c r="E2277" t="inlineStr">
        <is>
          <t>VENEZUELANOS</t>
        </is>
      </c>
      <c r="F2277" t="inlineStr">
        <is>
          <t>RORAIMA</t>
        </is>
      </c>
      <c r="G2277" t="inlineStr">
        <is>
          <t>ALAN CHAVES, G1 RR</t>
        </is>
      </c>
      <c r="H2277" t="inlineStr">
        <is>
          <t>APÓS CASO DE SARAMPO EM BEBÊ VENEZUELANA, SAÚDE DE RORAIMA REVISA 20 MIL PRONTUÁRIOS MÉDICOS</t>
        </is>
      </c>
      <c r="I2277" t="inlineStr">
        <is>
          <t>REVISÃO É FEITA PARA LOCALIZAR POSSÍVEIS CASOS SUSPEITOS DE SARAMPO EM BOA VISTA. SAÚDE INVESTIGA SETE NOVOS CASOS DA DOENÇA EM CRIANÇAS.</t>
        </is>
      </c>
      <c r="J2277" t="inlineStr"/>
      <c r="K2277" t="n">
        <v>0</v>
      </c>
      <c r="L2277" t="n">
        <v>1</v>
      </c>
      <c r="M2277" t="n">
        <v>0</v>
      </c>
      <c r="N2277" t="n">
        <v>0</v>
      </c>
      <c r="O2277" t="n">
        <v>6</v>
      </c>
      <c r="P2277">
        <f>HYPERLINK("https://g1.globo.com/rr/roraima/noticia/apos-caso-de-sarampo-em-bebe-venezuelana-saude-de-roraima-revisa-20-mil-prontuarios-medicos.ghtml", "URL")</f>
        <v/>
      </c>
      <c r="Q2277">
        <f>HYPERLINK("https://raw.githubusercontent.com/marcosmapl/dataset_imigrantes/main/materias_filtered/g1/venezuelanos/2018/01_fev/html/g1_27ee818a-2317-11ed-b24f-6dbe51e79fca_3189.html", "HTML")</f>
        <v/>
      </c>
      <c r="R2277">
        <f>HYPERLINK("https://raw.githubusercontent.com/marcosmapl/dataset_imigrantes/main/materias_filtered/g1/venezuelanos/2018/01_fev/txt/g1_27ee818a-2317-11ed-b24f-6dbe51e79fca_3189.txt", "TXT")</f>
        <v/>
      </c>
    </row>
    <row r="2278">
      <c r="A2278" s="1" t="n">
        <v>2276</v>
      </c>
      <c r="B2278" t="n">
        <v>2018</v>
      </c>
      <c r="C2278" s="2" t="n">
        <v>43151.72847222222</v>
      </c>
      <c r="D2278" t="inlineStr">
        <is>
          <t>A CRITICA</t>
        </is>
      </c>
      <c r="E2278" t="inlineStr">
        <is>
          <t>VENEZUELANOS</t>
        </is>
      </c>
      <c r="F2278" t="inlineStr"/>
      <c r="G2278" t="inlineStr">
        <is>
          <t>ACRÍTICA.COM</t>
        </is>
      </c>
      <c r="H2278" t="inlineStr">
        <is>
          <t>RORAIMA CONFIRMA SETE CASOS SUSPEITOS DE SARAMPO EM CRIANÇAS DE 7 MESES A 10 ANOS</t>
        </is>
      </c>
      <c r="I2278" t="inlineStr">
        <is>
          <t>SÃO SEIS CRIANÇAS VENEZUELANAS E UMA BRASILEIRA. UMA CRIANÇA VENEZUELANA DE 1 ANO, SEM HISTÓRICO VACINAL, JÁ TEVE A CONTAMINAÇÃO CONFIRMADA PELA FIOCRUZ</t>
        </is>
      </c>
      <c r="J2278" t="inlineStr"/>
      <c r="K2278" t="n">
        <v>0</v>
      </c>
      <c r="L2278" t="n">
        <v>1</v>
      </c>
      <c r="M2278" t="n">
        <v>0</v>
      </c>
      <c r="N2278" t="n">
        <v>0</v>
      </c>
      <c r="O2278" t="n">
        <v>0</v>
      </c>
      <c r="P2278">
        <f>HYPERLINK("https://www.acritica.com/roraima-confirma-sete-casos-suspeitos-de-sarampo-em-criancas-de-7-meses-a-10-anos-1.103210", "URL")</f>
        <v/>
      </c>
      <c r="Q2278">
        <f>HYPERLINK("https://raw.githubusercontent.com/marcosmapl/dataset_imigrantes/main/materias_filtered/a_critica/venezuelanos/2018/01_fev/html/1.103210_382.html", "HTML")</f>
        <v/>
      </c>
      <c r="R2278">
        <f>HYPERLINK("https://raw.githubusercontent.com/marcosmapl/dataset_imigrantes/main/materias_filtered/a_critica/venezuelanos/2018/01_fev/txt/1.103210_382.txt", "TXT")</f>
        <v/>
      </c>
    </row>
    <row r="2279">
      <c r="A2279" s="1" t="n">
        <v>2277</v>
      </c>
      <c r="B2279" t="n">
        <v>2018</v>
      </c>
      <c r="C2279" s="2" t="n">
        <v>43150.9207208912</v>
      </c>
      <c r="D2279" t="inlineStr">
        <is>
          <t>G1</t>
        </is>
      </c>
      <c r="E2279" t="inlineStr">
        <is>
          <t>VENEZUELANOS</t>
        </is>
      </c>
      <c r="F2279" t="inlineStr">
        <is>
          <t>RORAIMA</t>
        </is>
      </c>
      <c r="G2279" t="inlineStr">
        <is>
          <t>G1 RR</t>
        </is>
      </c>
      <c r="H2279" t="inlineStr">
        <is>
          <t>SAÚDE DE RORAIMA INVESTIGA OUTROS 7 CASOS SUSPEITOS DE SARAMPO EM CRIANÇAS VENEZUELANAS E BRASILEIRA</t>
        </is>
      </c>
      <c r="I2279" t="inlineStr">
        <is>
          <t>COLETAS DE EXAMES SERÃO ENVIADAS À FIOCRUZ PARA CONFIRMAÇÃO. DUAS CRIANÇAS ESTÃO INTERNADAS.</t>
        </is>
      </c>
      <c r="J2279" t="inlineStr"/>
      <c r="K2279" t="n">
        <v>0</v>
      </c>
      <c r="L2279" t="n">
        <v>1</v>
      </c>
      <c r="M2279" t="n">
        <v>0</v>
      </c>
      <c r="N2279" t="n">
        <v>0</v>
      </c>
      <c r="O2279" t="n">
        <v>4</v>
      </c>
      <c r="P2279">
        <f>HYPERLINK("https://g1.globo.com/rr/roraima/noticia/saude-de-roraima-investiga-outros-7-casos-suspeitos-de-sarampo-em-criancas-venezuelanas-e-brasileira.ghtml", "URL")</f>
        <v/>
      </c>
      <c r="Q2279">
        <f>HYPERLINK("https://raw.githubusercontent.com/marcosmapl/dataset_imigrantes/main/materias_filtered/g1/venezuelanos/2018/01_fev/html/g1_5bfea136-230c-11ed-b24f-6dbe51e79fca_2619.html", "HTML")</f>
        <v/>
      </c>
      <c r="R2279">
        <f>HYPERLINK("https://raw.githubusercontent.com/marcosmapl/dataset_imigrantes/main/materias_filtered/g1/venezuelanos/2018/01_fev/txt/g1_5bfea136-230c-11ed-b24f-6dbe51e79fca_2619.txt", "TXT")</f>
        <v/>
      </c>
    </row>
    <row r="2280">
      <c r="A2280" s="1" t="n">
        <v>2278</v>
      </c>
      <c r="B2280" t="n">
        <v>2018</v>
      </c>
      <c r="C2280" s="2" t="n">
        <v>43150.79184134259</v>
      </c>
      <c r="D2280" t="inlineStr">
        <is>
          <t>G1</t>
        </is>
      </c>
      <c r="E2280" t="inlineStr">
        <is>
          <t>VENEZUELANOS</t>
        </is>
      </c>
      <c r="F2280" t="inlineStr">
        <is>
          <t>MUNDO</t>
        </is>
      </c>
      <c r="G2280" t="inlineStr">
        <is>
          <t>AGÊNCIA EFE</t>
        </is>
      </c>
      <c r="H2280" t="inlineStr">
        <is>
          <t>CONSTITUINTE VENEZUELANO RECOMENDA QUE MADURO NÃO VÁ À CÚPULA DAS AMÉRICAS</t>
        </is>
      </c>
      <c r="I2280" t="inlineStr">
        <is>
          <t>HERMANN ESCARRÁ É PRESIDENTE DA COMISSÃO CONSTITUCIONAL DA ASSEMBLEIA NACIONAL CONSTITUINTE. 'É MAIS UM CUSTO NA ORDEM POLÍTICA, NA ORDEM PÚBLICA, AO QUAL SE EXPÕE, DO QUE ALGO QUE REALMENTE PODERIA TRAZER GANHOS', DISSE DEPUTADO À TV; PERU AFIRMA QUE NÃO PERMITIRÁ ENTRADA DE MADURO NO PAÍS.</t>
        </is>
      </c>
      <c r="J2280" t="inlineStr"/>
      <c r="K2280" t="n">
        <v>0</v>
      </c>
      <c r="L2280" t="n">
        <v>1</v>
      </c>
      <c r="M2280" t="n">
        <v>0</v>
      </c>
      <c r="N2280" t="n">
        <v>0</v>
      </c>
      <c r="O2280" t="n">
        <v>0</v>
      </c>
      <c r="P2280">
        <f>HYPERLINK("https://g1.globo.com/mundo/noticia/constituinte-venezuelano-recomenda-que-maduro-nao-va-a-cupula-das-americas.ghtml", "URL")</f>
        <v/>
      </c>
      <c r="Q2280">
        <f>HYPERLINK("https://raw.githubusercontent.com/marcosmapl/dataset_imigrantes/main/materias_filtered/g1/venezuelanos/2018/01_fev/html/g1_87173fd6-2311-11ed-b24f-6dbe51e79fca_2920.html", "HTML")</f>
        <v/>
      </c>
      <c r="R2280">
        <f>HYPERLINK("https://raw.githubusercontent.com/marcosmapl/dataset_imigrantes/main/materias_filtered/g1/venezuelanos/2018/01_fev/txt/g1_87173fd6-2311-11ed-b24f-6dbe51e79fca_2920.txt", "TXT")</f>
        <v/>
      </c>
    </row>
    <row r="2281">
      <c r="A2281" s="1" t="n">
        <v>2279</v>
      </c>
      <c r="B2281" t="n">
        <v>2018</v>
      </c>
      <c r="C2281" s="2" t="n">
        <v>43150.63190972222</v>
      </c>
      <c r="D2281" t="inlineStr">
        <is>
          <t>A CRITICA</t>
        </is>
      </c>
      <c r="E2281" t="inlineStr">
        <is>
          <t>VENEZUELANOS</t>
        </is>
      </c>
      <c r="F2281" t="inlineStr"/>
      <c r="G2281" t="inlineStr">
        <is>
          <t>PEDRO PEDUZZI -  AGÊNCIA BRASIL</t>
        </is>
      </c>
      <c r="H2281" t="inlineStr">
        <is>
          <t>MINISTRO DIZ QUE BRASIL MANTÉM PORTAS ABERTAS PARA RECEBER REFUGIADOS</t>
        </is>
      </c>
      <c r="I2281" t="inlineStr">
        <is>
          <t>PARA O MINISTRO, A RESPOSTA DO BRASIL AO DRAMA DOS REFUGIADOS, EM ESPECIAL NO CASO DOS VENEZUELANOS QUE BUSCAM REFÚGIO NO PAÍS, TEM SIDO UM “ESTRITO CUMPRIMENTO” DAS OBRIGAÇÕES DO PAÍS.</t>
        </is>
      </c>
      <c r="J2281" t="inlineStr"/>
      <c r="K2281" t="n">
        <v>0</v>
      </c>
      <c r="L2281" t="n">
        <v>1</v>
      </c>
      <c r="M2281" t="n">
        <v>0</v>
      </c>
      <c r="N2281" t="n">
        <v>0</v>
      </c>
      <c r="O2281" t="n">
        <v>0</v>
      </c>
      <c r="P2281">
        <f>HYPERLINK("https://www.acritica.com/ministro-diz-que-brasil-mantem-portas-abertas-para-receber-refugiados-1.96582", "URL")</f>
        <v/>
      </c>
      <c r="Q2281">
        <f>HYPERLINK("https://raw.githubusercontent.com/marcosmapl/dataset_imigrantes/main/materias_filtered/a_critica/venezuelanos/2018/01_fev/html/1.96582_679.html", "HTML")</f>
        <v/>
      </c>
      <c r="R2281">
        <f>HYPERLINK("https://raw.githubusercontent.com/marcosmapl/dataset_imigrantes/main/materias_filtered/a_critica/venezuelanos/2018/01_fev/txt/1.96582_679.txt", "TXT")</f>
        <v/>
      </c>
    </row>
    <row r="2282">
      <c r="A2282" s="1" t="n">
        <v>2280</v>
      </c>
      <c r="B2282" t="n">
        <v>2018</v>
      </c>
      <c r="C2282" s="2" t="n">
        <v>43149.55208333334</v>
      </c>
      <c r="D2282" t="inlineStr">
        <is>
          <t>PORTAL AMAZONIA</t>
        </is>
      </c>
      <c r="E2282" t="inlineStr">
        <is>
          <t>VENEZUELANOS</t>
        </is>
      </c>
      <c r="F2282" t="inlineStr">
        <is>
          <t>CIDADES</t>
        </is>
      </c>
      <c r="G2282" t="inlineStr">
        <is>
          <t>REDAÇÃO</t>
        </is>
      </c>
      <c r="H2282" t="inlineStr">
        <is>
          <t>FORÇA TAREFA EM RORAIMA PARA IMUNIZAR VENEZUELANOS CONTRA O SARAMPO</t>
        </is>
      </c>
      <c r="I2282" t="inlineStr">
        <is>
          <t>PELO QUARTO DIA CONSECUTIVO, DESDE UM DIAGNÓSTICO POSITIVO DE SARAMPO NO INÍCIO DA SEMANA, AS EQUIPES DE SAÚDE DE RORAIMA SEGUEM COM AS AÇÕES DE VACINAÇÃO JUNTO AOS VENEZUELANOS ABRIGADOS QUE, NO MOMENTO, SÃO O PÚBLICO MAIS VULNERÁVEL AO VÍRUS. NESTE</t>
        </is>
      </c>
      <c r="J2282" t="inlineStr">
        <is>
          <t>VACINACAO VENEZUELANOS SARAMPO</t>
        </is>
      </c>
      <c r="K2282" t="n">
        <v>1</v>
      </c>
      <c r="L2282" t="n">
        <v>2</v>
      </c>
      <c r="M2282" t="n">
        <v>0</v>
      </c>
      <c r="N2282" t="n">
        <v>0</v>
      </c>
      <c r="O2282" t="n">
        <v>6</v>
      </c>
      <c r="P2282">
        <f>HYPERLINK("https://portalamazonia.com/noticias/cidades/forca-tarefa-em-roraima-para-imunizar-venezuelanos-contra-o-sarampo", "URL")</f>
        <v/>
      </c>
      <c r="Q2282">
        <f>HYPERLINK("https://raw.githubusercontent.com/marcosmapl/dataset_imigrantes/main/materias_filtered/portal_amazonia/venezuelanos/2018/01_fev/html/12150.12150_1560.html", "HTML")</f>
        <v/>
      </c>
      <c r="R2282">
        <f>HYPERLINK("https://raw.githubusercontent.com/marcosmapl/dataset_imigrantes/main/materias_filtered/portal_amazonia/venezuelanos/2018/01_fev/txt/12150.12150_1560.txt", "TXT")</f>
        <v/>
      </c>
    </row>
    <row r="2283">
      <c r="A2283" s="1" t="n">
        <v>2281</v>
      </c>
      <c r="B2283" t="n">
        <v>2018</v>
      </c>
      <c r="C2283" s="2" t="n">
        <v>43149.125</v>
      </c>
      <c r="D2283" t="inlineStr">
        <is>
          <t>A CRITICA</t>
        </is>
      </c>
      <c r="E2283" t="inlineStr">
        <is>
          <t>VENEZUELANOS</t>
        </is>
      </c>
      <c r="F2283" t="inlineStr">
        <is>
          <t>OPINIAO</t>
        </is>
      </c>
      <c r="G2283" t="inlineStr">
        <is>
          <t>ORLANDO CÂMARA</t>
        </is>
      </c>
      <c r="H2283" t="inlineStr">
        <is>
          <t>NO CAMINHO</t>
        </is>
      </c>
      <c r="I2283" t="inlineStr">
        <is>
          <t>CRÔNICAS DE DOMINGO - 18 DE FEVEREIRO DE 2018</t>
        </is>
      </c>
      <c r="J2283" t="inlineStr">
        <is>
          <t>ORLANDO-CAMARA</t>
        </is>
      </c>
      <c r="K2283" t="n">
        <v>1</v>
      </c>
      <c r="L2283" t="n">
        <v>1</v>
      </c>
      <c r="M2283" t="n">
        <v>0</v>
      </c>
      <c r="N2283" t="n">
        <v>0</v>
      </c>
      <c r="O2283" t="n">
        <v>1</v>
      </c>
      <c r="P2283">
        <f>HYPERLINK("https://www.acritica.com/opiniao/no-caminho-1.217179", "URL")</f>
        <v/>
      </c>
      <c r="Q2283">
        <f>HYPERLINK("https://raw.githubusercontent.com/marcosmapl/dataset_imigrantes/main/materias_filtered/a_critica/venezuelanos/2018/01_fev/html/1.217179_298.html", "HTML")</f>
        <v/>
      </c>
      <c r="R2283">
        <f>HYPERLINK("https://raw.githubusercontent.com/marcosmapl/dataset_imigrantes/main/materias_filtered/a_critica/venezuelanos/2018/01_fev/txt/1.217179_298.txt", "TXT")</f>
        <v/>
      </c>
    </row>
    <row r="2284">
      <c r="A2284" s="1" t="n">
        <v>2282</v>
      </c>
      <c r="B2284" t="n">
        <v>2018</v>
      </c>
      <c r="C2284" s="2" t="n">
        <v>43148.95383206019</v>
      </c>
      <c r="D2284" t="inlineStr">
        <is>
          <t>G1</t>
        </is>
      </c>
      <c r="E2284" t="inlineStr">
        <is>
          <t>VENEZUELANOS</t>
        </is>
      </c>
      <c r="F2284" t="inlineStr">
        <is>
          <t>RORAIMA</t>
        </is>
      </c>
      <c r="G2284" t="inlineStr">
        <is>
          <t>MARCELO MARQUES, G1 RR</t>
        </is>
      </c>
      <c r="H2284" t="inlineStr">
        <is>
          <t>PASTOR DIZ TER SIDO ATACADO POR TRAVESTIS VENEZUELANAS COM PRODUTO QUÍMICO EM RR</t>
        </is>
      </c>
      <c r="I2284" t="inlineStr">
        <is>
          <t>ESTE É O TERCEIRO ATAQUE COM PRODUTOS QUÍMICOS REGISTRADO NA CAPITAL EM TRÊS MESES.</t>
        </is>
      </c>
      <c r="J2284" t="inlineStr"/>
      <c r="K2284" t="n">
        <v>0</v>
      </c>
      <c r="L2284" t="n">
        <v>1</v>
      </c>
      <c r="M2284" t="n">
        <v>0</v>
      </c>
      <c r="N2284" t="n">
        <v>0</v>
      </c>
      <c r="O2284" t="n">
        <v>2</v>
      </c>
      <c r="P2284">
        <f>HYPERLINK("https://g1.globo.com/rr/roraima/noticia/travestis-venezuelanos-atacam-pastor-com-produto-quimico-durante-assalto-em-rr.ghtml", "URL")</f>
        <v/>
      </c>
      <c r="Q2284">
        <f>HYPERLINK("https://raw.githubusercontent.com/marcosmapl/dataset_imigrantes/main/materias_filtered/g1/venezuelanos/2018/01_fev/html/g1_b92ac3f2-230d-11ed-b24f-6dbe51e79fca_2703.html", "HTML")</f>
        <v/>
      </c>
      <c r="R2284">
        <f>HYPERLINK("https://raw.githubusercontent.com/marcosmapl/dataset_imigrantes/main/materias_filtered/g1/venezuelanos/2018/01_fev/txt/g1_b92ac3f2-230d-11ed-b24f-6dbe51e79fca_2703.txt", "TXT")</f>
        <v/>
      </c>
    </row>
    <row r="2285">
      <c r="A2285" s="1" t="n">
        <v>2283</v>
      </c>
      <c r="B2285" t="n">
        <v>2018</v>
      </c>
      <c r="C2285" s="2" t="n">
        <v>43147.97539446759</v>
      </c>
      <c r="D2285" t="inlineStr">
        <is>
          <t>G1</t>
        </is>
      </c>
      <c r="E2285" t="inlineStr">
        <is>
          <t>VENEZUELANOS</t>
        </is>
      </c>
      <c r="F2285" t="inlineStr">
        <is>
          <t>RORAIMA</t>
        </is>
      </c>
      <c r="G2285" t="inlineStr">
        <is>
          <t>G1 RR</t>
        </is>
      </c>
      <c r="H2285" t="inlineStr">
        <is>
          <t>EXAMES DESCARTAM SARAMPO EM DUAS CRIANÇAS VENEZUELANAS EM RR, DIZ SAÚDE</t>
        </is>
      </c>
      <c r="I2285" t="inlineStr">
        <is>
          <t>CASOS ESTAVAM SOB SUSPEITA. UMA BEBÊ VENEZUELANA FOI DIAGNOSTICADA COM A DOENÇA EM BOA VISTA.</t>
        </is>
      </c>
      <c r="J2285" t="inlineStr"/>
      <c r="K2285" t="n">
        <v>0</v>
      </c>
      <c r="L2285" t="n">
        <v>1</v>
      </c>
      <c r="M2285" t="n">
        <v>0</v>
      </c>
      <c r="N2285" t="n">
        <v>0</v>
      </c>
      <c r="O2285" t="n">
        <v>3</v>
      </c>
      <c r="P2285">
        <f>HYPERLINK("https://g1.globo.com/rr/roraima/noticia/exames-descartam-sarampo-em-duas-criancas-venezuelanas-em-rr-diz-saude.ghtml", "URL")</f>
        <v/>
      </c>
      <c r="Q2285">
        <f>HYPERLINK("https://raw.githubusercontent.com/marcosmapl/dataset_imigrantes/main/materias_filtered/g1/venezuelanos/2018/01_fev/html/g1_5ec6ccb8-2307-11ed-b24f-6dbe51e79fca_2314.html", "HTML")</f>
        <v/>
      </c>
      <c r="R2285">
        <f>HYPERLINK("https://raw.githubusercontent.com/marcosmapl/dataset_imigrantes/main/materias_filtered/g1/venezuelanos/2018/01_fev/txt/g1_5ec6ccb8-2307-11ed-b24f-6dbe51e79fca_2314.txt", "TXT")</f>
        <v/>
      </c>
    </row>
    <row r="2286">
      <c r="A2286" s="1" t="n">
        <v>2284</v>
      </c>
      <c r="B2286" t="n">
        <v>2018</v>
      </c>
      <c r="C2286" s="2" t="n">
        <v>43147.93194444444</v>
      </c>
      <c r="D2286" t="inlineStr">
        <is>
          <t>A CRITICA</t>
        </is>
      </c>
      <c r="E2286" t="inlineStr">
        <is>
          <t>VENEZUELANOS</t>
        </is>
      </c>
      <c r="F2286" t="inlineStr">
        <is>
          <t>ESPORTES</t>
        </is>
      </c>
      <c r="G2286" t="inlineStr">
        <is>
          <t>DENIR SIMPLÍCIO</t>
        </is>
      </c>
      <c r="H2286" t="inlineStr">
        <is>
          <t>JÁ CLASSIFICADO, FAST ESTREIA VENEZUELANOS EM DUELO CONTRA O AGONIZANTE NACIONAL</t>
        </is>
      </c>
      <c r="I2286" t="inlineStr">
        <is>
          <t>TRÊS DOS SEIS VENEZUELANOS CONTRATADOS PELO ROLO COMPRESSOR PARA O BAREZÃO 2018 DEVEM ESTREAR NO JOGO QUE ACONTECE ÀS 15H DESTE SÁBADO (17). LANTERNA DO GRUPO A, NAÇA AINDA SONHA COM CLASSIFICAÇÃO PARA A PRÓXIMA FASE</t>
        </is>
      </c>
      <c r="J2286" t="inlineStr"/>
      <c r="K2286" t="n">
        <v>0</v>
      </c>
      <c r="L2286" t="n">
        <v>1</v>
      </c>
      <c r="M2286" t="n">
        <v>0</v>
      </c>
      <c r="N2286" t="n">
        <v>0</v>
      </c>
      <c r="O2286" t="n">
        <v>1</v>
      </c>
      <c r="P2286">
        <f>HYPERLINK("https://www.acritica.com/esportes/ja-classificado-fast-estreia-venezuelanos-em-duelo-contra-o-agonizante-nacional-1.103344", "URL")</f>
        <v/>
      </c>
      <c r="Q2286">
        <f>HYPERLINK("https://raw.githubusercontent.com/marcosmapl/dataset_imigrantes/main/materias_filtered/a_critica/venezuelanos/2018/01_fev/html/1.103344_1346.html", "HTML")</f>
        <v/>
      </c>
      <c r="R2286">
        <f>HYPERLINK("https://raw.githubusercontent.com/marcosmapl/dataset_imigrantes/main/materias_filtered/a_critica/venezuelanos/2018/01_fev/txt/1.103344_1346.txt", "TXT")</f>
        <v/>
      </c>
    </row>
    <row r="2287">
      <c r="A2287" s="1" t="n">
        <v>2285</v>
      </c>
      <c r="B2287" t="n">
        <v>2018</v>
      </c>
      <c r="C2287" s="2" t="n">
        <v>43147.88322780093</v>
      </c>
      <c r="D2287" t="inlineStr">
        <is>
          <t>G1</t>
        </is>
      </c>
      <c r="E2287" t="inlineStr">
        <is>
          <t>VENEZUELANOS</t>
        </is>
      </c>
      <c r="F2287" t="inlineStr">
        <is>
          <t>RORAIMA</t>
        </is>
      </c>
      <c r="G2287" t="inlineStr">
        <is>
          <t>JACKSON FÉLIX, G1 RR</t>
        </is>
      </c>
      <c r="H2287" t="inlineStr">
        <is>
          <t>PROFISSIONAIS DA SAÚDE DE RORAIMA RECEBEM CAPACITAÇÃO APÓS CASO DE SARAMPO EM BEBÊ VENEZUELANA</t>
        </is>
      </c>
      <c r="I2287" t="inlineStr">
        <is>
          <t>CAPACITAÇÃO FAZ PARTE DO PLANO DE ENFRENTAMENTO DO SARAMPO NA CAPITAL. SAÚDE MUNICIPAL INVESTIGA DOIS NOVOS CASOS DA DOENÇA EM CRIANÇAS VENEZUELANAS.</t>
        </is>
      </c>
      <c r="J2287" t="inlineStr"/>
      <c r="K2287" t="n">
        <v>0</v>
      </c>
      <c r="L2287" t="n">
        <v>1</v>
      </c>
      <c r="M2287" t="n">
        <v>0</v>
      </c>
      <c r="N2287" t="n">
        <v>0</v>
      </c>
      <c r="O2287" t="n">
        <v>2</v>
      </c>
      <c r="P2287">
        <f>HYPERLINK("https://g1.globo.com/rr/roraima/noticia/profissionais-da-saude-de-roraima-recebem-capacitacao-apos-caso-de-sarampo-em-bebe-venezuelana.ghtml", "URL")</f>
        <v/>
      </c>
      <c r="Q2287">
        <f>HYPERLINK("https://raw.githubusercontent.com/marcosmapl/dataset_imigrantes/main/materias_filtered/g1/venezuelanos/2018/01_fev/html/g1_928f0f6a-2307-11ed-b24f-6dbe51e79fca_2327.html", "HTML")</f>
        <v/>
      </c>
      <c r="R2287">
        <f>HYPERLINK("https://raw.githubusercontent.com/marcosmapl/dataset_imigrantes/main/materias_filtered/g1/venezuelanos/2018/01_fev/txt/g1_928f0f6a-2307-11ed-b24f-6dbe51e79fca_2327.txt", "TXT")</f>
        <v/>
      </c>
    </row>
    <row r="2288">
      <c r="A2288" s="1" t="n">
        <v>2286</v>
      </c>
      <c r="B2288" t="n">
        <v>2018</v>
      </c>
      <c r="C2288" s="2" t="n">
        <v>43147.34978520833</v>
      </c>
      <c r="D2288" t="inlineStr">
        <is>
          <t>G1</t>
        </is>
      </c>
      <c r="E2288" t="inlineStr">
        <is>
          <t>HAITIANOS</t>
        </is>
      </c>
      <c r="F2288" t="inlineStr">
        <is>
          <t>MUNDO</t>
        </is>
      </c>
      <c r="G2288" t="inlineStr">
        <is>
          <t>FRANCE PRESSE</t>
        </is>
      </c>
      <c r="H2288" t="inlineStr">
        <is>
          <t>OXFAM REVELA PLANO DE AÇÃO APÓS ESCÂNDALO SEXUAL</t>
        </is>
      </c>
      <c r="I2288" t="inlineStr">
        <is>
          <t>IMPRENSA BRITÂNICA AFIRMA QUE FUNCIONÁRIOS DA ONG CONTRATARAM PROSTITUTAS NO HAITI APÓS O TERREMOTO DE 2010. OXFAM VAI AMPLIAR INVESTIMENTO NA FORMAÇÃO SOBRE QUESTÕES DE GÊNERO.</t>
        </is>
      </c>
      <c r="J2288" t="inlineStr"/>
      <c r="K2288" t="n">
        <v>0</v>
      </c>
      <c r="L2288" t="n">
        <v>1</v>
      </c>
      <c r="M2288" t="n">
        <v>0</v>
      </c>
      <c r="N2288" t="n">
        <v>0</v>
      </c>
      <c r="O2288" t="n">
        <v>2</v>
      </c>
      <c r="P2288">
        <f>HYPERLINK("https://g1.globo.com/mundo/noticia/oxfam-revela-plano-de-acao-apos-escandalo-sexual.ghtml", "URL")</f>
        <v/>
      </c>
      <c r="Q2288">
        <f>HYPERLINK("https://raw.githubusercontent.com/marcosmapl/dataset_imigrantes/main/materias_filtered/g1/haitianos/2018/01_fev/html/g1_762d773c-2323-11ed-b24f-6dbe51e79fca_3809.html", "HTML")</f>
        <v/>
      </c>
      <c r="R2288">
        <f>HYPERLINK("https://raw.githubusercontent.com/marcosmapl/dataset_imigrantes/main/materias_filtered/g1/haitianos/2018/01_fev/txt/g1_762d773c-2323-11ed-b24f-6dbe51e79fca_3809.txt", "TXT")</f>
        <v/>
      </c>
    </row>
    <row r="2289">
      <c r="A2289" s="1" t="n">
        <v>2287</v>
      </c>
      <c r="B2289" t="n">
        <v>2018</v>
      </c>
      <c r="C2289" s="2" t="n">
        <v>43146.92501857639</v>
      </c>
      <c r="D2289" t="inlineStr">
        <is>
          <t>G1</t>
        </is>
      </c>
      <c r="E2289" t="inlineStr">
        <is>
          <t>VENEZUELANOS</t>
        </is>
      </c>
      <c r="F2289" t="inlineStr">
        <is>
          <t>RORAIMA</t>
        </is>
      </c>
      <c r="G2289" t="inlineStr">
        <is>
          <t>JACKSON FÉLIX, G1 RR</t>
        </is>
      </c>
      <c r="H2289" t="inlineStr">
        <is>
          <t>SAÚDE DE BOA VISTA INVESTIGA DOIS NOVOS CASOS SUSPEITOS DE SARAMPO EM CRIANÇAS VENEZUELANAS</t>
        </is>
      </c>
      <c r="I2289" t="inlineStr">
        <is>
          <t>HÁ DOIS DIAS PREFEITURA CONFIRMOU CASO DA DOENÇA EM UMA BEBÊ DE 1 ANO. PACIENTES ESTÃO INTERNADOS EM ÁREA DE ISOLAMENTO E SAÚDE MUNICIPAL FAZ AÇÃO DE IMUNIZAÇÃO EM LOCAIS ONDE VIVEM OS VENEZUELANOS.</t>
        </is>
      </c>
      <c r="J2289" t="inlineStr"/>
      <c r="K2289" t="n">
        <v>0</v>
      </c>
      <c r="L2289" t="n">
        <v>2</v>
      </c>
      <c r="M2289" t="n">
        <v>0</v>
      </c>
      <c r="N2289" t="n">
        <v>0</v>
      </c>
      <c r="O2289" t="n">
        <v>3</v>
      </c>
      <c r="P2289">
        <f>HYPERLINK("https://g1.globo.com/rr/roraima/noticia/saude-de-boa-vista-investiga-outros-dois-casos-de-suspeita-de-sarampo-em-criancas-venezuelanas.ghtml", "URL")</f>
        <v/>
      </c>
      <c r="Q2289">
        <f>HYPERLINK("https://raw.githubusercontent.com/marcosmapl/dataset_imigrantes/main/materias_filtered/g1/venezuelanos/2018/01_fev/html/g1_317a8f8a-231e-11ed-b24f-6dbe51e79fca_3547.html", "HTML")</f>
        <v/>
      </c>
      <c r="R2289">
        <f>HYPERLINK("https://raw.githubusercontent.com/marcosmapl/dataset_imigrantes/main/materias_filtered/g1/venezuelanos/2018/01_fev/txt/g1_317a8f8a-231e-11ed-b24f-6dbe51e79fca_3547.txt", "TXT")</f>
        <v/>
      </c>
    </row>
    <row r="2290">
      <c r="A2290" s="1" t="n">
        <v>2288</v>
      </c>
      <c r="B2290" t="n">
        <v>2018</v>
      </c>
      <c r="C2290" s="2" t="n">
        <v>43146.49410879629</v>
      </c>
      <c r="D2290" t="inlineStr">
        <is>
          <t>A CRITICA</t>
        </is>
      </c>
      <c r="E2290" t="inlineStr">
        <is>
          <t>VENEZUELANOS</t>
        </is>
      </c>
      <c r="F2290" t="inlineStr"/>
      <c r="G2290" t="inlineStr">
        <is>
          <t>MARCELO BRANDÃO (AGÊNCIA BRASIL)</t>
        </is>
      </c>
      <c r="H2290" t="inlineStr">
        <is>
          <t>REDISTRIBUIÇÃO DE VENEZUELANOS PARA OUTROS ESTADOS DO PAÍS COMEÇA EM MARÇO</t>
        </is>
      </c>
      <c r="I2290" t="inlineStr">
        <is>
          <t>IMIGRANTES ESTÃO INSTALADOS EM RORAIMA VINDOS REFUGIADOS DO PAÍS VIZINHO E FUGINDO DA CRISE NA TERRA NATAL</t>
        </is>
      </c>
      <c r="J2290" t="inlineStr"/>
      <c r="K2290" t="n">
        <v>0</v>
      </c>
      <c r="L2290" t="n">
        <v>1</v>
      </c>
      <c r="M2290" t="n">
        <v>0</v>
      </c>
      <c r="N2290" t="n">
        <v>0</v>
      </c>
      <c r="O2290" t="n">
        <v>0</v>
      </c>
      <c r="P2290">
        <f>HYPERLINK("https://www.acritica.com/redistribuic-o-de-venezuelanos-para-outros-estados-do-pais-comeca-em-marco-1.103416", "URL")</f>
        <v/>
      </c>
      <c r="Q2290">
        <f>HYPERLINK("https://raw.githubusercontent.com/marcosmapl/dataset_imigrantes/main/materias_filtered/a_critica/venezuelanos/2018/01_fev/html/1.103416_232.html", "HTML")</f>
        <v/>
      </c>
      <c r="R2290">
        <f>HYPERLINK("https://raw.githubusercontent.com/marcosmapl/dataset_imigrantes/main/materias_filtered/a_critica/venezuelanos/2018/01_fev/txt/1.103416_232.txt", "TXT")</f>
        <v/>
      </c>
    </row>
    <row r="2291">
      <c r="A2291" s="1" t="n">
        <v>2289</v>
      </c>
      <c r="B2291" t="n">
        <v>2018</v>
      </c>
      <c r="C2291" s="2" t="n">
        <v>43146.49236111111</v>
      </c>
      <c r="D2291" t="inlineStr">
        <is>
          <t>PORTAL AMAZONIA</t>
        </is>
      </c>
      <c r="E2291" t="inlineStr">
        <is>
          <t>VENEZUELANOS</t>
        </is>
      </c>
      <c r="F2291" t="inlineStr">
        <is>
          <t>CIDADES</t>
        </is>
      </c>
      <c r="G2291" t="inlineStr">
        <is>
          <t>REDAÇÃO</t>
        </is>
      </c>
      <c r="H2291" t="inlineStr">
        <is>
          <t>CRIANÇA VENEZUELANA É HOSPITALIZADA COM SARAMPO EM RORAIMA</t>
        </is>
      </c>
      <c r="I2291" t="inlineStr">
        <is>
          <t>UMA MENINA VENEZUELANA DE UM ANO FOI HOSPITALIZADA ESTA SEMANA COM SARAMPO EM BOA VISTA, RORAIMA. ESTE É O PRIMEIRO CASO DA DOENÇA NO BRASIL DESDE 2015.A CRIANÇA ESTÁ INTERNADA NO HOSPITAL DA CRIANÇA SANTO ANTONIO DESDE DOMINGO (11), QUANDO FOI DIAGN</t>
        </is>
      </c>
      <c r="J2291" t="inlineStr">
        <is>
          <t>BOA VISTA, RORAIMA, SARAMPO, VENEZUELANOS</t>
        </is>
      </c>
      <c r="K2291" t="n">
        <v>4</v>
      </c>
      <c r="L2291" t="n">
        <v>2</v>
      </c>
      <c r="M2291" t="n">
        <v>0</v>
      </c>
      <c r="N2291" t="n">
        <v>0</v>
      </c>
      <c r="O2291" t="n">
        <v>9</v>
      </c>
      <c r="P2291">
        <f>HYPERLINK("https://portalamazonia.com/noticias/cidades/crianca-venezuelana-e-hospitalizada-com-sarampo-em-roraima", "URL")</f>
        <v/>
      </c>
      <c r="Q2291">
        <f>HYPERLINK("https://raw.githubusercontent.com/marcosmapl/dataset_imigrantes/main/materias_filtered/portal_amazonia/venezuelanos/2018/01_fev/html/12109.12109_1614.html", "HTML")</f>
        <v/>
      </c>
      <c r="R2291">
        <f>HYPERLINK("https://raw.githubusercontent.com/marcosmapl/dataset_imigrantes/main/materias_filtered/portal_amazonia/venezuelanos/2018/01_fev/txt/12109.12109_1614.txt", "TXT")</f>
        <v/>
      </c>
    </row>
    <row r="2292">
      <c r="A2292" s="1" t="n">
        <v>2290</v>
      </c>
      <c r="B2292" t="n">
        <v>2018</v>
      </c>
      <c r="C2292" s="2" t="n">
        <v>43145.74741898148</v>
      </c>
      <c r="D2292" t="inlineStr">
        <is>
          <t>A CRITICA</t>
        </is>
      </c>
      <c r="E2292" t="inlineStr">
        <is>
          <t>VENEZUELANOS</t>
        </is>
      </c>
      <c r="F2292" t="inlineStr"/>
      <c r="G2292" t="inlineStr">
        <is>
          <t>YARA AQUINO - AGÊNCIA BRASIL</t>
        </is>
      </c>
      <c r="H2292" t="inlineStr">
        <is>
          <t>GOVERNO VAI EDITAR MEDIDA PROVISÓRIA PARA INSTITUIR EMERGÊNCIA SOCIAL EM RORAIMA</t>
        </is>
      </c>
      <c r="I2292" t="inlineStr">
        <is>
          <t>A MEDIDA SERÁ PELO ALTO FLUXO DE MIGRAÇÃO DE VENEZUELANOS. AS FORÇAS ARMADAS PASSARÃO A COORDENAR TODA A AÇÃO E O EFETIVO MILITAR SERÁ DUPLICADO PASSANDO DE 100 PARA 200 HOMENS</t>
        </is>
      </c>
      <c r="J2292" t="inlineStr"/>
      <c r="K2292" t="n">
        <v>0</v>
      </c>
      <c r="L2292" t="n">
        <v>1</v>
      </c>
      <c r="M2292" t="n">
        <v>0</v>
      </c>
      <c r="N2292" t="n">
        <v>0</v>
      </c>
      <c r="O2292" t="n">
        <v>0</v>
      </c>
      <c r="P2292">
        <f>HYPERLINK("https://www.acritica.com/governo-vai-editar-medida-provisoria-para-instituir-emergencia-social-em-roraima-1.103591", "URL")</f>
        <v/>
      </c>
      <c r="Q2292">
        <f>HYPERLINK("https://raw.githubusercontent.com/marcosmapl/dataset_imigrantes/main/materias_filtered/a_critica/venezuelanos/2018/01_fev/html/1.103591_191.html", "HTML")</f>
        <v/>
      </c>
      <c r="R2292">
        <f>HYPERLINK("https://raw.githubusercontent.com/marcosmapl/dataset_imigrantes/main/materias_filtered/a_critica/venezuelanos/2018/01_fev/txt/1.103591_191.txt", "TXT")</f>
        <v/>
      </c>
    </row>
    <row r="2293">
      <c r="A2293" s="1" t="n">
        <v>2291</v>
      </c>
      <c r="B2293" t="n">
        <v>2018</v>
      </c>
      <c r="C2293" s="2" t="n">
        <v>43145.73747685185</v>
      </c>
      <c r="D2293" t="inlineStr">
        <is>
          <t>A CRITICA</t>
        </is>
      </c>
      <c r="E2293" t="inlineStr">
        <is>
          <t>VENEZUELANOS</t>
        </is>
      </c>
      <c r="F2293" t="inlineStr"/>
      <c r="G2293" t="inlineStr">
        <is>
          <t>YARA AQUINO (AGÊNCIA BRASIL)</t>
        </is>
      </c>
      <c r="H2293" t="inlineStr">
        <is>
          <t>GOVERNO QUER INSTITUIR EMERGÊNCIA SOCIAL EM RORAIMA DEVIDO IMIGRANTES VENEZUELANOS</t>
        </is>
      </c>
      <c r="I2293" t="inlineStr">
        <is>
          <t>FORÇAS ARMADAS PASSARÃO A COORDENAR AÇÕES HUMANITÁRIAS, QUE SERÃO DUPLICADAS DE 100 PARA 200 HOMENS</t>
        </is>
      </c>
      <c r="J2293" t="inlineStr"/>
      <c r="K2293" t="n">
        <v>0</v>
      </c>
      <c r="L2293" t="n">
        <v>1</v>
      </c>
      <c r="M2293" t="n">
        <v>0</v>
      </c>
      <c r="N2293" t="n">
        <v>0</v>
      </c>
      <c r="O2293" t="n">
        <v>0</v>
      </c>
      <c r="P2293">
        <f>HYPERLINK("https://www.acritica.com/governo-quer-instituir-emergencia-social-em-roraima-devido-imigrantes-venezuelanos-1.103593", "URL")</f>
        <v/>
      </c>
      <c r="Q2293">
        <f>HYPERLINK("https://raw.githubusercontent.com/marcosmapl/dataset_imigrantes/main/materias_filtered/a_critica/venezuelanos/2018/01_fev/html/1.103593_747.html", "HTML")</f>
        <v/>
      </c>
      <c r="R2293">
        <f>HYPERLINK("https://raw.githubusercontent.com/marcosmapl/dataset_imigrantes/main/materias_filtered/a_critica/venezuelanos/2018/01_fev/txt/1.103593_747.txt", "TXT")</f>
        <v/>
      </c>
    </row>
    <row r="2294">
      <c r="A2294" s="1" t="n">
        <v>2292</v>
      </c>
      <c r="B2294" t="n">
        <v>2018</v>
      </c>
      <c r="C2294" s="2" t="n">
        <v>43145.61666666667</v>
      </c>
      <c r="D2294" t="inlineStr">
        <is>
          <t>PORTAL AMAZONIA</t>
        </is>
      </c>
      <c r="E2294" t="inlineStr">
        <is>
          <t>VENEZUELANOS</t>
        </is>
      </c>
      <c r="F2294" t="inlineStr">
        <is>
          <t>CIDADES</t>
        </is>
      </c>
      <c r="G2294" t="inlineStr">
        <is>
          <t>REDAÇÃO</t>
        </is>
      </c>
      <c r="H2294" t="inlineStr">
        <is>
          <t>REFORÇO NA FRONTEIRA: FORÇA NACIONAL DE SEGURANÇA CHEGA A RORAIMA</t>
        </is>
      </c>
      <c r="I2294" t="inlineStr">
        <is>
          <t>AGENTES DA FORÇA NACIONAL DE SEGURANÇA DESEMBARCARAM EM RORAIMA NA MADRUGADA DESTA QUARTA-FEIRA (14), APÓS DETERMINAÇÃO DO PRESIDENTE MICHEL TEMER (PMDB) DE REFORÇAR O POLICIAMENTO NA CIDADE DE PACARAIMA, NA FRONTEIRA COM A VENEZUELA.A MEDIDA FOI ANU</t>
        </is>
      </c>
      <c r="J2294" t="inlineStr">
        <is>
          <t>FORCA NACIONAL DE SEGURANCA, FRONTEIRA, IMIGRANTES, MICHEL TEMER, PACARAIMA, RORAIMA, SEGURANÇA, VENEZUELA, VENEZUELANOS</t>
        </is>
      </c>
      <c r="K2294" t="n">
        <v>9</v>
      </c>
      <c r="L2294" t="n">
        <v>2</v>
      </c>
      <c r="M2294" t="n">
        <v>0</v>
      </c>
      <c r="N2294" t="n">
        <v>0</v>
      </c>
      <c r="O2294" t="n">
        <v>14</v>
      </c>
      <c r="P2294">
        <f>HYPERLINK("https://portalamazonia.com/noticias/cidades/reforco-na-fronteira-forca-nacional-de-seguranca-chega-a-roraima", "URL")</f>
        <v/>
      </c>
      <c r="Q2294">
        <f>HYPERLINK("https://raw.githubusercontent.com/marcosmapl/dataset_imigrantes/main/materias_filtered/portal_amazonia/venezuelanos/2018/01_fev/html/12097.12097_1513.html", "HTML")</f>
        <v/>
      </c>
      <c r="R2294">
        <f>HYPERLINK("https://raw.githubusercontent.com/marcosmapl/dataset_imigrantes/main/materias_filtered/portal_amazonia/venezuelanos/2018/01_fev/txt/12097.12097_1513.txt", "TXT")</f>
        <v/>
      </c>
    </row>
    <row r="2295">
      <c r="A2295" s="1" t="n">
        <v>2293</v>
      </c>
      <c r="B2295" t="n">
        <v>2018</v>
      </c>
      <c r="C2295" s="2" t="n">
        <v>43145.53624341435</v>
      </c>
      <c r="D2295" t="inlineStr">
        <is>
          <t>G1</t>
        </is>
      </c>
      <c r="E2295" t="inlineStr">
        <is>
          <t>HAITIANOS</t>
        </is>
      </c>
      <c r="F2295" t="inlineStr">
        <is>
          <t>MATO GROSSO</t>
        </is>
      </c>
      <c r="G2295" t="inlineStr">
        <is>
          <t>BRUNA BARBOSA, G1 MT</t>
        </is>
      </c>
      <c r="H2295" t="inlineStr">
        <is>
          <t>UNIVERSITÁRIO DÁ AULAS GRATUITAS DE PORTUGUÊS PARA IMIGRANTES HAITIANOS E SENEGALESES EM CUIABÁ</t>
        </is>
      </c>
      <c r="I2295" t="inlineStr">
        <is>
          <t>RAFAEL LIRA PARTICIPOU DE TRABALHOS VOLUNTÁRIOS NO HAITI EM 2013, QUANDO APRENDEU O CRIOULO, IDIOMA FALADO NO PAÍS. PARA ELE, DIFICULDADES COM O IDIOMA É PRINCIPAL BARREIRA DOS IMIGRANTES.</t>
        </is>
      </c>
      <c r="J2295" t="inlineStr"/>
      <c r="K2295" t="n">
        <v>0</v>
      </c>
      <c r="L2295" t="n">
        <v>2</v>
      </c>
      <c r="M2295" t="n">
        <v>0</v>
      </c>
      <c r="N2295" t="n">
        <v>0</v>
      </c>
      <c r="O2295" t="n">
        <v>0</v>
      </c>
      <c r="P2295">
        <f>HYPERLINK("https://g1.globo.com/mt/mato-grosso/noticia/universitario-da-aulas-gratuitas-de-portugues-para-imigrantes-haitianos-e-senegaleses-em-cuiaba.ghtml", "URL")</f>
        <v/>
      </c>
      <c r="Q2295">
        <f>HYPERLINK("https://raw.githubusercontent.com/marcosmapl/dataset_imigrantes/main/materias_filtered/g1/haitianos/2018/01_fev/html/g1_83e95fb6-22f7-11ed-b24f-6dbe51e79fca_2084.html", "HTML")</f>
        <v/>
      </c>
      <c r="R2295">
        <f>HYPERLINK("https://raw.githubusercontent.com/marcosmapl/dataset_imigrantes/main/materias_filtered/g1/haitianos/2018/01_fev/txt/g1_83e95fb6-22f7-11ed-b24f-6dbe51e79fca_2084.txt", "TXT")</f>
        <v/>
      </c>
    </row>
    <row r="2296">
      <c r="A2296" s="1" t="n">
        <v>2294</v>
      </c>
      <c r="B2296" t="n">
        <v>2018</v>
      </c>
      <c r="C2296" s="2" t="n">
        <v>43144.82747871528</v>
      </c>
      <c r="D2296" t="inlineStr">
        <is>
          <t>G1</t>
        </is>
      </c>
      <c r="E2296" t="inlineStr">
        <is>
          <t>VENEZUELANOS</t>
        </is>
      </c>
      <c r="F2296" t="inlineStr">
        <is>
          <t>RORAIMA</t>
        </is>
      </c>
      <c r="G2296" t="inlineStr">
        <is>
          <t>ALAN CHAVES, G1 RR</t>
        </is>
      </c>
      <c r="H2296" t="inlineStr">
        <is>
          <t>BEBÊ VENEZUELANA É DIAGNOSTICADA COM SARAMPO E ESTÁ INTERNADA NO HOSPITAL DA CRIANÇA EM BOA VISTA</t>
        </is>
      </c>
      <c r="I2296" t="inlineStr">
        <is>
          <t>PREFEITURA DA CAPITAL DÁ INÍCIO A 'BLOQUEIO VACINAL' A IMIGRANTES. ÚLTIMO CASO REGISTRADO DA DOENÇA EM RORAIMA OCORREU EM 2015.</t>
        </is>
      </c>
      <c r="J2296" t="inlineStr"/>
      <c r="K2296" t="n">
        <v>0</v>
      </c>
      <c r="L2296" t="n">
        <v>2</v>
      </c>
      <c r="M2296" t="n">
        <v>0</v>
      </c>
      <c r="N2296" t="n">
        <v>0</v>
      </c>
      <c r="O2296" t="n">
        <v>4</v>
      </c>
      <c r="P2296">
        <f>HYPERLINK("https://g1.globo.com/rr/roraima/noticia/bebe-venezuelana-e-diagnosticada-com-sarampo-e-esta-internada-no-hospital-da-crianca-em-boa-vista.ghtml", "URL")</f>
        <v/>
      </c>
      <c r="Q2296">
        <f>HYPERLINK("https://raw.githubusercontent.com/marcosmapl/dataset_imigrantes/main/materias_filtered/g1/venezuelanos/2018/01_fev/html/g1_fec75dc0-2313-11ed-b24f-6dbe51e79fca_3038.html", "HTML")</f>
        <v/>
      </c>
      <c r="R2296">
        <f>HYPERLINK("https://raw.githubusercontent.com/marcosmapl/dataset_imigrantes/main/materias_filtered/g1/venezuelanos/2018/01_fev/txt/g1_fec75dc0-2313-11ed-b24f-6dbe51e79fca_3038.txt", "TXT")</f>
        <v/>
      </c>
    </row>
    <row r="2297">
      <c r="A2297" s="1" t="n">
        <v>2295</v>
      </c>
      <c r="B2297" t="n">
        <v>2018</v>
      </c>
      <c r="C2297" s="2" t="n">
        <v>43144.57690972222</v>
      </c>
      <c r="D2297" t="inlineStr">
        <is>
          <t>A CRITICA</t>
        </is>
      </c>
      <c r="E2297" t="inlineStr">
        <is>
          <t>VENEZUELANOS</t>
        </is>
      </c>
      <c r="F2297" t="inlineStr"/>
      <c r="G2297" t="inlineStr">
        <is>
          <t>PAULO VICTOR CHAGAS (AGÊNCIA BRASIL)</t>
        </is>
      </c>
      <c r="H2297" t="inlineStr">
        <is>
          <t>GOVERNO VAI EMPREGAR MÉDICOS VENEZUELANOS PARA QUE ATENDAM COMPATRIOTAS NO BRASIL</t>
        </is>
      </c>
      <c r="I2297" t="inlineStr">
        <is>
          <t>EFETIVO DOS PELOTÕES DE FRONTEIRA E OS POSTOS DE CONTROLE DEVE DOBRAR, SEGUNDO O GOVERNO FEDERAL. EM BOA VISTA (RR) JÁ EXISTEM MAIS DE 40 MIL VENEZUELANOS, NÚMERO QUE REPRESENTA MAIS DE 10% DA POPULAÇÃO LOCAL</t>
        </is>
      </c>
      <c r="J2297" t="inlineStr"/>
      <c r="K2297" t="n">
        <v>0</v>
      </c>
      <c r="L2297" t="n">
        <v>1</v>
      </c>
      <c r="M2297" t="n">
        <v>0</v>
      </c>
      <c r="N2297" t="n">
        <v>0</v>
      </c>
      <c r="O2297" t="n">
        <v>0</v>
      </c>
      <c r="P2297">
        <f>HYPERLINK("https://www.acritica.com/governo-vai-empregar-medicos-venezuelanos-para-que-atendam-compatriotas-no-brasil-1.96786", "URL")</f>
        <v/>
      </c>
      <c r="Q2297">
        <f>HYPERLINK("https://raw.githubusercontent.com/marcosmapl/dataset_imigrantes/main/materias_filtered/a_critica/venezuelanos/2018/01_fev/html/1.96786_491.html", "HTML")</f>
        <v/>
      </c>
      <c r="R2297">
        <f>HYPERLINK("https://raw.githubusercontent.com/marcosmapl/dataset_imigrantes/main/materias_filtered/a_critica/venezuelanos/2018/01_fev/txt/1.96786_491.txt", "TXT")</f>
        <v/>
      </c>
    </row>
    <row r="2298">
      <c r="A2298" s="1" t="n">
        <v>2296</v>
      </c>
      <c r="B2298" t="n">
        <v>2018</v>
      </c>
      <c r="C2298" s="2" t="n">
        <v>43143.71319444444</v>
      </c>
      <c r="D2298" t="inlineStr">
        <is>
          <t>PORTAL AMAZONIA</t>
        </is>
      </c>
      <c r="E2298" t="inlineStr">
        <is>
          <t>VENEZUELANOS</t>
        </is>
      </c>
      <c r="F2298" t="inlineStr">
        <is>
          <t>CIDADES</t>
        </is>
      </c>
      <c r="G2298" t="inlineStr">
        <is>
          <t>REDAÇÃO</t>
        </is>
      </c>
      <c r="H2298" t="inlineStr">
        <is>
          <t>FORÇA-TAREFA IRÁ ACOMPANHAR FLUXO MIGRATÓRIO DE VENEZUELANOS PARA RR</t>
        </is>
      </c>
      <c r="I2298" t="inlineStr">
        <is>
          <t>O PRESIDENTE MICHEL TEMER (PMDB) ANUNCIOU NESTA SEGUNDA-FEIRA (12), DURANTE REUNIÃO REALIZADA NO PALÁCIO SENADOR HÉLIO CAMPOS, SEDE DO GOVERNO ESTADUAL, EM BOA VISTA, A CRIAÇÃO DE FORÇA-TAREFA E COORDENAÇÃO NACIONAL PARA ACOMPANHAR A IMIGRAÇÃO EM MAS</t>
        </is>
      </c>
      <c r="J2298" t="inlineStr">
        <is>
          <t>AJUDA, BOA VISTA, CRISE, IMIGRANTES, MEDIDA PROVISORIA, MICHEL TEMER, PRESIDENTE, RORAIMA, VENEZUELA, VENEZUELANOS</t>
        </is>
      </c>
      <c r="K2298" t="n">
        <v>10</v>
      </c>
      <c r="L2298" t="n">
        <v>2</v>
      </c>
      <c r="M2298" t="n">
        <v>0</v>
      </c>
      <c r="N2298" t="n">
        <v>0</v>
      </c>
      <c r="O2298" t="n">
        <v>15</v>
      </c>
      <c r="P2298">
        <f>HYPERLINK("https://portalamazonia.com/noticias/cidades/forca-tarefa-ira-acompanhar-fluxo-migratorio-de-venezuelanos-para-rr", "URL")</f>
        <v/>
      </c>
      <c r="Q2298">
        <f>HYPERLINK("https://raw.githubusercontent.com/marcosmapl/dataset_imigrantes/main/materias_filtered/portal_amazonia/venezuelanos/2018/01_fev/html/12058.12058_1551.html", "HTML")</f>
        <v/>
      </c>
      <c r="R2298">
        <f>HYPERLINK("https://raw.githubusercontent.com/marcosmapl/dataset_imigrantes/main/materias_filtered/portal_amazonia/venezuelanos/2018/01_fev/txt/12058.12058_1551.txt", "TXT")</f>
        <v/>
      </c>
    </row>
    <row r="2299">
      <c r="A2299" s="1" t="n">
        <v>2297</v>
      </c>
      <c r="B2299" t="n">
        <v>2018</v>
      </c>
      <c r="C2299" s="2" t="n">
        <v>43143.54583333333</v>
      </c>
      <c r="D2299" t="inlineStr">
        <is>
          <t>PORTAL AMAZONIA</t>
        </is>
      </c>
      <c r="E2299" t="inlineStr">
        <is>
          <t>VENEZUELANOS</t>
        </is>
      </c>
      <c r="F2299" t="inlineStr">
        <is>
          <t>CIDADES</t>
        </is>
      </c>
      <c r="G2299" t="inlineStr">
        <is>
          <t>REDAÇÃO</t>
        </is>
      </c>
      <c r="H2299" t="inlineStr">
        <is>
          <t>PRESIDENTE TEMER DISCUTE IMIGRAÇÃO VENEZUELANA EM BOA VISTA</t>
        </is>
      </c>
      <c r="I2299" t="inlineStr">
        <is>
          <t>O PRESIDENTE MICHEL TEMER CHEGOU A BOA VISTA, ONDE TERÁ REUNIÃO NESTA SEGUNDA-FEIRA (12) COM A GOVERNADORA DE RORAIMA, SUELY CAMPOS, E COM A PREFEITA DA CAPITAL DE RORAIMA, TERESA SURITA. NA REUNIÃO, TEMER DEVE TRATAR, ENTRE OUTROS ASSUNTOS, DA IMIGR</t>
        </is>
      </c>
      <c r="J2299" t="inlineStr">
        <is>
          <t>BOA VISTA, CRISE ECONÔMICA, CRISE POLÍTICA, IMIGRANTES, INTERNACIONAL, MICHEL TEMER, REUNIÃO, RORAIMA, VENEZUELA, VENEZUELANOS</t>
        </is>
      </c>
      <c r="K2299" t="n">
        <v>10</v>
      </c>
      <c r="L2299" t="n">
        <v>2</v>
      </c>
      <c r="M2299" t="n">
        <v>0</v>
      </c>
      <c r="N2299" t="n">
        <v>0</v>
      </c>
      <c r="O2299" t="n">
        <v>15</v>
      </c>
      <c r="P2299">
        <f>HYPERLINK("https://portalamazonia.com/noticias/cidades/presidente-temer-discute-imigracao-venezuelana-em-boa-vista", "URL")</f>
        <v/>
      </c>
      <c r="Q2299">
        <f>HYPERLINK("https://raw.githubusercontent.com/marcosmapl/dataset_imigrantes/main/materias_filtered/portal_amazonia/venezuelanos/2018/01_fev/html/12046.12046_1457.html", "HTML")</f>
        <v/>
      </c>
      <c r="R2299">
        <f>HYPERLINK("https://raw.githubusercontent.com/marcosmapl/dataset_imigrantes/main/materias_filtered/portal_amazonia/venezuelanos/2018/01_fev/txt/12046.12046_1457.txt", "TXT")</f>
        <v/>
      </c>
    </row>
    <row r="2300">
      <c r="A2300" s="1" t="n">
        <v>2298</v>
      </c>
      <c r="B2300" t="n">
        <v>2018</v>
      </c>
      <c r="C2300" s="2" t="n">
        <v>43140.70888359954</v>
      </c>
      <c r="D2300" t="inlineStr">
        <is>
          <t>G1</t>
        </is>
      </c>
      <c r="E2300" t="inlineStr">
        <is>
          <t>VENEZUELANOS</t>
        </is>
      </c>
      <c r="F2300" t="inlineStr">
        <is>
          <t>RORAIMA</t>
        </is>
      </c>
      <c r="G2300" t="inlineStr">
        <is>
          <t>ALAN CHAVES, G1 RR</t>
        </is>
      </c>
      <c r="H2300" t="inlineStr">
        <is>
          <t>PAI DE CRIANÇA VENEZUELANA TEVE 36% DO CORPO QUEIMADO E SEGUE INTERNADO APÓS INCÊNDIO EM CASA DE IMIGRANTES EM RR</t>
        </is>
      </c>
      <c r="I2300" t="inlineStr">
        <is>
          <t>PAIS E MENINA DE 3 ANOS FICARAM QUEIMADOS APÓS A CASA ONDE ELES VIVEM PEGAR FOGO. CRIANÇA TEVE QUEIMADURAS DE 2º GRAU. POLÍCIA INVESTIGA SE INCÊNDIO FOI CRIMINOSO.</t>
        </is>
      </c>
      <c r="J2300" t="inlineStr"/>
      <c r="K2300" t="n">
        <v>0</v>
      </c>
      <c r="L2300" t="n">
        <v>3</v>
      </c>
      <c r="M2300" t="n">
        <v>2</v>
      </c>
      <c r="N2300" t="n">
        <v>0</v>
      </c>
      <c r="O2300" t="n">
        <v>2</v>
      </c>
      <c r="P2300">
        <f>HYPERLINK("https://g1.globo.com/rr/roraima/noticia/pai-de-crianca-venezuelana-teve-36-do-corpo-queimado-e-segue-internado-apos-incendio-em-casa-de-imigrantes-em-rr.ghtml", "URL")</f>
        <v/>
      </c>
      <c r="Q2300">
        <f>HYPERLINK("https://raw.githubusercontent.com/marcosmapl/dataset_imigrantes/main/materias_filtered/g1/venezuelanos/2018/01_fev/html/g1_923a051a-230c-11ed-b24f-6dbe51e79fca_2633.html", "HTML")</f>
        <v/>
      </c>
      <c r="R2300">
        <f>HYPERLINK("https://raw.githubusercontent.com/marcosmapl/dataset_imigrantes/main/materias_filtered/g1/venezuelanos/2018/01_fev/txt/g1_923a051a-230c-11ed-b24f-6dbe51e79fca_2633.txt", "TXT")</f>
        <v/>
      </c>
    </row>
    <row r="2301">
      <c r="A2301" s="1" t="n">
        <v>2299</v>
      </c>
      <c r="B2301" t="n">
        <v>2018</v>
      </c>
      <c r="C2301" s="2" t="n">
        <v>43139.84583333333</v>
      </c>
      <c r="D2301" t="inlineStr">
        <is>
          <t>PORTAL AMAZONIA</t>
        </is>
      </c>
      <c r="E2301" t="inlineStr">
        <is>
          <t>VENEZUELANOS</t>
        </is>
      </c>
      <c r="F2301" t="inlineStr">
        <is>
          <t>CIDADES</t>
        </is>
      </c>
      <c r="G2301" t="inlineStr">
        <is>
          <t>REDAÇÃO</t>
        </is>
      </c>
      <c r="H2301" t="inlineStr">
        <is>
          <t>&amp;QUOT;ATENDIMENTO A VENEZUELANOS É QUESTÃO NACIONAL&amp;QUOT;, DIZ JUNGMANN</t>
        </is>
      </c>
      <c r="I2301" t="inlineStr">
        <is>
          <t>O GOVERNO FEDERAL PROMETE AMPLIAR A AJUDA AO ESTADO DE RORAIMA EM BUSCA DE UMA SOLUÇÃO PARA OS PROBLEMAS DECORRENTES DA PRESENÇA DE UM GRANDE NÚMERO DE IMIGRANTES VENEZUELANOS NO ESTADO, PRINCIPALMENTE NA CAPITAL, BOA VISTA. A PREFEITURA ESTIMA QUE C</t>
        </is>
      </c>
      <c r="J2301" t="inlineStr">
        <is>
          <t>BOA VISTA, CRISE ECONÔMICA, CRISE POLÍTICA, IMIGRANTES, MINISTÉRIO DA DEFESA, RORAIMA, VENEZUELA, VENEZUELANOS</t>
        </is>
      </c>
      <c r="K2301" t="n">
        <v>8</v>
      </c>
      <c r="L2301" t="n">
        <v>3</v>
      </c>
      <c r="M2301" t="n">
        <v>0</v>
      </c>
      <c r="N2301" t="n">
        <v>0</v>
      </c>
      <c r="O2301" t="n">
        <v>13</v>
      </c>
      <c r="P2301">
        <f>HYPERLINK("https://portalamazonia.com/noticias/cidades/atendimento-a-venezuelanos-e-questao-nacional-diz-jungmann", "URL")</f>
        <v/>
      </c>
      <c r="Q2301">
        <f>HYPERLINK("https://raw.githubusercontent.com/marcosmapl/dataset_imigrantes/main/materias_filtered/portal_amazonia/venezuelanos/2018/01_fev/html/12010.12010_1519.html", "HTML")</f>
        <v/>
      </c>
      <c r="R2301">
        <f>HYPERLINK("https://raw.githubusercontent.com/marcosmapl/dataset_imigrantes/main/materias_filtered/portal_amazonia/venezuelanos/2018/01_fev/txt/12010.12010_1519.txt", "TXT")</f>
        <v/>
      </c>
    </row>
    <row r="2302">
      <c r="A2302" s="1" t="n">
        <v>2300</v>
      </c>
      <c r="B2302" t="n">
        <v>2018</v>
      </c>
      <c r="C2302" s="2" t="n">
        <v>43137.53333333333</v>
      </c>
      <c r="D2302" t="inlineStr">
        <is>
          <t>PORTAL AMAZONIA</t>
        </is>
      </c>
      <c r="E2302" t="inlineStr">
        <is>
          <t>VENEZUELANOS</t>
        </is>
      </c>
      <c r="F2302" t="inlineStr">
        <is>
          <t>CIDADES</t>
        </is>
      </c>
      <c r="G2302" t="inlineStr">
        <is>
          <t>REDAÇÃO</t>
        </is>
      </c>
      <c r="H2302" t="inlineStr">
        <is>
          <t>MINISTROS VÃO A RORAIMA AVALIAR SITUAÇÃO DE IMIGRANTES VENEZUELANOS</t>
        </is>
      </c>
      <c r="I2302" t="inlineStr">
        <is>
          <t>O MINISTRO DO DESENVOLVIMENTO SOCIAL, OSMAR TERRA, DISSE HOJE (6) QUE UMA COMITIVA DE MINISTROS VAI A RORAIMA AVALIAR A SITUAÇÃO DOS IMIGRANTES VENEZUELANOS QUE TÊM CRUZADO A FRONTEIRA E SE ESTABELECIDO NO BRASIL DEVIDO À CRISE POLÍTICO-ECONÔMICA NO</t>
        </is>
      </c>
      <c r="J2302" t="inlineStr">
        <is>
          <t>MINISTERIO DO DESENVOLVIMENTO SOCIAL, RORAIMA, VENEZUELA</t>
        </is>
      </c>
      <c r="K2302" t="n">
        <v>3</v>
      </c>
      <c r="L2302" t="n">
        <v>2</v>
      </c>
      <c r="M2302" t="n">
        <v>0</v>
      </c>
      <c r="N2302" t="n">
        <v>0</v>
      </c>
      <c r="O2302" t="n">
        <v>8</v>
      </c>
      <c r="P2302">
        <f>HYPERLINK("https://portalamazonia.com/noticias/cidades/ministros-vao-a-roraima-avaliar-situacao-de-imigrantes-venezuelanos", "URL")</f>
        <v/>
      </c>
      <c r="Q2302">
        <f>HYPERLINK("https://raw.githubusercontent.com/marcosmapl/dataset_imigrantes/main/materias_filtered/portal_amazonia/venezuelanos/2018/01_fev/html/11945.11945_1555.html", "HTML")</f>
        <v/>
      </c>
      <c r="R2302">
        <f>HYPERLINK("https://raw.githubusercontent.com/marcosmapl/dataset_imigrantes/main/materias_filtered/portal_amazonia/venezuelanos/2018/01_fev/txt/11945.11945_1555.txt", "TXT")</f>
        <v/>
      </c>
    </row>
    <row r="2303">
      <c r="A2303" s="1" t="n">
        <v>2301</v>
      </c>
      <c r="B2303" t="n">
        <v>2018</v>
      </c>
      <c r="C2303" s="2" t="n">
        <v>43137.37077935186</v>
      </c>
      <c r="D2303" t="inlineStr">
        <is>
          <t>G1</t>
        </is>
      </c>
      <c r="E2303" t="inlineStr">
        <is>
          <t>HAITIANOS</t>
        </is>
      </c>
      <c r="F2303" t="inlineStr">
        <is>
          <t>GOIÁS</t>
        </is>
      </c>
      <c r="G2303" t="inlineStr">
        <is>
          <t>MURILLO VELASCO, G1 GO</t>
        </is>
      </c>
      <c r="H2303" t="inlineStr">
        <is>
          <t>HAITIANO É MORTO A FACADAS ENQUANTO TRABALHAVA COMO GARI EM APARECIDA DE GOIÂNIA</t>
        </is>
      </c>
      <c r="I2303" t="inlineStr">
        <is>
          <t>YVENER JORISME, DE 45 ANOS, ORGANIZAVA SACOLAS DE LIXO PARA A COLETA QUANDO FOI ASSASSINADO; SEGUNDO A POLÍCIA CIVIL, CORPO FOI LEVADO PARA O IML DA CIDADE.</t>
        </is>
      </c>
      <c r="J2303" t="inlineStr"/>
      <c r="K2303" t="n">
        <v>0</v>
      </c>
      <c r="L2303" t="n">
        <v>0</v>
      </c>
      <c r="M2303" t="n">
        <v>0</v>
      </c>
      <c r="N2303" t="n">
        <v>0</v>
      </c>
      <c r="O2303" t="n">
        <v>1</v>
      </c>
      <c r="P2303">
        <f>HYPERLINK("https://g1.globo.com/go/goias/noticia/haitiano-e-morto-a-facadas-enquanto-trabalhava-como-gari-em-aparecida-de-goiania.ghtml", "URL")</f>
        <v/>
      </c>
      <c r="Q2303">
        <f>HYPERLINK("https://raw.githubusercontent.com/marcosmapl/dataset_imigrantes/main/materias_filtered/g1/haitianos/2018/01_fev/html/g1_6b7cc942-22f5-11ed-b24f-6dbe51e79fca_1948.html", "HTML")</f>
        <v/>
      </c>
      <c r="R2303">
        <f>HYPERLINK("https://raw.githubusercontent.com/marcosmapl/dataset_imigrantes/main/materias_filtered/g1/haitianos/2018/01_fev/txt/g1_6b7cc942-22f5-11ed-b24f-6dbe51e79fca_1948.txt", "TXT")</f>
        <v/>
      </c>
    </row>
    <row r="2304">
      <c r="A2304" s="1" t="n">
        <v>2302</v>
      </c>
      <c r="B2304" t="n">
        <v>2018</v>
      </c>
      <c r="C2304" s="2" t="n">
        <v>43131.7375</v>
      </c>
      <c r="D2304" t="inlineStr">
        <is>
          <t>PORTAL AMAZONIA</t>
        </is>
      </c>
      <c r="E2304" t="inlineStr">
        <is>
          <t>VENEZUELANOS</t>
        </is>
      </c>
      <c r="F2304" t="inlineStr">
        <is>
          <t>CIDADES</t>
        </is>
      </c>
      <c r="G2304" t="inlineStr">
        <is>
          <t>REDAÇÃO</t>
        </is>
      </c>
      <c r="H2304" t="inlineStr">
        <is>
          <t>GOVERNO FARÁ CENSO DE MIGRANTES VENEZUELANOS NO BRASIL</t>
        </is>
      </c>
      <c r="I2304" t="inlineStr">
        <is>
          <t>O GOVERNO FEDERAL DECIDIU REALIZAR UM CENSO DOS MIGRANTES VENEZUELANOS QUE ENTRARAM NO BRASIL EM RAZÃO DA CRISE POLÍTICA E ECONÔMICA NO PAÍS VIZINHO. DIANTE DAS INFORMAÇÕES DO LEVANTAMENTO, O PALÁCIO DO PLANALTO ANALISARÁ NOVAS MEDIDAS A SEREM TOMADA</t>
        </is>
      </c>
      <c r="J2304" t="inlineStr">
        <is>
          <t>BOA VISTA, CENSO, CRISE ECONÔMICA, CRISE POLÍTICA, GOVERNO FEDERAL, IMIGRANTES, INTERNACIONAL, PACARAIMA, VENEZUELA, VENEZUELANOS</t>
        </is>
      </c>
      <c r="K2304" t="n">
        <v>10</v>
      </c>
      <c r="L2304" t="n">
        <v>2</v>
      </c>
      <c r="M2304" t="n">
        <v>0</v>
      </c>
      <c r="N2304" t="n">
        <v>0</v>
      </c>
      <c r="O2304" t="n">
        <v>15</v>
      </c>
      <c r="P2304">
        <f>HYPERLINK("https://portalamazonia.com/noticias/cidades/governo-fara-censo-de-migrantes-venezuelanos-no-brasil", "URL")</f>
        <v/>
      </c>
      <c r="Q2304">
        <f>HYPERLINK("https://raw.githubusercontent.com/marcosmapl/dataset_imigrantes/main/materias_filtered/portal_amazonia/venezuelanos/2018/00_jan/html/11839.11839_1506.html", "HTML")</f>
        <v/>
      </c>
      <c r="R2304">
        <f>HYPERLINK("https://raw.githubusercontent.com/marcosmapl/dataset_imigrantes/main/materias_filtered/portal_amazonia/venezuelanos/2018/00_jan/txt/11839.11839_1506.txt", "TXT")</f>
        <v/>
      </c>
    </row>
    <row r="2305">
      <c r="A2305" s="1" t="n">
        <v>2303</v>
      </c>
      <c r="B2305" t="n">
        <v>2018</v>
      </c>
      <c r="C2305" s="2" t="n">
        <v>43131.67152777778</v>
      </c>
      <c r="D2305" t="inlineStr">
        <is>
          <t>A CRITICA</t>
        </is>
      </c>
      <c r="E2305" t="inlineStr">
        <is>
          <t>VENEZUELANOS</t>
        </is>
      </c>
      <c r="F2305" t="inlineStr"/>
      <c r="G2305" t="inlineStr">
        <is>
          <t>FERNANDO DINIZ -  AGÊNCIA BRASIL</t>
        </is>
      </c>
      <c r="H2305" t="inlineStr">
        <is>
          <t>GOVERNO FEDERAL DECIDE FAZER CENSO DE MIGRANTES VENEZUELANOS NO BRASIL</t>
        </is>
      </c>
      <c r="I2305" t="inlineStr">
        <is>
          <t>NO ANO PASSADO, FORAM REPASSADOS R$ 793 MIL PARA ABRIGOS DESTINADOS A MIGRANTES INDÍGENAS E NÃO INDÍGENAS. ALÉM DISSO, FORAM DESTINADAS 82 TONELADAS DE ALIMENTOS</t>
        </is>
      </c>
      <c r="J2305" t="inlineStr"/>
      <c r="K2305" t="n">
        <v>0</v>
      </c>
      <c r="L2305" t="n">
        <v>1</v>
      </c>
      <c r="M2305" t="n">
        <v>0</v>
      </c>
      <c r="N2305" t="n">
        <v>0</v>
      </c>
      <c r="O2305" t="n">
        <v>0</v>
      </c>
      <c r="P2305">
        <f>HYPERLINK("https://www.acritica.com/governo-federal-decide-fazer-censo-de-migrantes-venezuelanos-no-brasil-1.205558", "URL")</f>
        <v/>
      </c>
      <c r="Q2305">
        <f>HYPERLINK("https://raw.githubusercontent.com/marcosmapl/dataset_imigrantes/main/materias_filtered/a_critica/venezuelanos/2018/00_jan/html/1.205558_1087.html", "HTML")</f>
        <v/>
      </c>
      <c r="R2305">
        <f>HYPERLINK("https://raw.githubusercontent.com/marcosmapl/dataset_imigrantes/main/materias_filtered/a_critica/venezuelanos/2018/00_jan/txt/1.205558_1087.txt", "TXT")</f>
        <v/>
      </c>
    </row>
    <row r="2306">
      <c r="A2306" s="1" t="n">
        <v>2304</v>
      </c>
      <c r="B2306" t="n">
        <v>2018</v>
      </c>
      <c r="C2306" s="2" t="n">
        <v>43126.52986111111</v>
      </c>
      <c r="D2306" t="inlineStr">
        <is>
          <t>PORTAL AMAZONIA</t>
        </is>
      </c>
      <c r="E2306" t="inlineStr">
        <is>
          <t>HAITIANOS</t>
        </is>
      </c>
      <c r="F2306" t="inlineStr">
        <is>
          <t>CIDADES</t>
        </is>
      </c>
      <c r="G2306" t="inlineStr">
        <is>
          <t>REDAÇÃO</t>
        </is>
      </c>
      <c r="H2306" t="inlineStr">
        <is>
          <t>MP INVESTIGA SUPERFATURAMENTO DE GASTOS COM IMIGRANTES NO ACRE</t>
        </is>
      </c>
      <c r="I2306" t="inlineStr">
        <is>
          <t>O MINISTÉRIO PÚBLICO DO ACRE ABRIU INQUÉRITO PARA INVESTIGAR DENÚNCIA DE SUPERFATURAMENTO NA ALIMENTAÇÃO E NAS PASSAGENS FORNECIDAS PELO ESTADO AOS IMIGRANTES HAITIANOS E SENEGALESES.A MEDIDA FOI PUBLICADA NESTA SEMANA NO DIÁRIO ELETRÔNICO DO MINISTÉ</t>
        </is>
      </c>
      <c r="J2306" t="inlineStr">
        <is>
          <t>ACRE, HAITIANOS, IMIGRANTES, MINISTÉRIO PÚBLICO, SENEGALESES</t>
        </is>
      </c>
      <c r="K2306" t="n">
        <v>5</v>
      </c>
      <c r="L2306" t="n">
        <v>2</v>
      </c>
      <c r="M2306" t="n">
        <v>0</v>
      </c>
      <c r="N2306" t="n">
        <v>0</v>
      </c>
      <c r="O2306" t="n">
        <v>10</v>
      </c>
      <c r="P2306">
        <f>HYPERLINK("https://portalamazonia.com/noticias/cidades/mp-investiga-superfaturamento-de-gastos-com-imigrantes-no-acre", "URL")</f>
        <v/>
      </c>
      <c r="Q2306">
        <f>HYPERLINK("https://raw.githubusercontent.com/marcosmapl/dataset_imigrantes/main/materias_filtered/portal_amazonia/haitianos/2018/00_jan/html/11718.11718_1416.html", "HTML")</f>
        <v/>
      </c>
      <c r="R2306">
        <f>HYPERLINK("https://raw.githubusercontent.com/marcosmapl/dataset_imigrantes/main/materias_filtered/portal_amazonia/haitianos/2018/00_jan/txt/11718.11718_1416.txt", "TXT")</f>
        <v/>
      </c>
    </row>
    <row r="2307">
      <c r="A2307" s="1" t="n">
        <v>2305</v>
      </c>
      <c r="B2307" t="n">
        <v>2018</v>
      </c>
      <c r="C2307" s="2" t="n">
        <v>43124.58680555555</v>
      </c>
      <c r="D2307" t="inlineStr">
        <is>
          <t>A CRITICA</t>
        </is>
      </c>
      <c r="E2307" t="inlineStr">
        <is>
          <t>VENEZUELANOS</t>
        </is>
      </c>
      <c r="F2307" t="inlineStr">
        <is>
          <t>ESPORTES</t>
        </is>
      </c>
      <c r="G2307" t="inlineStr">
        <is>
          <t>DENIR SIMPLÍCIO</t>
        </is>
      </c>
      <c r="H2307" t="inlineStr">
        <is>
          <t>FAST CORRE CONTRA O TEMPO PELA LIBERAÇÃO DE ELENCO PARA ESTREIA NO BAREZÃO 2018</t>
        </is>
      </c>
      <c r="I2307" t="inlineStr">
        <is>
          <t>APÓS BOA PRÉ-TEMPORADA NA VENEZUELA, TIME DE PAULO MORGADO JÁ TEM BASE FORMADA, NO ENTANTO, DIRETORIA TENTA LIBERAR ATLETAS NO BID DA CBF ANTES DE JOGO CONTRA O PENAROL</t>
        </is>
      </c>
      <c r="J2307" t="inlineStr"/>
      <c r="K2307" t="n">
        <v>0</v>
      </c>
      <c r="L2307" t="n">
        <v>1</v>
      </c>
      <c r="M2307" t="n">
        <v>0</v>
      </c>
      <c r="N2307" t="n">
        <v>0</v>
      </c>
      <c r="O2307" t="n">
        <v>0</v>
      </c>
      <c r="P2307">
        <f>HYPERLINK("https://www.acritica.com/esportes/fast-corre-contra-o-tempo-pela-liberac-o-de-elenco-para-estreia-no-barez-o-2018-1.178491", "URL")</f>
        <v/>
      </c>
      <c r="Q2307">
        <f>HYPERLINK("https://raw.githubusercontent.com/marcosmapl/dataset_imigrantes/main/materias_filtered/a_critica/venezuelanos/2018/00_jan/html/1.178491_90.html", "HTML")</f>
        <v/>
      </c>
      <c r="R2307">
        <f>HYPERLINK("https://raw.githubusercontent.com/marcosmapl/dataset_imigrantes/main/materias_filtered/a_critica/venezuelanos/2018/00_jan/txt/1.178491_90.txt", "TXT")</f>
        <v/>
      </c>
    </row>
    <row r="2308">
      <c r="A2308" s="1" t="n">
        <v>2306</v>
      </c>
      <c r="B2308" t="n">
        <v>2018</v>
      </c>
      <c r="C2308" s="2" t="n">
        <v>43123.8125</v>
      </c>
      <c r="D2308" t="inlineStr">
        <is>
          <t>PORTAL AMAZONIA</t>
        </is>
      </c>
      <c r="E2308" t="inlineStr">
        <is>
          <t>VENEZUELANOS</t>
        </is>
      </c>
      <c r="F2308" t="inlineStr">
        <is>
          <t>CIDADES</t>
        </is>
      </c>
      <c r="G2308" t="inlineStr">
        <is>
          <t>REDAÇÃO</t>
        </is>
      </c>
      <c r="H2308" t="inlineStr">
        <is>
          <t>SUSPEITA DE FURTAR CELULAR EM RR, DUPLA PUBLICA SELFIE NO INSTAGRAM DA VÍTIMA</t>
        </is>
      </c>
      <c r="I2308" t="inlineStr">
        <is>
          <t>APÓS TER O CELULAR ROUBADO, UMA EMPRESÁRIA DE BOA VISTA, TEVE UMA SURPRESA NADA AGRADÁVEL AO ACESSAR AS REDES SOCIAIS: OS SUPOSTOS LADRÕES NÃO SÓ TIRARAM SELFIES COM TELEFONE DA VÍTIMA, COMO TAMBÉM PUBLICARAM UMA FOTO NO PERFIL DELA NO INSTAGRAM.FOTO</t>
        </is>
      </c>
      <c r="J2308" t="inlineStr">
        <is>
          <t>BOA VISTA, CIDADE, CRIME, FACEBOOK, FURTO, INSTAGRAM, POLICIA, REDES SOCIAIS, ROUBO, TELEFONE CELULAR, VENEZUELANOS</t>
        </is>
      </c>
      <c r="K2308" t="n">
        <v>11</v>
      </c>
      <c r="L2308" t="n">
        <v>2</v>
      </c>
      <c r="M2308" t="n">
        <v>0</v>
      </c>
      <c r="N2308" t="n">
        <v>0</v>
      </c>
      <c r="O2308" t="n">
        <v>16</v>
      </c>
      <c r="P2308">
        <f>HYPERLINK("https://portalamazonia.com/noticias/cidades/suspeita-de-furtar-celular-em-rr-dupla-publica-selfie-no-instagram-da-vitima", "URL")</f>
        <v/>
      </c>
      <c r="Q2308">
        <f>HYPERLINK("https://raw.githubusercontent.com/marcosmapl/dataset_imigrantes/main/materias_filtered/portal_amazonia/venezuelanos/2018/00_jan/html/11652.11652_1528.html", "HTML")</f>
        <v/>
      </c>
      <c r="R2308">
        <f>HYPERLINK("https://raw.githubusercontent.com/marcosmapl/dataset_imigrantes/main/materias_filtered/portal_amazonia/venezuelanos/2018/00_jan/txt/11652.11652_1528.txt", "TXT")</f>
        <v/>
      </c>
    </row>
    <row r="2309">
      <c r="A2309" s="1" t="n">
        <v>2307</v>
      </c>
      <c r="B2309" t="n">
        <v>2018</v>
      </c>
      <c r="C2309" s="2" t="n">
        <v>43123.53888888889</v>
      </c>
      <c r="D2309" t="inlineStr">
        <is>
          <t>A CRITICA</t>
        </is>
      </c>
      <c r="E2309" t="inlineStr">
        <is>
          <t>VENEZUELANOS</t>
        </is>
      </c>
      <c r="F2309" t="inlineStr"/>
      <c r="G2309" t="inlineStr">
        <is>
          <t>ACRÍTICA.COM</t>
        </is>
      </c>
      <c r="H2309" t="inlineStr">
        <is>
          <t>BAR DO CIPRIANO PROMOVE CARNAVAL SOLIDÁRIO EM PROL DO LAR BATISTA JANELL DOYLE</t>
        </is>
      </c>
      <c r="I2309" t="inlineStr">
        <is>
          <t>O EVENTO GRATUITO ACONTECE NO PRÓXIMO SÁBADO (27). QUEM QUISER, PODE AJUDAR COM ALIMENTOS NÃO-PERECÍVEIS OU LATAS DE LEITE</t>
        </is>
      </c>
      <c r="J2309" t="inlineStr"/>
      <c r="K2309" t="n">
        <v>0</v>
      </c>
      <c r="L2309" t="n">
        <v>1</v>
      </c>
      <c r="M2309" t="n">
        <v>0</v>
      </c>
      <c r="N2309" t="n">
        <v>0</v>
      </c>
      <c r="O2309" t="n">
        <v>0</v>
      </c>
      <c r="P2309">
        <f>HYPERLINK("https://www.acritica.com/bar-do-cipriano-promove-carnaval-solidario-em-prol-do-lar-batista-janell-doyle-1.178228", "URL")</f>
        <v/>
      </c>
      <c r="Q2309">
        <f>HYPERLINK("https://raw.githubusercontent.com/marcosmapl/dataset_imigrantes/main/materias_filtered/a_critica/venezuelanos/2018/00_jan/html/1.178228_835.html", "HTML")</f>
        <v/>
      </c>
      <c r="R2309">
        <f>HYPERLINK("https://raw.githubusercontent.com/marcosmapl/dataset_imigrantes/main/materias_filtered/a_critica/venezuelanos/2018/00_jan/txt/1.178228_835.txt", "TXT")</f>
        <v/>
      </c>
    </row>
    <row r="2310">
      <c r="A2310" s="1" t="n">
        <v>2308</v>
      </c>
      <c r="B2310" t="n">
        <v>2018</v>
      </c>
      <c r="C2310" s="2" t="n">
        <v>43118.52291666667</v>
      </c>
      <c r="D2310" t="inlineStr">
        <is>
          <t>A CRITICA</t>
        </is>
      </c>
      <c r="E2310" t="inlineStr">
        <is>
          <t>VENEZUELANOS</t>
        </is>
      </c>
      <c r="F2310" t="inlineStr">
        <is>
          <t>MANAUS</t>
        </is>
      </c>
      <c r="G2310" t="inlineStr">
        <is>
          <t>AMANDA GUIMARÃES</t>
        </is>
      </c>
      <c r="H2310" t="inlineStr">
        <is>
          <t>CRIMINOSOS QUE MATARAM AMAZONENSE NA VENEZUELA MONITORARAM COMBOIO DE TURISTAS</t>
        </is>
      </c>
      <c r="I2310" t="inlineStr">
        <is>
          <t>ANTES DE DAREM EMBOSCADA, ASSALTANTES SEGUIRAM CARROS DE BRASILEIROS NO PAÍS. O VEÍCULO DE AMAURY COSTA ERA O QUARTO DA FILA E FOI FECHADO POR DOIS CARROS NO MEIO DO CAMINHO</t>
        </is>
      </c>
      <c r="J2310" t="inlineStr"/>
      <c r="K2310" t="n">
        <v>0</v>
      </c>
      <c r="L2310" t="n">
        <v>1</v>
      </c>
      <c r="M2310" t="n">
        <v>0</v>
      </c>
      <c r="N2310" t="n">
        <v>0</v>
      </c>
      <c r="O2310" t="n">
        <v>2</v>
      </c>
      <c r="P2310">
        <f>HYPERLINK("https://www.acritica.com/manaus/criminosos-que-mataram-amazonense-na-venezuela-monitoraram-comboio-de-turistas-1.177467", "URL")</f>
        <v/>
      </c>
      <c r="Q2310">
        <f>HYPERLINK("https://raw.githubusercontent.com/marcosmapl/dataset_imigrantes/main/materias_filtered/a_critica/venezuelanos/2018/00_jan/html/1.177467_668.html", "HTML")</f>
        <v/>
      </c>
      <c r="R2310">
        <f>HYPERLINK("https://raw.githubusercontent.com/marcosmapl/dataset_imigrantes/main/materias_filtered/a_critica/venezuelanos/2018/00_jan/txt/1.177467_668.txt", "TXT")</f>
        <v/>
      </c>
    </row>
    <row r="2311">
      <c r="A2311" s="1" t="n">
        <v>2309</v>
      </c>
      <c r="B2311" t="n">
        <v>2018</v>
      </c>
      <c r="C2311" s="2" t="n">
        <v>43118.50972222222</v>
      </c>
      <c r="D2311" t="inlineStr">
        <is>
          <t>PORTAL AMAZONIA</t>
        </is>
      </c>
      <c r="E2311" t="inlineStr">
        <is>
          <t>VENEZUELANOS</t>
        </is>
      </c>
      <c r="F2311" t="inlineStr">
        <is>
          <t>CIDADES</t>
        </is>
      </c>
      <c r="G2311" t="inlineStr">
        <is>
          <t>REDAÇÃO</t>
        </is>
      </c>
      <c r="H2311" t="inlineStr">
        <is>
          <t>DIREITOS HUMANOS VERIFICA SITUAÇÃO DE VENEZUELANOS NO AM, PA E RR</t>
        </is>
      </c>
      <c r="I2311" t="inlineStr">
        <is>
          <t>O CONSELHO NACIONAL DOS DIREITOS HUMANOS (CNDH) ESTÁ EM MISSÃO PELOS ESTADOS DO PARÁ, AMAZONAS E RORAIMA, ATÉ 26 DE JANEIRO, VERIFICANDO A SITUAÇÃO DOS DIREITOS HUMANOS DOS IMIGRANTES VENEZUELANOS QUE TÊM INGRESSADO NO TERRITÓRIO BRASILEIRO</t>
        </is>
      </c>
      <c r="J2311" t="inlineStr">
        <is>
          <t>BELÉM, BOA VISTA, CNDH, DIREITOS HUMANOS, MANAUS, PACARAIMA, SANTARÉM, VENEZUELANOS</t>
        </is>
      </c>
      <c r="K2311" t="n">
        <v>8</v>
      </c>
      <c r="L2311" t="n">
        <v>3</v>
      </c>
      <c r="M2311" t="n">
        <v>0</v>
      </c>
      <c r="N2311" t="n">
        <v>0</v>
      </c>
      <c r="O2311" t="n">
        <v>13</v>
      </c>
      <c r="P2311">
        <f>HYPERLINK("https://portalamazonia.com/noticias/cidades/direitos-humanos-verifica-situacao-de-venezuelanos-no-am-pa-e-rr", "URL")</f>
        <v/>
      </c>
      <c r="Q2311">
        <f>HYPERLINK("https://raw.githubusercontent.com/marcosmapl/dataset_imigrantes/main/materias_filtered/portal_amazonia/venezuelanos/2018/00_jan/html/11527.11527_1444.html", "HTML")</f>
        <v/>
      </c>
      <c r="R2311">
        <f>HYPERLINK("https://raw.githubusercontent.com/marcosmapl/dataset_imigrantes/main/materias_filtered/portal_amazonia/venezuelanos/2018/00_jan/txt/11527.11527_1444.txt", "TXT")</f>
        <v/>
      </c>
    </row>
    <row r="2312">
      <c r="A2312" s="1" t="n">
        <v>2310</v>
      </c>
      <c r="B2312" t="n">
        <v>2018</v>
      </c>
      <c r="C2312" s="2" t="n">
        <v>43117.82152777778</v>
      </c>
      <c r="D2312" t="inlineStr">
        <is>
          <t>A CRITICA</t>
        </is>
      </c>
      <c r="E2312" t="inlineStr">
        <is>
          <t>VENEZUELANOS</t>
        </is>
      </c>
      <c r="F2312" t="inlineStr">
        <is>
          <t>MANAUS</t>
        </is>
      </c>
      <c r="G2312" t="inlineStr">
        <is>
          <t>OSWALDO NETO</t>
        </is>
      </c>
      <c r="H2312" t="inlineStr">
        <is>
          <t>CINCO SUSPEITOS DE ENVOLVIMENTO NA MORTE DE AMAZONENSE NA VENEZUELA SÃO DETIDOS</t>
        </is>
      </c>
      <c r="I2312" t="inlineStr">
        <is>
          <t>ENTRE OS DETIDOS ESTÁ UM ADOLESCENTE DE 16 ANOS, INFORMOU SECRETARIA ESTADUAL EXTRAORDINÁRIA DE GESTÃO INTERNACIONAL (SEEGI) DE RORAIMA</t>
        </is>
      </c>
      <c r="J2312" t="inlineStr"/>
      <c r="K2312" t="n">
        <v>0</v>
      </c>
      <c r="L2312" t="n">
        <v>1</v>
      </c>
      <c r="M2312" t="n">
        <v>0</v>
      </c>
      <c r="N2312" t="n">
        <v>0</v>
      </c>
      <c r="O2312" t="n">
        <v>2</v>
      </c>
      <c r="P2312">
        <f>HYPERLINK("https://www.acritica.com/manaus/cinco-suspeitos-de-envolvimento-na-morte-de-amazonense-na-venezuela-s-o-detidos-1.177518", "URL")</f>
        <v/>
      </c>
      <c r="Q2312">
        <f>HYPERLINK("https://raw.githubusercontent.com/marcosmapl/dataset_imigrantes/main/materias_filtered/a_critica/venezuelanos/2018/00_jan/html/1.177518_534.html", "HTML")</f>
        <v/>
      </c>
      <c r="R2312">
        <f>HYPERLINK("https://raw.githubusercontent.com/marcosmapl/dataset_imigrantes/main/materias_filtered/a_critica/venezuelanos/2018/00_jan/txt/1.177518_534.txt", "TXT")</f>
        <v/>
      </c>
    </row>
    <row r="2313">
      <c r="A2313" s="1" t="n">
        <v>2311</v>
      </c>
      <c r="B2313" t="n">
        <v>2018</v>
      </c>
      <c r="C2313" s="2" t="n">
        <v>43117.7125</v>
      </c>
      <c r="D2313" t="inlineStr">
        <is>
          <t>PORTAL AMAZONIA</t>
        </is>
      </c>
      <c r="E2313" t="inlineStr">
        <is>
          <t>VENEZUELANOS</t>
        </is>
      </c>
      <c r="F2313" t="inlineStr">
        <is>
          <t>CIDADES</t>
        </is>
      </c>
      <c r="G2313" t="inlineStr">
        <is>
          <t>REDAÇÃO</t>
        </is>
      </c>
      <c r="H2313" t="inlineStr">
        <is>
          <t>CO-FINANCIAMENTO DESTINADO AO ACOLHIMENTO DE INDÍGENAS VENEZUELANOS EM MANAUS ENCERRA ESTA SEMANA</t>
        </is>
      </c>
      <c r="I2313" t="inlineStr">
        <is>
          <t>ATUALMENTE, 139 INDÍGENAS VENEZUELANOS DA ETNIA WARAO SÃO ACOLHIDOS EM QUATRO ABRIGOS DISPONIBILIZADOS PELA PREFEITURA DE MANAUS (AM). MAS PARA MANTER AS AÇÕES DE ACOLHIMENTO, A SECRETARIA MUNICIPAL DE ASSISTÊNCIA SOCIAL E DIREITOS HUMANOS (SEMASDH)</t>
        </is>
      </c>
      <c r="J2313" t="inlineStr">
        <is>
          <t>ABRIGO, AMAZONAS, INDÍGENAS, MANAUS, VENEZUELA</t>
        </is>
      </c>
      <c r="K2313" t="n">
        <v>5</v>
      </c>
      <c r="L2313" t="n">
        <v>1</v>
      </c>
      <c r="M2313" t="n">
        <v>0</v>
      </c>
      <c r="N2313" t="n">
        <v>0</v>
      </c>
      <c r="O2313" t="n">
        <v>10</v>
      </c>
      <c r="P2313">
        <f>HYPERLINK("https://portalamazonia.com/noticias/cidades/co-financiamento-destinado-ao-acolhimento-de-indigenas-venezuelanos-em-manaus-encerra-esta-semana", "URL")</f>
        <v/>
      </c>
      <c r="Q2313">
        <f>HYPERLINK("https://raw.githubusercontent.com/marcosmapl/dataset_imigrantes/main/materias_filtered/portal_amazonia/venezuelanos/2018/00_jan/html/11515.25748_1440.html", "HTML")</f>
        <v/>
      </c>
      <c r="R2313">
        <f>HYPERLINK("https://raw.githubusercontent.com/marcosmapl/dataset_imigrantes/main/materias_filtered/portal_amazonia/venezuelanos/2018/00_jan/txt/11515.25748_1440.txt", "TXT")</f>
        <v/>
      </c>
    </row>
    <row r="2314">
      <c r="A2314" s="1" t="n">
        <v>2312</v>
      </c>
      <c r="B2314" t="n">
        <v>2018</v>
      </c>
      <c r="C2314" s="2" t="n">
        <v>43116.55625</v>
      </c>
      <c r="D2314" t="inlineStr">
        <is>
          <t>PORTAL AMAZONIA</t>
        </is>
      </c>
      <c r="E2314" t="inlineStr">
        <is>
          <t>VENEZUELANOS</t>
        </is>
      </c>
      <c r="F2314" t="inlineStr">
        <is>
          <t>CIDADES</t>
        </is>
      </c>
      <c r="G2314" t="inlineStr">
        <is>
          <t>REDAÇÃO</t>
        </is>
      </c>
      <c r="H2314" t="inlineStr">
        <is>
          <t>CORPO DE AMAZONENSE MORTO NA VENEZUELA É VELADO EM MANAUS</t>
        </is>
      </c>
      <c r="I2314" t="inlineStr">
        <is>
          <t>O CORPO DO TURISTA AMAZONENSE AMAURY CASTRO DA SILVA, QUE FOI MORTO DURANTE UM ASSALTO NA VENEZUELA, CHEGOU A MANAUS, NO AMAZONAS, NESTA SEGUNDA-FEIRA (15) E SERÁ VELADO E ENTERRADO NESTA TERÇA-FEIRA (16).DE ACORDO COM A SECRETARIA-ADJUNTA DA GESTÃO</t>
        </is>
      </c>
      <c r="J2314" t="inlineStr">
        <is>
          <t>AMAZONENSE, ASSASSINATO, CRIME, CRISE POLÍTICA, INTERNACIONAL, MORTE, POLICIA, VENEZUELA, VIOLÊNCIA</t>
        </is>
      </c>
      <c r="K2314" t="n">
        <v>9</v>
      </c>
      <c r="L2314" t="n">
        <v>1</v>
      </c>
      <c r="M2314" t="n">
        <v>0</v>
      </c>
      <c r="N2314" t="n">
        <v>0</v>
      </c>
      <c r="O2314" t="n">
        <v>14</v>
      </c>
      <c r="P2314">
        <f>HYPERLINK("https://portalamazonia.com/noticias/cidades/corpo-de-amazonense-morto-na-venezuela-e-velado-em-manaus", "URL")</f>
        <v/>
      </c>
      <c r="Q2314">
        <f>HYPERLINK("https://raw.githubusercontent.com/marcosmapl/dataset_imigrantes/main/materias_filtered/portal_amazonia/venezuelanos/2018/00_jan/html/11464.11464_1427.html", "HTML")</f>
        <v/>
      </c>
      <c r="R2314">
        <f>HYPERLINK("https://raw.githubusercontent.com/marcosmapl/dataset_imigrantes/main/materias_filtered/portal_amazonia/venezuelanos/2018/00_jan/txt/11464.11464_1427.txt", "TXT")</f>
        <v/>
      </c>
    </row>
    <row r="2315">
      <c r="A2315" s="1" t="n">
        <v>2313</v>
      </c>
      <c r="B2315" t="n">
        <v>2018</v>
      </c>
      <c r="C2315" s="2" t="n">
        <v>43116.51597222222</v>
      </c>
      <c r="D2315" t="inlineStr">
        <is>
          <t>A CRITICA</t>
        </is>
      </c>
      <c r="E2315" t="inlineStr">
        <is>
          <t>VENEZUELANOS</t>
        </is>
      </c>
      <c r="F2315" t="inlineStr">
        <is>
          <t>MANAUS</t>
        </is>
      </c>
      <c r="G2315" t="inlineStr">
        <is>
          <t>AMANDA GUIMARÃES</t>
        </is>
      </c>
      <c r="H2315" t="inlineStr">
        <is>
          <t>FAMILIARES E AMIGOS SE DESPEDEM EM MANAUS DE AMAZONENSE MORTO NA VENEZUELA</t>
        </is>
      </c>
      <c r="I2315" t="inlineStr">
        <is>
          <t>SEGUNDO PARENTE, O FILHO DE 16 ANOS DE AMAURY, QUE SEGURAVA O PAI NOS BRAÇOS, CONFIRMOU EM INGLÊS PARA A IRMÃ A MORTE DO PAI, PARA NÃO PREOCUPAR A MÃE DELES</t>
        </is>
      </c>
      <c r="J2315" t="inlineStr"/>
      <c r="K2315" t="n">
        <v>0</v>
      </c>
      <c r="L2315" t="n">
        <v>1</v>
      </c>
      <c r="M2315" t="n">
        <v>0</v>
      </c>
      <c r="N2315" t="n">
        <v>0</v>
      </c>
      <c r="O2315" t="n">
        <v>2</v>
      </c>
      <c r="P2315">
        <f>HYPERLINK("https://www.acritica.com/manaus/familiares-e-amigos-se-despedem-em-manaus-de-amazonense-morto-na-venezuela-1.98773", "URL")</f>
        <v/>
      </c>
      <c r="Q2315">
        <f>HYPERLINK("https://raw.githubusercontent.com/marcosmapl/dataset_imigrantes/main/materias_filtered/a_critica/venezuelanos/2018/00_jan/html/1.98773_1201.html", "HTML")</f>
        <v/>
      </c>
      <c r="R2315">
        <f>HYPERLINK("https://raw.githubusercontent.com/marcosmapl/dataset_imigrantes/main/materias_filtered/a_critica/venezuelanos/2018/00_jan/txt/1.98773_1201.txt", "TXT")</f>
        <v/>
      </c>
    </row>
    <row r="2316">
      <c r="A2316" s="1" t="n">
        <v>2314</v>
      </c>
      <c r="B2316" t="n">
        <v>2018</v>
      </c>
      <c r="C2316" s="2" t="n">
        <v>43116.39488425926</v>
      </c>
      <c r="D2316" t="inlineStr">
        <is>
          <t>A CRITICA</t>
        </is>
      </c>
      <c r="E2316" t="inlineStr">
        <is>
          <t>VENEZUELANOS</t>
        </is>
      </c>
      <c r="F2316" t="inlineStr">
        <is>
          <t>MANAUS</t>
        </is>
      </c>
      <c r="G2316" t="inlineStr">
        <is>
          <t>KELLY MELO</t>
        </is>
      </c>
      <c r="H2316" t="inlineStr">
        <is>
          <t>AMAZONENSES DENUNCIAM FRAGILIDADE SOCIAL E CENAS DE VIOLÊNCIA VISTAS NA VENEZUELA</t>
        </is>
      </c>
      <c r="I2316" t="inlineStr">
        <is>
          <t>DEBATE REACENDEU APÓS MORTE DO AMAZONENSE AMAURY CASTRO DA SILVA, 47, VÍTIMA DE LATROCÍNIO DURANTE VIAGEM DE CARRO AO PAÍS VIZINHO</t>
        </is>
      </c>
      <c r="J2316" t="inlineStr"/>
      <c r="K2316" t="n">
        <v>0</v>
      </c>
      <c r="L2316" t="n">
        <v>1</v>
      </c>
      <c r="M2316" t="n">
        <v>0</v>
      </c>
      <c r="N2316" t="n">
        <v>0</v>
      </c>
      <c r="O2316" t="n">
        <v>2</v>
      </c>
      <c r="P2316">
        <f>HYPERLINK("https://www.acritica.com/manaus/amazonenses-denunciam-fragilidade-social-e-cenas-de-violencia-vistas-na-venezuela-1.98778", "URL")</f>
        <v/>
      </c>
      <c r="Q2316">
        <f>HYPERLINK("https://raw.githubusercontent.com/marcosmapl/dataset_imigrantes/main/materias_filtered/a_critica/venezuelanos/2018/00_jan/html/1.98778_1058.html", "HTML")</f>
        <v/>
      </c>
      <c r="R2316">
        <f>HYPERLINK("https://raw.githubusercontent.com/marcosmapl/dataset_imigrantes/main/materias_filtered/a_critica/venezuelanos/2018/00_jan/txt/1.98778_1058.txt", "TXT")</f>
        <v/>
      </c>
    </row>
    <row r="2317">
      <c r="A2317" s="1" t="n">
        <v>2315</v>
      </c>
      <c r="B2317" t="n">
        <v>2018</v>
      </c>
      <c r="C2317" s="2" t="n">
        <v>43115.98155092593</v>
      </c>
      <c r="D2317" t="inlineStr">
        <is>
          <t>A CRITICA</t>
        </is>
      </c>
      <c r="E2317" t="inlineStr">
        <is>
          <t>VENEZUELANOS</t>
        </is>
      </c>
      <c r="F2317" t="inlineStr">
        <is>
          <t>OPINIAO</t>
        </is>
      </c>
      <c r="G2317" t="inlineStr"/>
      <c r="H2317" t="inlineStr">
        <is>
          <t>TURISMO NA VENEZUELA</t>
        </is>
      </c>
      <c r="I2317" t="inlineStr"/>
      <c r="J2317" t="inlineStr"/>
      <c r="K2317" t="n">
        <v>0</v>
      </c>
      <c r="L2317" t="n">
        <v>1</v>
      </c>
      <c r="M2317" t="n">
        <v>0</v>
      </c>
      <c r="N2317" t="n">
        <v>0</v>
      </c>
      <c r="O2317" t="n">
        <v>0</v>
      </c>
      <c r="P2317">
        <f>HYPERLINK("https://www.acritica.com/opiniao/turismo-na-venezuela-1.229193", "URL")</f>
        <v/>
      </c>
      <c r="Q2317">
        <f>HYPERLINK("https://raw.githubusercontent.com/marcosmapl/dataset_imigrantes/main/materias_filtered/a_critica/venezuelanos/2018/00_jan/html/1.229193_235.html", "HTML")</f>
        <v/>
      </c>
      <c r="R2317">
        <f>HYPERLINK("https://raw.githubusercontent.com/marcosmapl/dataset_imigrantes/main/materias_filtered/a_critica/venezuelanos/2018/00_jan/txt/1.229193_235.txt", "TXT")</f>
        <v/>
      </c>
    </row>
    <row r="2318">
      <c r="A2318" s="1" t="n">
        <v>2316</v>
      </c>
      <c r="B2318" t="n">
        <v>2018</v>
      </c>
      <c r="C2318" s="2" t="n">
        <v>43114.90486111111</v>
      </c>
      <c r="D2318" t="inlineStr">
        <is>
          <t>A CRITICA</t>
        </is>
      </c>
      <c r="E2318" t="inlineStr">
        <is>
          <t>VENEZUELANOS</t>
        </is>
      </c>
      <c r="F2318" t="inlineStr">
        <is>
          <t>MANAUS</t>
        </is>
      </c>
      <c r="G2318" t="inlineStr">
        <is>
          <t>VITOR GAVIRATI</t>
        </is>
      </c>
      <c r="H2318" t="inlineStr">
        <is>
          <t>CORPO DE AMAZONENSE MORTO NA VENEZUELA CHEGA EM MANAUS NESTA SEGUNDA (15)</t>
        </is>
      </c>
      <c r="I2318" t="inlineStr">
        <is>
          <t>O CORPO DE AMAURY SERÁ LEVADO ATÉ PACARAIMA, EM RORAIMA, E DEPOIS SEGUE PARA MANAUS EM AVIÃO DA EMPRESA ONDE ELE TRABALHAVA</t>
        </is>
      </c>
      <c r="J2318" t="inlineStr"/>
      <c r="K2318" t="n">
        <v>0</v>
      </c>
      <c r="L2318" t="n">
        <v>1</v>
      </c>
      <c r="M2318" t="n">
        <v>0</v>
      </c>
      <c r="N2318" t="n">
        <v>0</v>
      </c>
      <c r="O2318" t="n">
        <v>1</v>
      </c>
      <c r="P2318">
        <f>HYPERLINK("https://www.acritica.com/manaus/corpo-de-amazonense-morto-na-venezuela-chega-em-manaus-nesta-segunda-15-1.98833", "URL")</f>
        <v/>
      </c>
      <c r="Q2318">
        <f>HYPERLINK("https://raw.githubusercontent.com/marcosmapl/dataset_imigrantes/main/materias_filtered/a_critica/venezuelanos/2018/00_jan/html/1.98833_715.html", "HTML")</f>
        <v/>
      </c>
      <c r="R2318">
        <f>HYPERLINK("https://raw.githubusercontent.com/marcosmapl/dataset_imigrantes/main/materias_filtered/a_critica/venezuelanos/2018/00_jan/txt/1.98833_715.txt", "TXT")</f>
        <v/>
      </c>
    </row>
    <row r="2319">
      <c r="A2319" s="1" t="n">
        <v>2317</v>
      </c>
      <c r="B2319" t="n">
        <v>2018</v>
      </c>
      <c r="C2319" s="2" t="n">
        <v>43114.73402777778</v>
      </c>
      <c r="D2319" t="inlineStr">
        <is>
          <t>A CRITICA</t>
        </is>
      </c>
      <c r="E2319" t="inlineStr">
        <is>
          <t>VENEZUELANOS</t>
        </is>
      </c>
      <c r="F2319" t="inlineStr">
        <is>
          <t>MANAUS</t>
        </is>
      </c>
      <c r="G2319" t="inlineStr">
        <is>
          <t>VITOR GAVIRATI</t>
        </is>
      </c>
      <c r="H2319" t="inlineStr">
        <is>
          <t>AMAZONENSE MORRE NOS BRAÇOS DO FILHO APÓS SER VÍTIMA DE LATROCÍNIO NA VENEZUELA</t>
        </is>
      </c>
      <c r="I2319" t="inlineStr">
        <is>
          <t>AMAURY CASTRO DA SILVA, 47, ESTAVA DE FÉRIAS COM A FAMÍLIA NO PAÍS VIZINHO. GRUPO DE TURISTAS FOI VÍTIMA DE EMBOSCADA EM UMA RODOVIA VENEZUELANA</t>
        </is>
      </c>
      <c r="J2319" t="inlineStr"/>
      <c r="K2319" t="n">
        <v>0</v>
      </c>
      <c r="L2319" t="n">
        <v>1</v>
      </c>
      <c r="M2319" t="n">
        <v>0</v>
      </c>
      <c r="N2319" t="n">
        <v>0</v>
      </c>
      <c r="O2319" t="n">
        <v>1</v>
      </c>
      <c r="P2319">
        <f>HYPERLINK("https://www.acritica.com/manaus/amazonense-morre-nos-bracos-do-filho-apos-ser-vitima-de-latrocinio-na-venezuela-1.98838", "URL")</f>
        <v/>
      </c>
      <c r="Q2319">
        <f>HYPERLINK("https://raw.githubusercontent.com/marcosmapl/dataset_imigrantes/main/materias_filtered/a_critica/venezuelanos/2018/00_jan/html/1.98838_950.html", "HTML")</f>
        <v/>
      </c>
      <c r="R2319">
        <f>HYPERLINK("https://raw.githubusercontent.com/marcosmapl/dataset_imigrantes/main/materias_filtered/a_critica/venezuelanos/2018/00_jan/txt/1.98838_950.txt", "TXT")</f>
        <v/>
      </c>
    </row>
    <row r="2320">
      <c r="A2320" s="1" t="n">
        <v>2318</v>
      </c>
      <c r="B2320" t="n">
        <v>2018</v>
      </c>
      <c r="C2320" s="2" t="n">
        <v>43112.88680555556</v>
      </c>
      <c r="D2320" t="inlineStr">
        <is>
          <t>G1</t>
        </is>
      </c>
      <c r="E2320" t="inlineStr">
        <is>
          <t>HAITIANOS</t>
        </is>
      </c>
      <c r="F2320" t="inlineStr"/>
      <c r="G2320" t="inlineStr"/>
      <c r="H2320" t="inlineStr">
        <is>
          <t>TRUMP VOLTA AO CENTRO DA POLÊMICA AO USAR TERMO CHULO SOBRE IMIGRANTES</t>
        </is>
      </c>
      <c r="I2320" t="inlineStr"/>
      <c r="J2320" t="inlineStr">
        <is>
          <t>DONALD TRUMP, ESTADOS UNIDOS, HAITI, NORUEGA, ONU, CASA BRANCA</t>
        </is>
      </c>
      <c r="K2320" t="n">
        <v>6</v>
      </c>
      <c r="L2320" t="n">
        <v>3</v>
      </c>
      <c r="M2320" t="n">
        <v>0</v>
      </c>
      <c r="N2320" t="n">
        <v>0</v>
      </c>
      <c r="O2320" t="n">
        <v>18</v>
      </c>
      <c r="P2320">
        <f>HYPERLINK("http://g1.globo.com/jornal-nacional/noticia/2018/01/trump-volta-ao-centro-da-polemica-ao-usar-termo-chulo-sobre-imigrantes.html", "URL")</f>
        <v/>
      </c>
      <c r="Q2320">
        <f>HYPERLINK("https://raw.githubusercontent.com/marcosmapl/dataset_imigrantes/main/materias_filtered/g1/haitianos/2018/00_jan/html/g1_c5765422-2313-11ed-b24f-6dbe51e79fca_3025.html", "HTML")</f>
        <v/>
      </c>
      <c r="R2320">
        <f>HYPERLINK("https://raw.githubusercontent.com/marcosmapl/dataset_imigrantes/main/materias_filtered/g1/haitianos/2018/00_jan/txt/g1_c5765422-2313-11ed-b24f-6dbe51e79fca_3025.txt", "TXT")</f>
        <v/>
      </c>
    </row>
    <row r="2321">
      <c r="A2321" s="1" t="n">
        <v>2319</v>
      </c>
      <c r="B2321" t="n">
        <v>2018</v>
      </c>
      <c r="C2321" s="2" t="n">
        <v>43112.38888888889</v>
      </c>
      <c r="D2321" t="inlineStr">
        <is>
          <t>A CRITICA</t>
        </is>
      </c>
      <c r="E2321" t="inlineStr">
        <is>
          <t>HAITIANOS</t>
        </is>
      </c>
      <c r="F2321" t="inlineStr"/>
      <c r="G2321" t="inlineStr">
        <is>
          <t>AGÊNCIA EFE</t>
        </is>
      </c>
      <c r="H2321" t="inlineStr">
        <is>
          <t>TRUMP USA PALAVRAS DE BAIXO CALÃO AO FALAR SOBRE HAITI E OUTROS PAÍSES</t>
        </is>
      </c>
      <c r="I2321" t="inlineStr">
        <is>
          <t>TRUMP REAGIU DESSA FORMA QUANDO DOIS SENADORES PROPUSERAM UM PROJETO DE LEI MIGRATÓRIA QUE CONCEDERIA VISTOS A ALGUNS DOS CIDADÃOS DE PAÍSES</t>
        </is>
      </c>
      <c r="J2321" t="inlineStr"/>
      <c r="K2321" t="n">
        <v>0</v>
      </c>
      <c r="L2321" t="n">
        <v>1</v>
      </c>
      <c r="M2321" t="n">
        <v>0</v>
      </c>
      <c r="N2321" t="n">
        <v>0</v>
      </c>
      <c r="O2321" t="n">
        <v>0</v>
      </c>
      <c r="P2321">
        <f>HYPERLINK("https://www.acritica.com/trump-usa-palavras-de-baixo-cal-o-ao-falar-sobre-haiti-e-outros-paises-1.98982", "URL")</f>
        <v/>
      </c>
      <c r="Q2321">
        <f>HYPERLINK("https://raw.githubusercontent.com/marcosmapl/dataset_imigrantes/main/materias_filtered/a_critica/haitianos/2018/00_jan/html/1.98982_383.html", "HTML")</f>
        <v/>
      </c>
      <c r="R2321">
        <f>HYPERLINK("https://raw.githubusercontent.com/marcosmapl/dataset_imigrantes/main/materias_filtered/a_critica/haitianos/2018/00_jan/txt/1.98982_383.txt", "TXT")</f>
        <v/>
      </c>
    </row>
    <row r="2322">
      <c r="A2322" s="1" t="n">
        <v>2320</v>
      </c>
      <c r="B2322" t="n">
        <v>2018</v>
      </c>
      <c r="C2322" s="2" t="n">
        <v>43111.77847222222</v>
      </c>
      <c r="D2322" t="inlineStr">
        <is>
          <t>PORTAL AMAZONIA</t>
        </is>
      </c>
      <c r="E2322" t="inlineStr">
        <is>
          <t>VENEZUELANOS</t>
        </is>
      </c>
      <c r="F2322" t="inlineStr">
        <is>
          <t>CIDADES</t>
        </is>
      </c>
      <c r="G2322" t="inlineStr">
        <is>
          <t>REDAÇÃO</t>
        </is>
      </c>
      <c r="H2322" t="inlineStr">
        <is>
          <t>VENEZUELANOS LIDERAM PEDIDOS DE REFÚGIO NO BRASIL EM 2017</t>
        </is>
      </c>
      <c r="I2322" t="inlineStr">
        <is>
          <t>O NÚMERO DE PEDIDOS DE REFÚGIO NO BRASIL CRESCEU 228% EM 2017 E CHEGOU A 33.875, O MAIOR JÁ REGISTRADO PELO PAÍS. OS DADOS SÃO DO COMITÊ NACIONAL PARA OS REFUGIADOS (CONARE), ÓRGÃO LIGADO AO MINISTÉRIO DA JUSTIÇA, E FORAM DIVULGADOS PELO PORTAL G1.</t>
        </is>
      </c>
      <c r="J2322" t="inlineStr">
        <is>
          <t>BRASIL, IMIGRANTES, NICOLÃ¡S MADURO, VENEZUELA, VENEZUELANOS</t>
        </is>
      </c>
      <c r="K2322" t="n">
        <v>5</v>
      </c>
      <c r="L2322" t="n">
        <v>2</v>
      </c>
      <c r="M2322" t="n">
        <v>0</v>
      </c>
      <c r="N2322" t="n">
        <v>0</v>
      </c>
      <c r="O2322" t="n">
        <v>10</v>
      </c>
      <c r="P2322">
        <f>HYPERLINK("https://portalamazonia.com/noticias/cidades/venezuelanos-lideram-pedidos-de-refugio-no-brasil-em-2017", "URL")</f>
        <v/>
      </c>
      <c r="Q2322">
        <f>HYPERLINK("https://raw.githubusercontent.com/marcosmapl/dataset_imigrantes/main/materias_filtered/portal_amazonia/venezuelanos/2018/00_jan/html/11390.11390_1437.html", "HTML")</f>
        <v/>
      </c>
      <c r="R2322">
        <f>HYPERLINK("https://raw.githubusercontent.com/marcosmapl/dataset_imigrantes/main/materias_filtered/portal_amazonia/venezuelanos/2018/00_jan/txt/11390.11390_1437.txt", "TXT")</f>
        <v/>
      </c>
    </row>
    <row r="2323">
      <c r="A2323" s="1" t="n">
        <v>2321</v>
      </c>
      <c r="B2323" t="n">
        <v>2018</v>
      </c>
      <c r="C2323" s="2" t="n">
        <v>43110.9521875</v>
      </c>
      <c r="D2323" t="inlineStr">
        <is>
          <t>A CRITICA</t>
        </is>
      </c>
      <c r="E2323" t="inlineStr">
        <is>
          <t>VENEZUELANOS</t>
        </is>
      </c>
      <c r="F2323" t="inlineStr">
        <is>
          <t>ESPORTES</t>
        </is>
      </c>
      <c r="G2323" t="inlineStr">
        <is>
          <t>DENIR SIMPLÍCIO</t>
        </is>
      </c>
      <c r="H2323" t="inlineStr">
        <is>
          <t>FAST CLUBE FICA NO 0 A 0 EM SEGUNDO AMISTOSO NA VENEZUELA</t>
        </is>
      </c>
      <c r="I2323" t="inlineStr">
        <is>
          <t>O DUELO CONTRA O ASOCIACIÓN CIVIL LALA FÚTBOL CLUB FOI O SEGUNDO DO TRICOLOR DE AÇO, QUE FAZ PRÉ-TEMPORADA EM SOLO VENEZUELANO. ROLO COMPRESSOR AINDA FAZ DOIS AMISTOSOS ANTES DE RETORNAR AO AMAZONAS.</t>
        </is>
      </c>
      <c r="J2323" t="inlineStr"/>
      <c r="K2323" t="n">
        <v>0</v>
      </c>
      <c r="L2323" t="n">
        <v>1</v>
      </c>
      <c r="M2323" t="n">
        <v>0</v>
      </c>
      <c r="N2323" t="n">
        <v>0</v>
      </c>
      <c r="O2323" t="n">
        <v>0</v>
      </c>
      <c r="P2323">
        <f>HYPERLINK("https://www.acritica.com/esportes/fast-clube-fica-no-0-a-0-em-segundo-amistoso-na-venezuela-1.99084", "URL")</f>
        <v/>
      </c>
      <c r="Q2323">
        <f>HYPERLINK("https://raw.githubusercontent.com/marcosmapl/dataset_imigrantes/main/materias_filtered/a_critica/venezuelanos/2018/00_jan/html/1.99084_900.html", "HTML")</f>
        <v/>
      </c>
      <c r="R2323">
        <f>HYPERLINK("https://raw.githubusercontent.com/marcosmapl/dataset_imigrantes/main/materias_filtered/a_critica/venezuelanos/2018/00_jan/txt/1.99084_900.txt", "TXT")</f>
        <v/>
      </c>
    </row>
    <row r="2324">
      <c r="A2324" s="1" t="n">
        <v>2322</v>
      </c>
      <c r="B2324" t="n">
        <v>2018</v>
      </c>
      <c r="C2324" s="2" t="n">
        <v>43105.95972222222</v>
      </c>
      <c r="D2324" t="inlineStr">
        <is>
          <t>A CRITICA</t>
        </is>
      </c>
      <c r="E2324" t="inlineStr">
        <is>
          <t>VENEZUELANOS</t>
        </is>
      </c>
      <c r="F2324" t="inlineStr"/>
      <c r="G2324" t="inlineStr">
        <is>
          <t>DANILO ALVES</t>
        </is>
      </c>
      <c r="H2324" t="inlineStr">
        <is>
          <t>EMBARCAÇÕES LOTADAS HÁ UMA SEMANA FAZEM AMAZONENSES FICAREM ILHADOS EM MARGARITA</t>
        </is>
      </c>
      <c r="I2324" t="inlineStr">
        <is>
          <t>ESTRANGEIROS NA ILHA VENEZUELANA ESPERAM ATÉ TRÊS DIAS PARA CONSEGUIR PASSAGENS DE VOLTA E DENUNCIAM QUE OS PREÇOS AUMENTARAM APROXIMADAMENTE R$ 100</t>
        </is>
      </c>
      <c r="J2324" t="inlineStr"/>
      <c r="K2324" t="n">
        <v>0</v>
      </c>
      <c r="L2324" t="n">
        <v>1</v>
      </c>
      <c r="M2324" t="n">
        <v>0</v>
      </c>
      <c r="N2324" t="n">
        <v>0</v>
      </c>
      <c r="O2324" t="n">
        <v>0</v>
      </c>
      <c r="P2324">
        <f>HYPERLINK("https://www.acritica.com/embarcac-es-lotadas-ha-uma-semana-fazem-amazonenses-ficarem-ilhados-em-margarita-1.100178", "URL")</f>
        <v/>
      </c>
      <c r="Q2324">
        <f>HYPERLINK("https://raw.githubusercontent.com/marcosmapl/dataset_imigrantes/main/materias_filtered/a_critica/venezuelanos/2018/00_jan/html/1.100178_890.html", "HTML")</f>
        <v/>
      </c>
      <c r="R2324">
        <f>HYPERLINK("https://raw.githubusercontent.com/marcosmapl/dataset_imigrantes/main/materias_filtered/a_critica/venezuelanos/2018/00_jan/txt/1.100178_890.txt", "TXT")</f>
        <v/>
      </c>
    </row>
    <row r="2325">
      <c r="A2325" s="1" t="n">
        <v>2323</v>
      </c>
      <c r="B2325" t="n">
        <v>2017</v>
      </c>
      <c r="C2325" s="2" t="n">
        <v>43100.53388888889</v>
      </c>
      <c r="D2325" t="inlineStr">
        <is>
          <t>A CRITICA</t>
        </is>
      </c>
      <c r="E2325" t="inlineStr">
        <is>
          <t>VENEZUELANOS</t>
        </is>
      </c>
      <c r="F2325" t="inlineStr"/>
      <c r="G2325" t="inlineStr">
        <is>
          <t>PAULO VICTOR CHAGAS (AGÊNCIA BRASIL)</t>
        </is>
      </c>
      <c r="H2325" t="inlineStr">
        <is>
          <t>MINISTÉRIO DAS RELAÇÕES EXTERIORES NEGOCIA LIBERAÇÃO DE BRASILEIRO DETIDO NA VENEZUELA</t>
        </is>
      </c>
      <c r="I2325" t="inlineStr">
        <is>
          <t>CONSULADO DO BRASIL EM CARACAS MANTÉM CONTATO COM AS AUTORIDADES LOCAIS E COM A FAMÍLIA DO JOVEM DETIDO. JONATAN DINIZ, DE 31 ANOS, SERIA MEMBRO DE UMA ONG QUE ATUA NO PAÍS</t>
        </is>
      </c>
      <c r="J2325" t="inlineStr"/>
      <c r="K2325" t="n">
        <v>0</v>
      </c>
      <c r="L2325" t="n">
        <v>1</v>
      </c>
      <c r="M2325" t="n">
        <v>0</v>
      </c>
      <c r="N2325" t="n">
        <v>0</v>
      </c>
      <c r="O2325" t="n">
        <v>0</v>
      </c>
      <c r="P2325">
        <f>HYPERLINK("https://www.acritica.com/ministerio-das-relac-es-exteriores-negocia-liberac-o-de-brasileiro-detido-na-venezuela-1.206082", "URL")</f>
        <v/>
      </c>
      <c r="Q2325">
        <f>HYPERLINK("https://raw.githubusercontent.com/marcosmapl/dataset_imigrantes/main/materias_filtered/a_critica/venezuelanos/2017/11_dez/html/1.206082_690.html", "HTML")</f>
        <v/>
      </c>
      <c r="R2325">
        <f>HYPERLINK("https://raw.githubusercontent.com/marcosmapl/dataset_imigrantes/main/materias_filtered/a_critica/venezuelanos/2017/11_dez/txt/1.206082_690.txt", "TXT")</f>
        <v/>
      </c>
    </row>
    <row r="2326">
      <c r="A2326" s="1" t="n">
        <v>2324</v>
      </c>
      <c r="B2326" t="n">
        <v>2017</v>
      </c>
      <c r="C2326" s="2" t="n">
        <v>43095.84861111111</v>
      </c>
      <c r="D2326" t="inlineStr">
        <is>
          <t>A CRITICA</t>
        </is>
      </c>
      <c r="E2326" t="inlineStr">
        <is>
          <t>VENEZUELANOS</t>
        </is>
      </c>
      <c r="F2326" t="inlineStr"/>
      <c r="G2326" t="inlineStr">
        <is>
          <t>IVAN RICHARD ESPOSITO - REPÓRTER DA AGÊNCIA BRASIL</t>
        </is>
      </c>
      <c r="H2326" t="inlineStr">
        <is>
          <t>GOVERNO EXPULSA MEMBRO DA EMBAIXADA DA VENEZUELA NO BRASIL DO PAÍS</t>
        </is>
      </c>
      <c r="I2326" t="inlineStr">
        <is>
          <t>A DECISÃO FOI TOMADA EM RESPOSTA À DECISÃO ASSEMBLEIA NACIONAL CONSTITUINTE QUE DECLAROU O EMBAIXADOR DO BRASIL NA VENEZUELA, RUY PEREIRA, TAMBÉM COMO PERSONA NON GRATA</t>
        </is>
      </c>
      <c r="J2326" t="inlineStr"/>
      <c r="K2326" t="n">
        <v>0</v>
      </c>
      <c r="L2326" t="n">
        <v>1</v>
      </c>
      <c r="M2326" t="n">
        <v>0</v>
      </c>
      <c r="N2326" t="n">
        <v>0</v>
      </c>
      <c r="O2326" t="n">
        <v>0</v>
      </c>
      <c r="P2326">
        <f>HYPERLINK("https://www.acritica.com/governo-expulsa-membro-da-embaixada-da-venezuela-no-brasil-do-pais-1.206543", "URL")</f>
        <v/>
      </c>
      <c r="Q2326">
        <f>HYPERLINK("https://raw.githubusercontent.com/marcosmapl/dataset_imigrantes/main/materias_filtered/a_critica/venezuelanos/2017/11_dez/html/1.206543_878.html", "HTML")</f>
        <v/>
      </c>
      <c r="R2326">
        <f>HYPERLINK("https://raw.githubusercontent.com/marcosmapl/dataset_imigrantes/main/materias_filtered/a_critica/venezuelanos/2017/11_dez/txt/1.206543_878.txt", "TXT")</f>
        <v/>
      </c>
    </row>
    <row r="2327">
      <c r="A2327" s="1" t="n">
        <v>2325</v>
      </c>
      <c r="B2327" t="n">
        <v>2017</v>
      </c>
      <c r="C2327" s="2" t="n">
        <v>43091.43055555555</v>
      </c>
      <c r="D2327" t="inlineStr">
        <is>
          <t>PORTAL AMAZONIA</t>
        </is>
      </c>
      <c r="E2327" t="inlineStr">
        <is>
          <t>VENEZUELANOS</t>
        </is>
      </c>
      <c r="F2327" t="inlineStr">
        <is>
          <t>CIDADES</t>
        </is>
      </c>
      <c r="G2327" t="inlineStr">
        <is>
          <t>REDAÇÃO</t>
        </is>
      </c>
      <c r="H2327" t="inlineStr">
        <is>
          <t>MUNICÍPIO EM RORAIMA VIVE CRISE PARA DAR ATENDIMENTO A MIGRANTES DA VENEZUELA</t>
        </is>
      </c>
      <c r="I2327" t="inlineStr">
        <is>
          <t>PACARAIMA, EM RORAIMA, NA FRONTEIRA COM A VENEZUELA, TEM 12 MIL HABITANTES, MAS OS SERVIÇOS PÚBLICOS ATENDEM A CINCO VEZES MAIS PESSOAS DO QUE A POPULAÇÃO INTEIRA DO MUNICÍPIO. A ESTIMATIVA É DO PREFEITO JULIANO TORQUATO, QUE PEDE MAIS APOIO DO GOVER</t>
        </is>
      </c>
      <c r="J2327" t="inlineStr">
        <is>
          <t>PACARAIMA, RORAIMA, VENEZUELANOS</t>
        </is>
      </c>
      <c r="K2327" t="n">
        <v>3</v>
      </c>
      <c r="L2327" t="n">
        <v>2</v>
      </c>
      <c r="M2327" t="n">
        <v>0</v>
      </c>
      <c r="N2327" t="n">
        <v>0</v>
      </c>
      <c r="O2327" t="n">
        <v>8</v>
      </c>
      <c r="P2327">
        <f>HYPERLINK("https://portalamazonia.com/noticias/cidades/municipio-em-roraima-vive-crise-para-dar-atendimento-a-migrantes-da-venezuela", "URL")</f>
        <v/>
      </c>
      <c r="Q2327">
        <f>HYPERLINK("https://raw.githubusercontent.com/marcosmapl/dataset_imigrantes/main/materias_filtered/portal_amazonia/venezuelanos/2017/11_dez/html/10961.10961_1601.html", "HTML")</f>
        <v/>
      </c>
      <c r="R2327">
        <f>HYPERLINK("https://raw.githubusercontent.com/marcosmapl/dataset_imigrantes/main/materias_filtered/portal_amazonia/venezuelanos/2017/11_dez/txt/10961.10961_1601.txt", "TXT")</f>
        <v/>
      </c>
    </row>
    <row r="2328">
      <c r="A2328" s="1" t="n">
        <v>2326</v>
      </c>
      <c r="B2328" t="n">
        <v>2017</v>
      </c>
      <c r="C2328" s="2" t="n">
        <v>43090.83013888889</v>
      </c>
      <c r="D2328" t="inlineStr">
        <is>
          <t>A CRITICA</t>
        </is>
      </c>
      <c r="E2328" t="inlineStr">
        <is>
          <t>VENEZUELANOS</t>
        </is>
      </c>
      <c r="F2328" t="inlineStr"/>
      <c r="G2328" t="inlineStr">
        <is>
          <t>JULIO CÉZAR NUNES - AGÊNCIA BRASIL</t>
        </is>
      </c>
      <c r="H2328" t="inlineStr">
        <is>
          <t>MUNICÍPIO EM RORAIMA VIVE CRISE PARA DAR ATENDIMENTO A MIGRANTES DA VENEZUELA</t>
        </is>
      </c>
      <c r="I2328" t="inlineStr">
        <is>
          <t>HÁ DOIS MESES, A PREFEITURA DE PACARAIMA INSTALOU ABRIGO PARA 150 INDÍGENAS VENEZUELANOS DO POVO WARAO. HOJE, ABRIGO JÁ ESTÁ COM 330 INDÍGENAS, MAIS QUE O DOBRO DA CAPACIDADE</t>
        </is>
      </c>
      <c r="J2328" t="inlineStr"/>
      <c r="K2328" t="n">
        <v>0</v>
      </c>
      <c r="L2328" t="n">
        <v>1</v>
      </c>
      <c r="M2328" t="n">
        <v>0</v>
      </c>
      <c r="N2328" t="n">
        <v>0</v>
      </c>
      <c r="O2328" t="n">
        <v>0</v>
      </c>
      <c r="P2328">
        <f>HYPERLINK("https://www.acritica.com/municipio-em-roraima-vive-crise-para-dar-atendimento-a-migrantes-da-venezuela-1.206931", "URL")</f>
        <v/>
      </c>
      <c r="Q2328">
        <f>HYPERLINK("https://raw.githubusercontent.com/marcosmapl/dataset_imigrantes/main/materias_filtered/a_critica/venezuelanos/2017/11_dez/html/1.206931_1145.html", "HTML")</f>
        <v/>
      </c>
      <c r="R2328">
        <f>HYPERLINK("https://raw.githubusercontent.com/marcosmapl/dataset_imigrantes/main/materias_filtered/a_critica/venezuelanos/2017/11_dez/txt/1.206931_1145.txt", "TXT")</f>
        <v/>
      </c>
    </row>
    <row r="2329">
      <c r="A2329" s="1" t="n">
        <v>2327</v>
      </c>
      <c r="B2329" t="n">
        <v>2017</v>
      </c>
      <c r="C2329" s="2" t="n">
        <v>43089.45902777778</v>
      </c>
      <c r="D2329" t="inlineStr">
        <is>
          <t>PORTAL AMAZONIA</t>
        </is>
      </c>
      <c r="E2329" t="inlineStr">
        <is>
          <t>VENEZUELANOS</t>
        </is>
      </c>
      <c r="F2329" t="inlineStr">
        <is>
          <t>CIDADES</t>
        </is>
      </c>
      <c r="G2329" t="inlineStr">
        <is>
          <t>REDAÇÃO</t>
        </is>
      </c>
      <c r="H2329" t="inlineStr">
        <is>
          <t>MPF COBRA AÇÕES DE GOVERNOS PARA AJUDAR ÍNDIOS VENEZUELANOS REFUGIADOS NO PARÁ</t>
        </is>
      </c>
      <c r="I2329" t="inlineStr">
        <is>
          <t>O MINISTÉRIO PÚBLICO FEDERAL (MPF) NOTIFICOU DIVERSAS INSTITUIÇÕES PÚBLICAS COBRANDO A APRESENTAÇÃO DE PLANOS DE TRABALHO DE ASSISTÊNCIA A INDÍGENAS VENEZUELANOS REFUGIADOS NO PARÁ. INTEGRANTES DA ETNIA WARAO PASSARAM A SE DESLOCAR PARA O BRASIL EM R</t>
        </is>
      </c>
      <c r="J2329" t="inlineStr">
        <is>
          <t>BELÉM, INDIGENAS VENEZUELANOS, WARAO</t>
        </is>
      </c>
      <c r="K2329" t="n">
        <v>3</v>
      </c>
      <c r="L2329" t="n">
        <v>2</v>
      </c>
      <c r="M2329" t="n">
        <v>0</v>
      </c>
      <c r="N2329" t="n">
        <v>0</v>
      </c>
      <c r="O2329" t="n">
        <v>8</v>
      </c>
      <c r="P2329">
        <f>HYPERLINK("https://portalamazonia.com/noticias/cidades/mpf-cobra-acoes-de-governos-para-ajudar-indios-venezuelanos-refugiados-no-para", "URL")</f>
        <v/>
      </c>
      <c r="Q2329">
        <f>HYPERLINK("https://raw.githubusercontent.com/marcosmapl/dataset_imigrantes/main/materias_filtered/portal_amazonia/venezuelanos/2017/11_dez/html/10904.10904_1394.html", "HTML")</f>
        <v/>
      </c>
      <c r="R2329">
        <f>HYPERLINK("https://raw.githubusercontent.com/marcosmapl/dataset_imigrantes/main/materias_filtered/portal_amazonia/venezuelanos/2017/11_dez/txt/10904.10904_1394.txt", "TXT")</f>
        <v/>
      </c>
    </row>
    <row r="2330">
      <c r="A2330" s="1" t="n">
        <v>2328</v>
      </c>
      <c r="B2330" t="n">
        <v>2017</v>
      </c>
      <c r="C2330" s="2" t="n">
        <v>43088.44467592592</v>
      </c>
      <c r="D2330" t="inlineStr">
        <is>
          <t>A CRITICA</t>
        </is>
      </c>
      <c r="E2330" t="inlineStr">
        <is>
          <t>VENEZUELANOS</t>
        </is>
      </c>
      <c r="F2330" t="inlineStr">
        <is>
          <t>MANAUS</t>
        </is>
      </c>
      <c r="G2330" t="inlineStr">
        <is>
          <t>ACRITICA.COM*</t>
        </is>
      </c>
      <c r="H2330" t="inlineStr">
        <is>
          <t>VOLUNTÁRIOS BUSCAM DOAÇÕES PARA GARANTIR CEIA DE MORADORES DE RUA EM MANAUS</t>
        </is>
      </c>
      <c r="I2330" t="inlineStr">
        <is>
          <t>PARA GARANTIR UMA CEIA DIGNA A ESSAS PESSOAS, O GRUPO ESPERA ARRECADAR ATÉ O PRÓXIMO SÁBADO (23) DONATIVOS QUE VÃO DESDE ALIMENTOS, PASSANDO POR ROUPAS, CALÇADOS E MATERIAIS DE HIGIENE</t>
        </is>
      </c>
      <c r="J2330" t="inlineStr"/>
      <c r="K2330" t="n">
        <v>0</v>
      </c>
      <c r="L2330" t="n">
        <v>1</v>
      </c>
      <c r="M2330" t="n">
        <v>0</v>
      </c>
      <c r="N2330" t="n">
        <v>0</v>
      </c>
      <c r="O2330" t="n">
        <v>0</v>
      </c>
      <c r="P2330">
        <f>HYPERLINK("https://www.acritica.com/manaus/voluntarios-buscam-doac-es-para-garantir-ceia-de-moradores-de-rua-em-manaus-1.207321", "URL")</f>
        <v/>
      </c>
      <c r="Q2330">
        <f>HYPERLINK("https://raw.githubusercontent.com/marcosmapl/dataset_imigrantes/main/materias_filtered/a_critica/venezuelanos/2017/11_dez/html/1.207321_543.html", "HTML")</f>
        <v/>
      </c>
      <c r="R2330">
        <f>HYPERLINK("https://raw.githubusercontent.com/marcosmapl/dataset_imigrantes/main/materias_filtered/a_critica/venezuelanos/2017/11_dez/txt/1.207321_543.txt", "TXT")</f>
        <v/>
      </c>
    </row>
    <row r="2331">
      <c r="A2331" s="1" t="n">
        <v>2329</v>
      </c>
      <c r="B2331" t="n">
        <v>2017</v>
      </c>
      <c r="C2331" s="2" t="n">
        <v>43087.80972222222</v>
      </c>
      <c r="D2331" t="inlineStr">
        <is>
          <t>PORTAL AMAZONIA</t>
        </is>
      </c>
      <c r="E2331" t="inlineStr">
        <is>
          <t>VENEZUELANOS</t>
        </is>
      </c>
      <c r="F2331" t="inlineStr">
        <is>
          <t>CIDADES</t>
        </is>
      </c>
      <c r="G2331" t="inlineStr">
        <is>
          <t>REDAÇÃO</t>
        </is>
      </c>
      <c r="H2331" t="inlineStr">
        <is>
          <t>AGÊNCIAS DA ONU LANÇAM CAMPANHA CONTRA XENOFOBIA EM RORAIMA</t>
        </is>
      </c>
      <c r="I2331" t="inlineStr">
        <is>
          <t>NOS ÚLTIMOS ANOS, O NORTE DO BRASIL PASSOU A SER O CENTRO DOS DEBATES SOBRE O FENÔMENO DA MIGRAÇÃO NO PAÍS. SEGUNDO O FUNDO DE POPULAÇÃO DAS NAÇÕES UNIDAS (UNFPA), EM 2017, MAIS DE 21 MIL VENEZUELANOS SOLICITARAM REFÚGIO AO GOVERNO BRASILEIRO, SENDO</t>
        </is>
      </c>
      <c r="J2331" t="inlineStr">
        <is>
          <t>BOA VISTA, CAMPANHA, RORAIMA, XENOFOBIA</t>
        </is>
      </c>
      <c r="K2331" t="n">
        <v>4</v>
      </c>
      <c r="L2331" t="n">
        <v>2</v>
      </c>
      <c r="M2331" t="n">
        <v>0</v>
      </c>
      <c r="N2331" t="n">
        <v>0</v>
      </c>
      <c r="O2331" t="n">
        <v>9</v>
      </c>
      <c r="P2331">
        <f>HYPERLINK("https://portalamazonia.com/noticias/cidades/agencias-da-onu-lancam-campanha-contra-xenofobia-em-roraima", "URL")</f>
        <v/>
      </c>
      <c r="Q2331">
        <f>HYPERLINK("https://raw.githubusercontent.com/marcosmapl/dataset_imigrantes/main/materias_filtered/portal_amazonia/venezuelanos/2017/11_dez/html/10863.10863_1459.html", "HTML")</f>
        <v/>
      </c>
      <c r="R2331">
        <f>HYPERLINK("https://raw.githubusercontent.com/marcosmapl/dataset_imigrantes/main/materias_filtered/portal_amazonia/venezuelanos/2017/11_dez/txt/10863.10863_1459.txt", "TXT")</f>
        <v/>
      </c>
    </row>
    <row r="2332">
      <c r="A2332" s="1" t="n">
        <v>2330</v>
      </c>
      <c r="B2332" t="n">
        <v>2017</v>
      </c>
      <c r="C2332" s="2" t="n">
        <v>43085.975</v>
      </c>
      <c r="D2332" t="inlineStr">
        <is>
          <t>A CRITICA</t>
        </is>
      </c>
      <c r="E2332" t="inlineStr">
        <is>
          <t>VENEZUELANOS</t>
        </is>
      </c>
      <c r="F2332" t="inlineStr">
        <is>
          <t>ESPORTES</t>
        </is>
      </c>
      <c r="G2332" t="inlineStr">
        <is>
          <t>DENIR SIMPLÍCIO</t>
        </is>
      </c>
      <c r="H2332" t="inlineStr">
        <is>
          <t>APÓS 11 ANOS SEM TÍTULOS, TUFÃO EMPATA COM CDC E CONQUISTA SÉRIE B DO BAREZÃO</t>
        </is>
      </c>
      <c r="I2332" t="inlineStr">
        <is>
          <t>TORCIDA DO SÃO RAIMUNDO INVADIU O GRAMADO PARA FESTEJAR CONQUISTA; DUELO NA ARENA DA AMAZÔNIA TERMINOU SEM GOLS</t>
        </is>
      </c>
      <c r="J2332" t="inlineStr"/>
      <c r="K2332" t="n">
        <v>0</v>
      </c>
      <c r="L2332" t="n">
        <v>1</v>
      </c>
      <c r="M2332" t="n">
        <v>0</v>
      </c>
      <c r="N2332" t="n">
        <v>0</v>
      </c>
      <c r="O2332" t="n">
        <v>0</v>
      </c>
      <c r="P2332">
        <f>HYPERLINK("https://www.acritica.com/esportes/apos-11-anos-sem-titulos-tuf-o-empata-com-cdc-e-conquista-serie-b-do-barez-o-1.207434", "URL")</f>
        <v/>
      </c>
      <c r="Q2332">
        <f>HYPERLINK("https://raw.githubusercontent.com/marcosmapl/dataset_imigrantes/main/materias_filtered/a_critica/venezuelanos/2017/11_dez/html/1.207434_755.html", "HTML")</f>
        <v/>
      </c>
      <c r="R2332">
        <f>HYPERLINK("https://raw.githubusercontent.com/marcosmapl/dataset_imigrantes/main/materias_filtered/a_critica/venezuelanos/2017/11_dez/txt/1.207434_755.txt", "TXT")</f>
        <v/>
      </c>
    </row>
    <row r="2333">
      <c r="A2333" s="1" t="n">
        <v>2331</v>
      </c>
      <c r="B2333" t="n">
        <v>2017</v>
      </c>
      <c r="C2333" s="2" t="n">
        <v>43084.81666666667</v>
      </c>
      <c r="D2333" t="inlineStr">
        <is>
          <t>A CRITICA</t>
        </is>
      </c>
      <c r="E2333" t="inlineStr">
        <is>
          <t>VENEZUELANOS</t>
        </is>
      </c>
      <c r="F2333" t="inlineStr"/>
      <c r="G2333" t="inlineStr">
        <is>
          <t>ANTÔNIO XIMENES</t>
        </is>
      </c>
      <c r="H2333" t="inlineStr">
        <is>
          <t>OITO TONELADAS DE ABACATE ILEGAL VINDAS DA VENEZUELA SÃO APREENDIDAS EM BARREIRA</t>
        </is>
      </c>
      <c r="I2333" t="inlineStr">
        <is>
          <t>FISCALIZAÇÃO MONTADA NA DIVISA DE RORAIMA COM O AMAZONAS IMPEDIU A ENTRADA DO PRODUTO QUE TINHA FORTES INDÍCIOS DE CONTAMINAÇÃO DE PRAGAS</t>
        </is>
      </c>
      <c r="J2333" t="inlineStr"/>
      <c r="K2333" t="n">
        <v>0</v>
      </c>
      <c r="L2333" t="n">
        <v>1</v>
      </c>
      <c r="M2333" t="n">
        <v>0</v>
      </c>
      <c r="N2333" t="n">
        <v>0</v>
      </c>
      <c r="O2333" t="n">
        <v>0</v>
      </c>
      <c r="P2333">
        <f>HYPERLINK("https://www.acritica.com/oito-toneladas-de-abacate-ilegal-vindas-da-venezuela-s-o-apreendidas-em-barreira-1.207560", "URL")</f>
        <v/>
      </c>
      <c r="Q2333">
        <f>HYPERLINK("https://raw.githubusercontent.com/marcosmapl/dataset_imigrantes/main/materias_filtered/a_critica/venezuelanos/2017/11_dez/html/1.207560_401.html", "HTML")</f>
        <v/>
      </c>
      <c r="R2333">
        <f>HYPERLINK("https://raw.githubusercontent.com/marcosmapl/dataset_imigrantes/main/materias_filtered/a_critica/venezuelanos/2017/11_dez/txt/1.207560_401.txt", "TXT")</f>
        <v/>
      </c>
    </row>
    <row r="2334">
      <c r="A2334" s="1" t="n">
        <v>2332</v>
      </c>
      <c r="B2334" t="n">
        <v>2017</v>
      </c>
      <c r="C2334" s="2" t="n">
        <v>43082.6171412037</v>
      </c>
      <c r="D2334" t="inlineStr">
        <is>
          <t>A CRITICA</t>
        </is>
      </c>
      <c r="E2334" t="inlineStr">
        <is>
          <t>AMBOS</t>
        </is>
      </c>
      <c r="F2334" t="inlineStr"/>
      <c r="G2334" t="inlineStr">
        <is>
          <t>ALEX RODRIGUES –  AGÊNCIA BRASIL</t>
        </is>
      </c>
      <c r="H2334" t="inlineStr">
        <is>
          <t>NÚMERO DE IMIGRANTES COM CONTRATO DE TRABALHO FORMAL CAIU 13% NO BRASIL EM 2016</t>
        </is>
      </c>
      <c r="I2334" t="inlineStr">
        <is>
          <t>ALÉM DE AFETAR MILHÕES DE BRASILEIROS QUE, EM ALGUM MOMENTO DOS ÚLTIMOS ANOS, SE VIRAM SEM EMPREGO, A CRISE QUE O BRASIL ATRAVESSA DESDE 2014 ATINGIU TAMBÉM A INSERÇÃO DOS ESTRANGEIROS NO MERCADO</t>
        </is>
      </c>
      <c r="J2334" t="inlineStr"/>
      <c r="K2334" t="n">
        <v>0</v>
      </c>
      <c r="L2334" t="n">
        <v>1</v>
      </c>
      <c r="M2334" t="n">
        <v>0</v>
      </c>
      <c r="N2334" t="n">
        <v>0</v>
      </c>
      <c r="O2334" t="n">
        <v>0</v>
      </c>
      <c r="P2334">
        <f>HYPERLINK("https://www.acritica.com/numero-de-imigrantes-com-contrato-de-trabalho-formal-caiu-13-no-brasil-em-2016-1.175846", "URL")</f>
        <v/>
      </c>
      <c r="Q2334">
        <f>HYPERLINK("https://raw.githubusercontent.com/marcosmapl/dataset_imigrantes/main/materias_filtered/a_critica/ambos/2017/11_dez/html/1.175846_259.html", "HTML")</f>
        <v/>
      </c>
      <c r="R2334">
        <f>HYPERLINK("https://raw.githubusercontent.com/marcosmapl/dataset_imigrantes/main/materias_filtered/a_critica/ambos/2017/11_dez/txt/1.175846_259.txt", "TXT")</f>
        <v/>
      </c>
    </row>
    <row r="2335">
      <c r="A2335" s="1" t="n">
        <v>2333</v>
      </c>
      <c r="B2335" t="n">
        <v>2017</v>
      </c>
      <c r="C2335" s="2" t="n">
        <v>43081.77916666667</v>
      </c>
      <c r="D2335" t="inlineStr">
        <is>
          <t>PORTAL AMAZONIA</t>
        </is>
      </c>
      <c r="E2335" t="inlineStr">
        <is>
          <t>VENEZUELANOS</t>
        </is>
      </c>
      <c r="F2335" t="inlineStr">
        <is>
          <t>CIDADES</t>
        </is>
      </c>
      <c r="G2335" t="inlineStr">
        <is>
          <t>REDAÇÃO</t>
        </is>
      </c>
      <c r="H2335" t="inlineStr">
        <is>
          <t>CORPO DE ÚLTIMO VENEZUELANO VÍTIMA DE NAUFRÁGIO É ENCONTRADO EM RORAIMA</t>
        </is>
      </c>
      <c r="I2335" t="inlineStr">
        <is>
          <t>O CORPO DO ÚLTIMO DOS TRÊS VENEZUELANOS QUE HAVIAM DESAPARECIDO EM UM NAUFRÁGIO NO DOMINGO (10) EM BOA VISTA (RR) FOI ENCONTRADO NESTA TERÇA-FEIRA (12). O ACIDENTE ACONTECEU NO RIO BRANCO E O HOMEM FOI ENCONTRADO POR VOLTA DAS 10H. AS BUSCAS FORAM EN</t>
        </is>
      </c>
      <c r="J2335" t="inlineStr">
        <is>
          <t>NAUFRÁGIO, RORAIMA, VENEZUELANOS</t>
        </is>
      </c>
      <c r="K2335" t="n">
        <v>3</v>
      </c>
      <c r="L2335" t="n">
        <v>1</v>
      </c>
      <c r="M2335" t="n">
        <v>0</v>
      </c>
      <c r="N2335" t="n">
        <v>0</v>
      </c>
      <c r="O2335" t="n">
        <v>8</v>
      </c>
      <c r="P2335">
        <f>HYPERLINK("https://portalamazonia.com/noticias/cidades/corpo-de-ultimo-venezuelano-vitima-de-naufragio-e-encontrado-em-roraima", "URL")</f>
        <v/>
      </c>
      <c r="Q2335">
        <f>HYPERLINK("https://raw.githubusercontent.com/marcosmapl/dataset_imigrantes/main/materias_filtered/portal_amazonia/venezuelanos/2017/11_dez/html/10737.25809_1569.html", "HTML")</f>
        <v/>
      </c>
      <c r="R2335">
        <f>HYPERLINK("https://raw.githubusercontent.com/marcosmapl/dataset_imigrantes/main/materias_filtered/portal_amazonia/venezuelanos/2017/11_dez/txt/10737.25809_1569.txt", "TXT")</f>
        <v/>
      </c>
    </row>
    <row r="2336">
      <c r="A2336" s="1" t="n">
        <v>2334</v>
      </c>
      <c r="B2336" t="n">
        <v>2017</v>
      </c>
      <c r="C2336" s="2" t="n">
        <v>43080.47222222222</v>
      </c>
      <c r="D2336" t="inlineStr">
        <is>
          <t>PORTAL AMAZONIA</t>
        </is>
      </c>
      <c r="E2336" t="inlineStr">
        <is>
          <t>VENEZUELANOS</t>
        </is>
      </c>
      <c r="F2336" t="inlineStr">
        <is>
          <t>CIDADES</t>
        </is>
      </c>
      <c r="G2336" t="inlineStr">
        <is>
          <t>REDAÇÃO</t>
        </is>
      </c>
      <c r="H2336" t="inlineStr">
        <is>
          <t>DOMINGO DE NAUFRÁGIOS DE EMBARCAÇÕES EM RIOS NO AMAZONAS E RORAIMA</t>
        </is>
      </c>
      <c r="I2336" t="inlineStr">
        <is>
          <t>A EMBARCAÇÃO NOSSA SENHORA DO ROSÁRIO, QUE VINHA DA CIDADE DE MAUÉS (DISTANTE 356 QUILÔMETROS DE MANAUS) NAUFRAGOU NA TARDE DESTE DOMINGO (10) NO RIO AMAZONAS, PRÓXIMO DA ILHA DO RISCO, NO MUNICÍPIO DE URUCURITUBA, NO AMAZONAS. SEGUNDO INFO</t>
        </is>
      </c>
      <c r="J2336" t="inlineStr">
        <is>
          <t>ITACOATIARA, MAUÉS, NAUFRÁGIO, RORAIMA, URUCURITUBA</t>
        </is>
      </c>
      <c r="K2336" t="n">
        <v>5</v>
      </c>
      <c r="L2336" t="n">
        <v>3</v>
      </c>
      <c r="M2336" t="n">
        <v>0</v>
      </c>
      <c r="N2336" t="n">
        <v>0</v>
      </c>
      <c r="O2336" t="n">
        <v>10</v>
      </c>
      <c r="P2336">
        <f>HYPERLINK("https://portalamazonia.com/noticias/cidades/domingo-de-naufragios-de-embarcacoes-em-rios-no-amazonas-e-roraima", "URL")</f>
        <v/>
      </c>
      <c r="Q2336">
        <f>HYPERLINK("https://raw.githubusercontent.com/marcosmapl/dataset_imigrantes/main/materias_filtered/portal_amazonia/venezuelanos/2017/11_dez/html/10681.10681_1483.html", "HTML")</f>
        <v/>
      </c>
      <c r="R2336">
        <f>HYPERLINK("https://raw.githubusercontent.com/marcosmapl/dataset_imigrantes/main/materias_filtered/portal_amazonia/venezuelanos/2017/11_dez/txt/10681.10681_1483.txt", "TXT")</f>
        <v/>
      </c>
    </row>
    <row r="2337">
      <c r="A2337" s="1" t="n">
        <v>2335</v>
      </c>
      <c r="B2337" t="n">
        <v>2017</v>
      </c>
      <c r="C2337" s="2" t="n">
        <v>43078.69722222222</v>
      </c>
      <c r="D2337" t="inlineStr">
        <is>
          <t>A CRITICA</t>
        </is>
      </c>
      <c r="E2337" t="inlineStr">
        <is>
          <t>VENEZUELANOS</t>
        </is>
      </c>
      <c r="F2337" t="inlineStr"/>
      <c r="G2337" t="inlineStr">
        <is>
          <t>RENATA MARTINS - AGÊNCIA BRASIL</t>
        </is>
      </c>
      <c r="H2337" t="inlineStr">
        <is>
          <t>RORAIMA FICA EM ESTADO DE ALERTA PARA SARAMPO DEVIDO A SURTO NA VENEZUELA</t>
        </is>
      </c>
      <c r="I2337" t="inlineStr">
        <is>
          <t>O MINISTÉRIO DA SAÚDE INFORMOU QUE ESTÁ VACINANDO OS VENEZUELANOS ABRIGADOS EM RORAIMA E NO AMAZONAS</t>
        </is>
      </c>
      <c r="J2337" t="inlineStr"/>
      <c r="K2337" t="n">
        <v>0</v>
      </c>
      <c r="L2337" t="n">
        <v>1</v>
      </c>
      <c r="M2337" t="n">
        <v>0</v>
      </c>
      <c r="N2337" t="n">
        <v>0</v>
      </c>
      <c r="O2337" t="n">
        <v>0</v>
      </c>
      <c r="P2337">
        <f>HYPERLINK("https://www.acritica.com/roraima-fica-em-estado-de-alerta-para-sarampo-devido-a-surto-na-venezuela-1.208061", "URL")</f>
        <v/>
      </c>
      <c r="Q2337">
        <f>HYPERLINK("https://raw.githubusercontent.com/marcosmapl/dataset_imigrantes/main/materias_filtered/a_critica/venezuelanos/2017/11_dez/html/1.208061_1122.html", "HTML")</f>
        <v/>
      </c>
      <c r="R2337">
        <f>HYPERLINK("https://raw.githubusercontent.com/marcosmapl/dataset_imigrantes/main/materias_filtered/a_critica/venezuelanos/2017/11_dez/txt/1.208061_1122.txt", "TXT")</f>
        <v/>
      </c>
    </row>
    <row r="2338">
      <c r="A2338" s="1" t="n">
        <v>2336</v>
      </c>
      <c r="B2338" t="n">
        <v>2017</v>
      </c>
      <c r="C2338" s="2" t="n">
        <v>43077.59652777778</v>
      </c>
      <c r="D2338" t="inlineStr">
        <is>
          <t>PORTAL AMAZONIA</t>
        </is>
      </c>
      <c r="E2338" t="inlineStr">
        <is>
          <t>VENEZUELANOS</t>
        </is>
      </c>
      <c r="F2338" t="inlineStr">
        <is>
          <t>CIDADES</t>
        </is>
      </c>
      <c r="G2338" t="inlineStr">
        <is>
          <t>REDAÇÃO</t>
        </is>
      </c>
      <c r="H2338" t="inlineStr">
        <is>
          <t>RORAIMA DECRETA SITUAÇÃO DE EMERGÊNCIA SOCIAL POR IMIGRAÇÃO DE VENEZUELANOS</t>
        </is>
      </c>
      <c r="I2338" t="inlineStr">
        <is>
          <t>O GOVERNO DE RORAIMA DECRETOU SITUAÇÃO DE EMERGÊNCIA SOCIAL POR CAUSA DO PROCESSO DE IMIGRAÇÃO DE VENEZUELANOS. O DECRETO FOI PUBLICADO NO DIÁRIO OFICIAL DO ESTADO DO DIA 4 DE DEZEMBRO, COM PORTARIA ASSINADA PELA GOVERNADORA DO ESTADO SUELY CAMPOS (P</t>
        </is>
      </c>
      <c r="J2338" t="inlineStr">
        <is>
          <t>EMERGÊNCIA, IMIGRAÇÃO, RORAIMA, VENEZUELANOS</t>
        </is>
      </c>
      <c r="K2338" t="n">
        <v>4</v>
      </c>
      <c r="L2338" t="n">
        <v>1</v>
      </c>
      <c r="M2338" t="n">
        <v>0</v>
      </c>
      <c r="N2338" t="n">
        <v>0</v>
      </c>
      <c r="O2338" t="n">
        <v>9</v>
      </c>
      <c r="P2338">
        <f>HYPERLINK("https://portalamazonia.com/noticias/cidades/roraima-decreta-situacao-de-emergencia-social-por-imigracao-de-venezuelanos", "URL")</f>
        <v/>
      </c>
      <c r="Q2338">
        <f>HYPERLINK("https://raw.githubusercontent.com/marcosmapl/dataset_imigrantes/main/materias_filtered/portal_amazonia/venezuelanos/2017/11_dez/html/10672.25815_1386.html", "HTML")</f>
        <v/>
      </c>
      <c r="R2338">
        <f>HYPERLINK("https://raw.githubusercontent.com/marcosmapl/dataset_imigrantes/main/materias_filtered/portal_amazonia/venezuelanos/2017/11_dez/txt/10672.25815_1386.txt", "TXT")</f>
        <v/>
      </c>
    </row>
    <row r="2339">
      <c r="A2339" s="1" t="n">
        <v>2337</v>
      </c>
      <c r="B2339" t="n">
        <v>2017</v>
      </c>
      <c r="C2339" s="2" t="n">
        <v>43076.57916666667</v>
      </c>
      <c r="D2339" t="inlineStr">
        <is>
          <t>PORTAL AMAZONIA</t>
        </is>
      </c>
      <c r="E2339" t="inlineStr">
        <is>
          <t>VENEZUELANOS</t>
        </is>
      </c>
      <c r="F2339" t="inlineStr">
        <is>
          <t>CIDADES</t>
        </is>
      </c>
      <c r="G2339" t="inlineStr">
        <is>
          <t>REDAÇÃO</t>
        </is>
      </c>
      <c r="H2339" t="inlineStr">
        <is>
          <t>RORAIMA DECRETA SITUAÇÃO DE EMERGÊNCIA DEVIDO IMIGRAÇÃO VENEZUELANA</t>
        </is>
      </c>
      <c r="I2339" t="inlineStr">
        <is>
          <t>O ESTADO DE RORAIMA ESTÁ EM SITUAÇÃO DE EMERGÊNCIA SOCIAL POR CAUSA DO GRANDE NÚMERO DE IMIGRANTES VENEZUELANOS QUE CHEGAM DIARIAMENTE AO ESTADO. O DECRETO FOI PUBLICADO NA EDIÇÃO DA ÚLTIMA QUARTA-FEIRA (7) DO DIÁRIO OFICIAL DO ESTADO.DE ACORDO COM R</t>
        </is>
      </c>
      <c r="J2339" t="inlineStr">
        <is>
          <t>CRISE POLÍTICA, FRONTEIRA, IMIGRANTES, INDIGENAS VENEZUELANOS, RORAIMA, SITUAÇÃO DE EMERGÊNCIA, VENEZUELA, VENEZUELANOS</t>
        </is>
      </c>
      <c r="K2339" t="n">
        <v>8</v>
      </c>
      <c r="L2339" t="n">
        <v>2</v>
      </c>
      <c r="M2339" t="n">
        <v>0</v>
      </c>
      <c r="N2339" t="n">
        <v>0</v>
      </c>
      <c r="O2339" t="n">
        <v>13</v>
      </c>
      <c r="P2339">
        <f>HYPERLINK("https://portalamazonia.com/noticias/cidades/roraima-decreta-situacao-de-emergencia-devido-imigracao-venezuelana", "URL")</f>
        <v/>
      </c>
      <c r="Q2339">
        <f>HYPERLINK("https://raw.githubusercontent.com/marcosmapl/dataset_imigrantes/main/materias_filtered/portal_amazonia/venezuelanos/2017/11_dez/html/10641.10641_1565.html", "HTML")</f>
        <v/>
      </c>
      <c r="R2339">
        <f>HYPERLINK("https://raw.githubusercontent.com/marcosmapl/dataset_imigrantes/main/materias_filtered/portal_amazonia/venezuelanos/2017/11_dez/txt/10641.10641_1565.txt", "TXT")</f>
        <v/>
      </c>
    </row>
    <row r="2340">
      <c r="A2340" s="1" t="n">
        <v>2338</v>
      </c>
      <c r="B2340" t="n">
        <v>2017</v>
      </c>
      <c r="C2340" s="2" t="n">
        <v>43071.52013888889</v>
      </c>
      <c r="D2340" t="inlineStr">
        <is>
          <t>A CRITICA</t>
        </is>
      </c>
      <c r="E2340" t="inlineStr">
        <is>
          <t>VENEZUELANOS</t>
        </is>
      </c>
      <c r="F2340" t="inlineStr">
        <is>
          <t>MANAUS</t>
        </is>
      </c>
      <c r="G2340" t="inlineStr">
        <is>
          <t>ALIK MENEZES</t>
        </is>
      </c>
      <c r="H2340" t="inlineStr">
        <is>
          <t>INDÍGENAS VENEZUELANOS TEMEM O FECHAMENTO DE ABRIGO PROVISÓRIO EM MANAUS</t>
        </is>
      </c>
      <c r="I2340" t="inlineStr">
        <is>
          <t>PRAZO EMERGENCIAL PARA MANUTENÇÃO DO ACOLHIMENTO NO BAIRRO COROADO ENCERRA NESTE MÊS. GOVERNO E MPF SOLICITARAM RECURSOS DO MINISTÉRIO DO DESENVOLVIMENTO SOCIAL</t>
        </is>
      </c>
      <c r="J2340" t="inlineStr"/>
      <c r="K2340" t="n">
        <v>0</v>
      </c>
      <c r="L2340" t="n">
        <v>1</v>
      </c>
      <c r="M2340" t="n">
        <v>0</v>
      </c>
      <c r="N2340" t="n">
        <v>0</v>
      </c>
      <c r="O2340" t="n">
        <v>0</v>
      </c>
      <c r="P2340">
        <f>HYPERLINK("https://www.acritica.com/manaus/indigenas-venezuelanos-temem-o-fechamento-de-abrigo-provisorio-em-manaus-1.175450", "URL")</f>
        <v/>
      </c>
      <c r="Q2340">
        <f>HYPERLINK("https://raw.githubusercontent.com/marcosmapl/dataset_imigrantes/main/materias_filtered/a_critica/venezuelanos/2017/11_dez/html/1.175450_749.html", "HTML")</f>
        <v/>
      </c>
      <c r="R2340">
        <f>HYPERLINK("https://raw.githubusercontent.com/marcosmapl/dataset_imigrantes/main/materias_filtered/a_critica/venezuelanos/2017/11_dez/txt/1.175450_749.txt", "TXT")</f>
        <v/>
      </c>
    </row>
    <row r="2341">
      <c r="A2341" s="1" t="n">
        <v>2339</v>
      </c>
      <c r="B2341" t="n">
        <v>2017</v>
      </c>
      <c r="C2341" s="2" t="n">
        <v>43070.85972222222</v>
      </c>
      <c r="D2341" t="inlineStr">
        <is>
          <t>PORTAL AMAZONIA</t>
        </is>
      </c>
      <c r="E2341" t="inlineStr">
        <is>
          <t>VENEZUELANOS</t>
        </is>
      </c>
      <c r="F2341" t="inlineStr">
        <is>
          <t>CIDADES</t>
        </is>
      </c>
      <c r="G2341" t="inlineStr">
        <is>
          <t>REDAÇÃO</t>
        </is>
      </c>
      <c r="H2341" t="inlineStr">
        <is>
          <t>EM MANAUS, ABRIGO PARA INDÍGENAS DA VENEZUELA SERÁ FECHADO</t>
        </is>
      </c>
      <c r="I2341" t="inlineStr">
        <is>
          <t>O ABRIGO DE ACOLHIMENTO PROVISÓRIO PARA INDÍGENAS VENEZUELANOS QUE ESTÃO EM MANAUS DEVE FECHAR ATÉ O FIM DO ANO. SEGUNDO INFORMAÇÕES SÃO DO G1 AMAZONAS, AS FAMÍLIAS SERÃO ENCAMINHADAS PARA ESPAÇOS ESCOLHIDOS PELA PREFEITURA DE MANAUS. ATUALMENTE, 115</t>
        </is>
      </c>
      <c r="J2341" t="inlineStr">
        <is>
          <t>AMAZONAS, INDÍGENAS, INDIGENAS VENEZUELANOS, MANAUS, WARAO</t>
        </is>
      </c>
      <c r="K2341" t="n">
        <v>5</v>
      </c>
      <c r="L2341" t="n">
        <v>2</v>
      </c>
      <c r="M2341" t="n">
        <v>0</v>
      </c>
      <c r="N2341" t="n">
        <v>0</v>
      </c>
      <c r="O2341" t="n">
        <v>10</v>
      </c>
      <c r="P2341">
        <f>HYPERLINK("https://portalamazonia.com/noticias/cidades/em-manaus-abrigo-para-indigenas-da-venezuela-sera-fechado", "URL")</f>
        <v/>
      </c>
      <c r="Q2341">
        <f>HYPERLINK("https://raw.githubusercontent.com/marcosmapl/dataset_imigrantes/main/materias_filtered/portal_amazonia/venezuelanos/2017/11_dez/html/10540.10540_1545.html", "HTML")</f>
        <v/>
      </c>
      <c r="R2341">
        <f>HYPERLINK("https://raw.githubusercontent.com/marcosmapl/dataset_imigrantes/main/materias_filtered/portal_amazonia/venezuelanos/2017/11_dez/txt/10540.10540_1545.txt", "TXT")</f>
        <v/>
      </c>
    </row>
    <row r="2342">
      <c r="A2342" s="1" t="n">
        <v>2340</v>
      </c>
      <c r="B2342" t="n">
        <v>2017</v>
      </c>
      <c r="C2342" s="2" t="n">
        <v>43070.53819444445</v>
      </c>
      <c r="D2342" t="inlineStr">
        <is>
          <t>PORTAL AMAZONIA</t>
        </is>
      </c>
      <c r="E2342" t="inlineStr">
        <is>
          <t>VENEZUELANOS</t>
        </is>
      </c>
      <c r="F2342" t="inlineStr">
        <is>
          <t>CIDADES</t>
        </is>
      </c>
      <c r="G2342" t="inlineStr">
        <is>
          <t>REDAÇÃO</t>
        </is>
      </c>
      <c r="H2342" t="inlineStr">
        <is>
          <t>ABRIGO PARA INDÍGENAS VENEZUELANOS EM MANAUS DEVE SER FECHADO ESTE MÊS</t>
        </is>
      </c>
      <c r="I2342" t="inlineStr">
        <is>
          <t>O ABRIGO MANTIDO PELO GOVERNO DO AMAZONAS, QUE ACOLHE PROVISORIAMENTE OS INDÍGENAS VENEZUELANOS EM MANAUS (AM), DEVE SER FECHADO ATÉ O FINAL DE DEZEMBRO. A PARTIR DE 2018, AS FAMÍLIAS SERÃO TRANSFERIDAS PARA ESPAÇOS ALUGADOS PELA PREFEITURA, SEGUNDO</t>
        </is>
      </c>
      <c r="J2342" t="inlineStr">
        <is>
          <t>ABRIGO, AMAZONAS, INDÍGENAS, MANAUS, VENEZUELANOS</t>
        </is>
      </c>
      <c r="K2342" t="n">
        <v>5</v>
      </c>
      <c r="L2342" t="n">
        <v>1</v>
      </c>
      <c r="M2342" t="n">
        <v>0</v>
      </c>
      <c r="N2342" t="n">
        <v>0</v>
      </c>
      <c r="O2342" t="n">
        <v>10</v>
      </c>
      <c r="P2342">
        <f>HYPERLINK("https://portalamazonia.com/noticias/cidades/abrigo-para-indigenas-venezuelanos-em-manaus-deve-ser-fechado-este-mes", "URL")</f>
        <v/>
      </c>
      <c r="Q2342">
        <f>HYPERLINK("https://raw.githubusercontent.com/marcosmapl/dataset_imigrantes/main/materias_filtered/portal_amazonia/venezuelanos/2017/11_dez/html/10519.25824_1589.html", "HTML")</f>
        <v/>
      </c>
      <c r="R2342">
        <f>HYPERLINK("https://raw.githubusercontent.com/marcosmapl/dataset_imigrantes/main/materias_filtered/portal_amazonia/venezuelanos/2017/11_dez/txt/10519.25824_1589.txt", "TXT")</f>
        <v/>
      </c>
    </row>
    <row r="2343">
      <c r="A2343" s="1" t="n">
        <v>2341</v>
      </c>
      <c r="B2343" t="n">
        <v>2017</v>
      </c>
      <c r="C2343" s="2" t="n">
        <v>43067.70416666667</v>
      </c>
      <c r="D2343" t="inlineStr">
        <is>
          <t>PORTAL AMAZONIA</t>
        </is>
      </c>
      <c r="E2343" t="inlineStr">
        <is>
          <t>VENEZUELANOS</t>
        </is>
      </c>
      <c r="F2343" t="inlineStr">
        <is>
          <t>CIDADES</t>
        </is>
      </c>
      <c r="G2343" t="inlineStr">
        <is>
          <t>REDAÇÃO</t>
        </is>
      </c>
      <c r="H2343" t="inlineStr">
        <is>
          <t>SUPERLOTAÇÃO DE VENEZUELANOS AFETA ABRIGO E ESCOLAS DE BOA VISTA</t>
        </is>
      </c>
      <c r="I2343" t="inlineStr">
        <is>
          <t>O ABRIGO PARA IMIGRANTES EM PACARAIMA (DISTANTE A 213 QUILÔMETROS DE BOA VISTA) NÃO ESTÁ MAIS RECEBENDO NINGUÉM. SEGUNDO INFORMAÇÕES DO G1 RORAIMA, O LOCAL ESTÁ SUPERLOTADO. AO TODO, 248 ÍNDIOS VENEZUELANOS DIVIDEM O ESPAÇO QUE FOI INAUGURADO NO DIA</t>
        </is>
      </c>
      <c r="J2343" t="inlineStr">
        <is>
          <t>BOA VISTA, RORAIMA, VENEZUELANOS, WARAO</t>
        </is>
      </c>
      <c r="K2343" t="n">
        <v>4</v>
      </c>
      <c r="L2343" t="n">
        <v>4</v>
      </c>
      <c r="M2343" t="n">
        <v>0</v>
      </c>
      <c r="N2343" t="n">
        <v>0</v>
      </c>
      <c r="O2343" t="n">
        <v>9</v>
      </c>
      <c r="P2343">
        <f>HYPERLINK("https://portalamazonia.com/noticias/cidades/superlotacao-de-venezuelanos-afeta-abrigo-e-escolas-de-boa-vista", "URL")</f>
        <v/>
      </c>
      <c r="Q2343">
        <f>HYPERLINK("https://raw.githubusercontent.com/marcosmapl/dataset_imigrantes/main/materias_filtered/portal_amazonia/venezuelanos/2017/10_nov/html/10464.10464_1464.html", "HTML")</f>
        <v/>
      </c>
      <c r="R2343">
        <f>HYPERLINK("https://raw.githubusercontent.com/marcosmapl/dataset_imigrantes/main/materias_filtered/portal_amazonia/venezuelanos/2017/10_nov/txt/10464.10464_1464.txt", "TXT")</f>
        <v/>
      </c>
    </row>
    <row r="2344">
      <c r="A2344" s="1" t="n">
        <v>2342</v>
      </c>
      <c r="B2344" t="n">
        <v>2017</v>
      </c>
      <c r="C2344" s="2" t="n">
        <v>43066.41458333333</v>
      </c>
      <c r="D2344" t="inlineStr">
        <is>
          <t>A CRITICA</t>
        </is>
      </c>
      <c r="E2344" t="inlineStr">
        <is>
          <t>HAITIANOS</t>
        </is>
      </c>
      <c r="F2344" t="inlineStr">
        <is>
          <t>MANAUS</t>
        </is>
      </c>
      <c r="G2344" t="inlineStr">
        <is>
          <t>JOANA QUEIROZ</t>
        </is>
      </c>
      <c r="H2344" t="inlineStr">
        <is>
          <t>INSEGURANÇA AFASTA FREQUENTADORES DOS ESPAÇOS PÚBLICOS DE LAZER EM MANAUS</t>
        </is>
      </c>
      <c r="I2344" t="inlineStr">
        <is>
          <t>FORAM REGISTRADAS 240 OCORRÊNCIAS EM PRAÇAS DA CAPITAL ATÉ OUTUBRO DE 2017, SEGUNDO A SECRETARIA DE SEGURANÇA PÚBLICA DO AMAZONAS (SSP-AM)</t>
        </is>
      </c>
      <c r="J2344" t="inlineStr"/>
      <c r="K2344" t="n">
        <v>0</v>
      </c>
      <c r="L2344" t="n">
        <v>1</v>
      </c>
      <c r="M2344" t="n">
        <v>0</v>
      </c>
      <c r="N2344" t="n">
        <v>0</v>
      </c>
      <c r="O2344" t="n">
        <v>1</v>
      </c>
      <c r="P2344">
        <f>HYPERLINK("https://www.acritica.com/manaus/inseguranca-afasta-frequentadores-dos-espacos-publicos-de-lazer-em-manaus-1.174412", "URL")</f>
        <v/>
      </c>
      <c r="Q2344">
        <f>HYPERLINK("https://raw.githubusercontent.com/marcosmapl/dataset_imigrantes/main/materias_filtered/a_critica/haitianos/2017/10_nov/html/1.174412_735.html", "HTML")</f>
        <v/>
      </c>
      <c r="R2344">
        <f>HYPERLINK("https://raw.githubusercontent.com/marcosmapl/dataset_imigrantes/main/materias_filtered/a_critica/haitianos/2017/10_nov/txt/1.174412_735.txt", "TXT")</f>
        <v/>
      </c>
    </row>
    <row r="2345">
      <c r="A2345" s="1" t="n">
        <v>2343</v>
      </c>
      <c r="B2345" t="n">
        <v>2017</v>
      </c>
      <c r="C2345" s="2" t="n">
        <v>43065.65555555555</v>
      </c>
      <c r="D2345" t="inlineStr">
        <is>
          <t>A CRITICA</t>
        </is>
      </c>
      <c r="E2345" t="inlineStr">
        <is>
          <t>VENEZUELANOS</t>
        </is>
      </c>
      <c r="F2345" t="inlineStr">
        <is>
          <t>POLICIA</t>
        </is>
      </c>
      <c r="G2345" t="inlineStr">
        <is>
          <t>DANI BRITO</t>
        </is>
      </c>
      <c r="H2345" t="inlineStr">
        <is>
          <t>VENEZUELANAS SÃO PRESAS SUSPEITAS DE FURTAR OBJETOS DE RESIDÊNCIA NA PONTA NEGRA</t>
        </is>
      </c>
      <c r="I2345" t="inlineStr">
        <is>
          <t>COM AS DUAS MULHERES FORAM APREENDIDAS TRÊS MALAS CONTENDO OBJETOS DA CASA, UMA BOLSA E A QUANTIA DE R$650.</t>
        </is>
      </c>
      <c r="J2345" t="inlineStr"/>
      <c r="K2345" t="n">
        <v>0</v>
      </c>
      <c r="L2345" t="n">
        <v>1</v>
      </c>
      <c r="M2345" t="n">
        <v>0</v>
      </c>
      <c r="N2345" t="n">
        <v>0</v>
      </c>
      <c r="O2345" t="n">
        <v>0</v>
      </c>
      <c r="P2345">
        <f>HYPERLINK("https://www.acritica.com/policia/venezuelanas-s-o-presas-suspeitas-de-furtar-objetos-de-residencia-na-ponta-negra-1.174457", "URL")</f>
        <v/>
      </c>
      <c r="Q2345">
        <f>HYPERLINK("https://raw.githubusercontent.com/marcosmapl/dataset_imigrantes/main/materias_filtered/a_critica/venezuelanos/2017/10_nov/html/1.174457_516.html", "HTML")</f>
        <v/>
      </c>
      <c r="R2345">
        <f>HYPERLINK("https://raw.githubusercontent.com/marcosmapl/dataset_imigrantes/main/materias_filtered/a_critica/venezuelanos/2017/10_nov/txt/1.174457_516.txt", "TXT")</f>
        <v/>
      </c>
    </row>
    <row r="2346">
      <c r="A2346" s="1" t="n">
        <v>2344</v>
      </c>
      <c r="B2346" t="n">
        <v>2017</v>
      </c>
      <c r="C2346" s="2" t="n">
        <v>43062.83333333334</v>
      </c>
      <c r="D2346" t="inlineStr">
        <is>
          <t>A CRITICA</t>
        </is>
      </c>
      <c r="E2346" t="inlineStr">
        <is>
          <t>HAITIANOS</t>
        </is>
      </c>
      <c r="F2346" t="inlineStr">
        <is>
          <t>MANAUS</t>
        </is>
      </c>
      <c r="G2346" t="inlineStr">
        <is>
          <t>OSWALDO NETO</t>
        </is>
      </c>
      <c r="H2346" t="inlineStr">
        <is>
          <t>VOLUNTÁRIOS ACELERAM CAMPANHAS DE DOAÇÕES PARA O NATAL DE PESSOAS CARENTES</t>
        </is>
      </c>
      <c r="I2346" t="inlineStr">
        <is>
          <t>AÇÕES ARRECADAM BRINQUEDOS, ROUPAS, CESTAS BÁSICAS E ATÉ KITS DE LIMPEZA; CONHEÇA TRÊS DELAS QUE ESTÃO RECEBENDO DOAÇÕES ATÉ DEZEMBRO</t>
        </is>
      </c>
      <c r="J2346" t="inlineStr"/>
      <c r="K2346" t="n">
        <v>0</v>
      </c>
      <c r="L2346" t="n">
        <v>1</v>
      </c>
      <c r="M2346" t="n">
        <v>0</v>
      </c>
      <c r="N2346" t="n">
        <v>0</v>
      </c>
      <c r="O2346" t="n">
        <v>0</v>
      </c>
      <c r="P2346">
        <f>HYPERLINK("https://www.acritica.com/manaus/voluntarios-aceleram-campanhas-de-doac-es-para-o-natal-de-pessoas-carentes-1.174079", "URL")</f>
        <v/>
      </c>
      <c r="Q2346">
        <f>HYPERLINK("https://raw.githubusercontent.com/marcosmapl/dataset_imigrantes/main/materias_filtered/a_critica/haitianos/2017/10_nov/html/1.174079_472.html", "HTML")</f>
        <v/>
      </c>
      <c r="R2346">
        <f>HYPERLINK("https://raw.githubusercontent.com/marcosmapl/dataset_imigrantes/main/materias_filtered/a_critica/haitianos/2017/10_nov/txt/1.174079_472.txt", "TXT")</f>
        <v/>
      </c>
    </row>
    <row r="2347">
      <c r="A2347" s="1" t="n">
        <v>2345</v>
      </c>
      <c r="B2347" t="n">
        <v>2017</v>
      </c>
      <c r="C2347" s="2" t="n">
        <v>43062.29652777778</v>
      </c>
      <c r="D2347" t="inlineStr">
        <is>
          <t>A CRITICA</t>
        </is>
      </c>
      <c r="E2347" t="inlineStr">
        <is>
          <t>VENEZUELANOS</t>
        </is>
      </c>
      <c r="F2347" t="inlineStr">
        <is>
          <t>MANAUS</t>
        </is>
      </c>
      <c r="G2347" t="inlineStr">
        <is>
          <t>ALIK MENEZES</t>
        </is>
      </c>
      <c r="H2347" t="inlineStr">
        <is>
          <t>FLANELINHAS SEGUEM ‘LIVRES’ PARA ATUAR EM MANAUS; CONDUTORES RECLAMAM DE AMEAÇAS</t>
        </is>
      </c>
      <c r="I2347" t="inlineStr">
        <is>
          <t>NO CASO DOS LIMPADORES DE VIDRO, A PROIBIÇÃO DA “ATIVIDADE” FOI TOMADA APÓS CASOS DE VIOLÊNCIA E AGRESSÕES REGISTRADAS RECENTEMENTE</t>
        </is>
      </c>
      <c r="J2347" t="inlineStr"/>
      <c r="K2347" t="n">
        <v>0</v>
      </c>
      <c r="L2347" t="n">
        <v>1</v>
      </c>
      <c r="M2347" t="n">
        <v>0</v>
      </c>
      <c r="N2347" t="n">
        <v>0</v>
      </c>
      <c r="O2347" t="n">
        <v>0</v>
      </c>
      <c r="P2347">
        <f>HYPERLINK("https://www.acritica.com/manaus/flanelinhas-seguem-livres-para-atuar-em-manaus-condutores-reclamam-de-ameacas-1.100281", "URL")</f>
        <v/>
      </c>
      <c r="Q2347">
        <f>HYPERLINK("https://raw.githubusercontent.com/marcosmapl/dataset_imigrantes/main/materias_filtered/a_critica/venezuelanos/2017/10_nov/html/1.100281_64.html", "HTML")</f>
        <v/>
      </c>
      <c r="R2347">
        <f>HYPERLINK("https://raw.githubusercontent.com/marcosmapl/dataset_imigrantes/main/materias_filtered/a_critica/venezuelanos/2017/10_nov/txt/1.100281_64.txt", "TXT")</f>
        <v/>
      </c>
    </row>
    <row r="2348">
      <c r="A2348" s="1" t="n">
        <v>2346</v>
      </c>
      <c r="B2348" t="n">
        <v>2017</v>
      </c>
      <c r="C2348" s="2" t="n">
        <v>43057.77708333333</v>
      </c>
      <c r="D2348" t="inlineStr">
        <is>
          <t>A CRITICA</t>
        </is>
      </c>
      <c r="E2348" t="inlineStr">
        <is>
          <t>HAITIANOS</t>
        </is>
      </c>
      <c r="F2348" t="inlineStr">
        <is>
          <t>MANAUS</t>
        </is>
      </c>
      <c r="G2348" t="inlineStr">
        <is>
          <t>SILANE SOUZA</t>
        </is>
      </c>
      <c r="H2348" t="inlineStr">
        <is>
          <t>EM MENOS DE 24 HORAS, NOVO TIROTEIO ACONTECE NO CENTRO DE MANAUS; SUSPEITO FOI BALEADO</t>
        </is>
      </c>
      <c r="I2348" t="inlineStr">
        <is>
          <t>O ÚLTIMO INCIDENTE ACONTECEU POR VOLTA DE 15H DESTE SÁBADO (18), NA RUA LOBO D'ALMADA, NO CENTRO, NA ZONA SUL</t>
        </is>
      </c>
      <c r="J2348" t="inlineStr"/>
      <c r="K2348" t="n">
        <v>0</v>
      </c>
      <c r="L2348" t="n">
        <v>1</v>
      </c>
      <c r="M2348" t="n">
        <v>0</v>
      </c>
      <c r="N2348" t="n">
        <v>0</v>
      </c>
      <c r="O2348" t="n">
        <v>3</v>
      </c>
      <c r="P2348">
        <f>HYPERLINK("https://www.acritica.com/manaus/em-menos-de-24-horas-novo-tiroteio-acontece-no-centro-de-manaus-suspeito-foi-baleado-1.173603", "URL")</f>
        <v/>
      </c>
      <c r="Q2348">
        <f>HYPERLINK("https://raw.githubusercontent.com/marcosmapl/dataset_imigrantes/main/materias_filtered/a_critica/haitianos/2017/10_nov/html/1.173603_458.html", "HTML")</f>
        <v/>
      </c>
      <c r="R2348">
        <f>HYPERLINK("https://raw.githubusercontent.com/marcosmapl/dataset_imigrantes/main/materias_filtered/a_critica/haitianos/2017/10_nov/txt/1.173603_458.txt", "TXT")</f>
        <v/>
      </c>
    </row>
    <row r="2349">
      <c r="A2349" s="1" t="n">
        <v>2347</v>
      </c>
      <c r="B2349" t="n">
        <v>2017</v>
      </c>
      <c r="C2349" s="2" t="n">
        <v>43056.82083333333</v>
      </c>
      <c r="D2349" t="inlineStr">
        <is>
          <t>A CRITICA</t>
        </is>
      </c>
      <c r="E2349" t="inlineStr">
        <is>
          <t>HAITIANOS</t>
        </is>
      </c>
      <c r="F2349" t="inlineStr">
        <is>
          <t>MANAUS</t>
        </is>
      </c>
      <c r="G2349" t="inlineStr">
        <is>
          <t>FÁBIO OLIVEIRA</t>
        </is>
      </c>
      <c r="H2349" t="inlineStr">
        <is>
          <t>TROCA DE TIROS NA PRAÇA DA MATRIZ TERMINA COM TRÊS PESSOAS BALEADAS NO CENTRO</t>
        </is>
      </c>
      <c r="I2349" t="inlineStr">
        <is>
          <t>À POLÍCIA, POPULARES INFORMARAM QUE UMA QUARTA PESSOA TAMBÉM TERIA SIDO BALEADA NAS COSTAS, MAS DEIXOU O LOCAL EM UM TÁXI</t>
        </is>
      </c>
      <c r="J2349" t="inlineStr"/>
      <c r="K2349" t="n">
        <v>0</v>
      </c>
      <c r="L2349" t="n">
        <v>1</v>
      </c>
      <c r="M2349" t="n">
        <v>0</v>
      </c>
      <c r="N2349" t="n">
        <v>0</v>
      </c>
      <c r="O2349" t="n">
        <v>2</v>
      </c>
      <c r="P2349">
        <f>HYPERLINK("https://www.acritica.com/manaus/troca-de-tiros-na-praca-da-matriz-termina-com-tres-pessoas-baleadas-no-centro-1.100431", "URL")</f>
        <v/>
      </c>
      <c r="Q2349">
        <f>HYPERLINK("https://raw.githubusercontent.com/marcosmapl/dataset_imigrantes/main/materias_filtered/a_critica/haitianos/2017/10_nov/html/1.100431_1089.html", "HTML")</f>
        <v/>
      </c>
      <c r="R2349">
        <f>HYPERLINK("https://raw.githubusercontent.com/marcosmapl/dataset_imigrantes/main/materias_filtered/a_critica/haitianos/2017/10_nov/txt/1.100431_1089.txt", "TXT")</f>
        <v/>
      </c>
    </row>
    <row r="2350">
      <c r="A2350" s="1" t="n">
        <v>2348</v>
      </c>
      <c r="B2350" t="n">
        <v>2017</v>
      </c>
      <c r="C2350" s="2" t="n">
        <v>43052.41666666666</v>
      </c>
      <c r="D2350" t="inlineStr">
        <is>
          <t>PORTAL AMAZONIA</t>
        </is>
      </c>
      <c r="E2350" t="inlineStr">
        <is>
          <t>VENEZUELANOS</t>
        </is>
      </c>
      <c r="F2350" t="inlineStr">
        <is>
          <t>CIDADES</t>
        </is>
      </c>
      <c r="G2350" t="inlineStr">
        <is>
          <t>REDAÇÃO</t>
        </is>
      </c>
      <c r="H2350" t="inlineStr">
        <is>
          <t>AMAZONLOG REFORÇA LAÇO DO BRASIL COM PAÍSES VIZINHOS, DESTACA MINISTRO</t>
        </is>
      </c>
      <c r="I2350" t="inlineStr">
        <is>
          <t>A SIMULAÇÃO DE RESGATE EM SITUAÇÕES DE AJUDA HUMANITÁRIA É O MELHOR CAMINHO PARA REFORÇAR A ATUAÇÃO CONJUNTA DO BRASIL COM PAÍSES VIZINHOS. A AVALIAÇÃO É DO MINISTRO DA DEFESA, RAUL JUNGMANN QUE VISITOU O EXERCÍCIO MULTINACIONAL DE SIMULAÇÃO DE AJUDA</t>
        </is>
      </c>
      <c r="J2350" t="inlineStr">
        <is>
          <t>AMAZONLOG17, BOLÍVIA, EXERCITO BRASILEIRO, FORCAS ARMADAS, PERU, TABATINGA, TRIPLICE FRONTEIRA</t>
        </is>
      </c>
      <c r="K2350" t="n">
        <v>7</v>
      </c>
      <c r="L2350" t="n">
        <v>4</v>
      </c>
      <c r="M2350" t="n">
        <v>0</v>
      </c>
      <c r="N2350" t="n">
        <v>0</v>
      </c>
      <c r="O2350" t="n">
        <v>12</v>
      </c>
      <c r="P2350">
        <f>HYPERLINK("https://portalamazonia.com/noticias/cidades/amazonlog-reforca-laco-do-brasil-com-paises-vizinhos-destaca-ministro", "URL")</f>
        <v/>
      </c>
      <c r="Q2350">
        <f>HYPERLINK("https://raw.githubusercontent.com/marcosmapl/dataset_imigrantes/main/materias_filtered/portal_amazonia/venezuelanos/2017/10_nov/html/10219.10219_1398.html", "HTML")</f>
        <v/>
      </c>
      <c r="R2350">
        <f>HYPERLINK("https://raw.githubusercontent.com/marcosmapl/dataset_imigrantes/main/materias_filtered/portal_amazonia/venezuelanos/2017/10_nov/txt/10219.10219_1398.txt", "TXT")</f>
        <v/>
      </c>
    </row>
    <row r="2351">
      <c r="A2351" s="1" t="n">
        <v>2349</v>
      </c>
      <c r="B2351" t="n">
        <v>2017</v>
      </c>
      <c r="C2351" s="2" t="n">
        <v>43051.72083333333</v>
      </c>
      <c r="D2351" t="inlineStr">
        <is>
          <t>A CRITICA</t>
        </is>
      </c>
      <c r="E2351" t="inlineStr">
        <is>
          <t>VENEZUELANOS</t>
        </is>
      </c>
      <c r="F2351" t="inlineStr">
        <is>
          <t>POLICIA</t>
        </is>
      </c>
      <c r="G2351" t="inlineStr">
        <is>
          <t>DANI BRITO</t>
        </is>
      </c>
      <c r="H2351" t="inlineStr">
        <is>
          <t>HOMEM É PRESO APÓS EFETUAR DISPARO DE ARMA DE FOGO NA FEIRA DO MUTIRÃO, EM MANAUS</t>
        </is>
      </c>
      <c r="I2351" t="inlineStr">
        <is>
          <t>NO MESMO HORÁRIO E LOCAL, DOIS HOMENS FORAM ATINGIDOS POR TIRO, MAS A POLÍCIA NÃO CONFIRMOU RELAÇÃO ENTRE OS DOIS CASOS</t>
        </is>
      </c>
      <c r="J2351" t="inlineStr"/>
      <c r="K2351" t="n">
        <v>0</v>
      </c>
      <c r="L2351" t="n">
        <v>1</v>
      </c>
      <c r="M2351" t="n">
        <v>0</v>
      </c>
      <c r="N2351" t="n">
        <v>0</v>
      </c>
      <c r="O2351" t="n">
        <v>0</v>
      </c>
      <c r="P2351">
        <f>HYPERLINK("https://www.acritica.com/policia/homem-e-preso-apos-efetuar-disparo-de-arma-de-fogo-na-feira-do-mutir-o-em-manaus-1.172882", "URL")</f>
        <v/>
      </c>
      <c r="Q2351">
        <f>HYPERLINK("https://raw.githubusercontent.com/marcosmapl/dataset_imigrantes/main/materias_filtered/a_critica/venezuelanos/2017/10_nov/html/1.172882_1029.html", "HTML")</f>
        <v/>
      </c>
      <c r="R2351">
        <f>HYPERLINK("https://raw.githubusercontent.com/marcosmapl/dataset_imigrantes/main/materias_filtered/a_critica/venezuelanos/2017/10_nov/txt/1.172882_1029.txt", "TXT")</f>
        <v/>
      </c>
    </row>
    <row r="2352">
      <c r="A2352" s="1" t="n">
        <v>2350</v>
      </c>
      <c r="B2352" t="n">
        <v>2017</v>
      </c>
      <c r="C2352" s="2" t="n">
        <v>43051.60300682871</v>
      </c>
      <c r="D2352" t="inlineStr">
        <is>
          <t>G1</t>
        </is>
      </c>
      <c r="E2352" t="inlineStr">
        <is>
          <t>HAITIANOS</t>
        </is>
      </c>
      <c r="F2352" t="inlineStr">
        <is>
          <t>ZONA DA MATA - MG</t>
        </is>
      </c>
      <c r="G2352" t="inlineStr">
        <is>
          <t>G1 ZONA DA MATA</t>
        </is>
      </c>
      <c r="H2352" t="inlineStr">
        <is>
          <t>PROJETO QUE CRIA BASE MISSIONÁRIA NO HAITI É APROVADO EM JUIZ DE FORA</t>
        </is>
      </c>
      <c r="I2352" t="inlineStr">
        <is>
          <t>PLANO DE DIVULGAÇÃO E ATIVIDADES DO PROJETO TAMBÉM FORAM ACERTADOS. DOCUMENTO SERÁ ENVIADO PARA CONSENTIMENTO DE FREIS DA ASSOCIAÇÃO SÃO FRANCISCO DE ASSIS DA PROVIDÊNCIA DE DEUS.</t>
        </is>
      </c>
      <c r="J2352" t="inlineStr"/>
      <c r="K2352" t="n">
        <v>0</v>
      </c>
      <c r="L2352" t="n">
        <v>1</v>
      </c>
      <c r="M2352" t="n">
        <v>0</v>
      </c>
      <c r="N2352" t="n">
        <v>0</v>
      </c>
      <c r="O2352" t="n">
        <v>1</v>
      </c>
      <c r="P2352">
        <f>HYPERLINK("https://g1.globo.com/mg/zona-da-mata/noticia/projeto-que-cria-base-missionaria-no-haiti-e-aprovado-em-juiz-de-fora.ghtml", "URL")</f>
        <v/>
      </c>
      <c r="Q2352">
        <f>HYPERLINK("https://raw.githubusercontent.com/marcosmapl/dataset_imigrantes/main/materias_filtered/g1/haitianos/2017/10_nov/html/g1_e6bcbdfa-2328-11ed-b24f-6dbe51e79fca_4088.html", "HTML")</f>
        <v/>
      </c>
      <c r="R2352">
        <f>HYPERLINK("https://raw.githubusercontent.com/marcosmapl/dataset_imigrantes/main/materias_filtered/g1/haitianos/2017/10_nov/txt/g1_e6bcbdfa-2328-11ed-b24f-6dbe51e79fca_4088.txt", "TXT")</f>
        <v/>
      </c>
    </row>
    <row r="2353">
      <c r="A2353" s="1" t="n">
        <v>2351</v>
      </c>
      <c r="B2353" t="n">
        <v>2017</v>
      </c>
      <c r="C2353" s="2" t="n">
        <v>43051.57986111111</v>
      </c>
      <c r="D2353" t="inlineStr">
        <is>
          <t>A CRITICA</t>
        </is>
      </c>
      <c r="E2353" t="inlineStr">
        <is>
          <t>AMBOS</t>
        </is>
      </c>
      <c r="F2353" t="inlineStr"/>
      <c r="G2353" t="inlineStr">
        <is>
          <t>SILANE SOUZA</t>
        </is>
      </c>
      <c r="H2353" t="inlineStr">
        <is>
          <t>‘NOVOS AMAZONENSES’: IMIGRANTES TENTAM A VIDA NO AM APÓS DEIXAREM PAÍS DE ORIGEM</t>
        </is>
      </c>
      <c r="I2353" t="inlineStr">
        <is>
          <t>HAITIANOS, VENEZUELANOS E PERUANOS ESTÃO ENTRE OS MAIS DE 2,3 MIL IMIGRANTES QUE ENCONTRARAM NO ESTADO UMA OPORTUNIDADE DE RECOMEÇAR A VIDA</t>
        </is>
      </c>
      <c r="J2353" t="inlineStr"/>
      <c r="K2353" t="n">
        <v>0</v>
      </c>
      <c r="L2353" t="n">
        <v>1</v>
      </c>
      <c r="M2353" t="n">
        <v>0</v>
      </c>
      <c r="N2353" t="n">
        <v>0</v>
      </c>
      <c r="O2353" t="n">
        <v>0</v>
      </c>
      <c r="P2353">
        <f>HYPERLINK("https://www.acritica.com/novos-amazonenses-imigrantes-tentam-a-vida-no-am-apos-deixarem-pais-de-origem-1.100641", "URL")</f>
        <v/>
      </c>
      <c r="Q2353">
        <f>HYPERLINK("https://raw.githubusercontent.com/marcosmapl/dataset_imigrantes/main/materias_filtered/a_critica/ambos/2017/10_nov/html/1.100641_838.html", "HTML")</f>
        <v/>
      </c>
      <c r="R2353">
        <f>HYPERLINK("https://raw.githubusercontent.com/marcosmapl/dataset_imigrantes/main/materias_filtered/a_critica/ambos/2017/10_nov/txt/1.100641_838.txt", "TXT")</f>
        <v/>
      </c>
    </row>
    <row r="2354">
      <c r="A2354" s="1" t="n">
        <v>2352</v>
      </c>
      <c r="B2354" t="n">
        <v>2017</v>
      </c>
      <c r="C2354" s="2" t="n">
        <v>43046.45625</v>
      </c>
      <c r="D2354" t="inlineStr">
        <is>
          <t>PORTAL AMAZONIA</t>
        </is>
      </c>
      <c r="E2354" t="inlineStr">
        <is>
          <t>VENEZUELANOS</t>
        </is>
      </c>
      <c r="F2354" t="inlineStr">
        <is>
          <t>CIDADES</t>
        </is>
      </c>
      <c r="G2354" t="inlineStr">
        <is>
          <t>REDAÇÃO</t>
        </is>
      </c>
      <c r="H2354" t="inlineStr">
        <is>
          <t>SECRETARIA PLANEJA ATENDIMENTO PARA IMIGRANTES INDÍGENAS VENEZUELANOS EM MANAUS</t>
        </is>
      </c>
      <c r="I2354" t="inlineStr">
        <is>
          <t>A SECRETARIA MUNICIPAL DA MULHER, ASSISTÊNCIA SOCIAL E DIREITOS HUMANOS (SEMMASDH) DE MANAUS (AM) PLANEJA ESTRATÉGIAS DE ATENDIMENTO PARA IMIGRANTES INDÍGENAS VENEZUELANOS NA CAPITAL AMAZONENSE. A AÇÃO É EM CONJUNTO COM O ALTO COMISSARIADO DAS NAÇÕES</t>
        </is>
      </c>
      <c r="J2354" t="inlineStr">
        <is>
          <t>ATENDIMENTOS, MANAUS, VENEZUELANOS</t>
        </is>
      </c>
      <c r="K2354" t="n">
        <v>3</v>
      </c>
      <c r="L2354" t="n">
        <v>1</v>
      </c>
      <c r="M2354" t="n">
        <v>0</v>
      </c>
      <c r="N2354" t="n">
        <v>0</v>
      </c>
      <c r="O2354" t="n">
        <v>8</v>
      </c>
      <c r="P2354">
        <f>HYPERLINK("https://portalamazonia.com/noticias/cidades/secretaria-planeja-atendimento-para-imigrantes-indigenas-venezuelanos-em-manaus", "URL")</f>
        <v/>
      </c>
      <c r="Q2354">
        <f>HYPERLINK("https://raw.githubusercontent.com/marcosmapl/dataset_imigrantes/main/materias_filtered/portal_amazonia/venezuelanos/2017/10_nov/html/10123.25842_1407.html", "HTML")</f>
        <v/>
      </c>
      <c r="R2354">
        <f>HYPERLINK("https://raw.githubusercontent.com/marcosmapl/dataset_imigrantes/main/materias_filtered/portal_amazonia/venezuelanos/2017/10_nov/txt/10123.25842_1407.txt", "TXT")</f>
        <v/>
      </c>
    </row>
    <row r="2355">
      <c r="A2355" s="1" t="n">
        <v>2353</v>
      </c>
      <c r="B2355" t="n">
        <v>2017</v>
      </c>
      <c r="C2355" s="2" t="n">
        <v>43045.73501157408</v>
      </c>
      <c r="D2355" t="inlineStr">
        <is>
          <t>A CRITICA</t>
        </is>
      </c>
      <c r="E2355" t="inlineStr">
        <is>
          <t>VENEZUELANOS</t>
        </is>
      </c>
      <c r="F2355" t="inlineStr"/>
      <c r="G2355" t="inlineStr">
        <is>
          <t>DA AGÊNCIA EFE</t>
        </is>
      </c>
      <c r="H2355" t="inlineStr">
        <is>
          <t>DEPUTADOS OPOSITORES SÃO IMPEDIDOS DE ENTRAR NO PARLAMENTO DA VENEZUELA</t>
        </is>
      </c>
      <c r="I2355" t="inlineStr">
        <is>
          <t>A INFORMAÇÃO FOI DADA PELO PARLAMENTO, CONTROLADO PELA OPOSIÇÃO, ATRAVÉS DE UMA MENSAGEM PUBLICADA NO TWITTER</t>
        </is>
      </c>
      <c r="J2355" t="inlineStr"/>
      <c r="K2355" t="n">
        <v>0</v>
      </c>
      <c r="L2355" t="n">
        <v>1</v>
      </c>
      <c r="M2355" t="n">
        <v>0</v>
      </c>
      <c r="N2355" t="n">
        <v>0</v>
      </c>
      <c r="O2355" t="n">
        <v>0</v>
      </c>
      <c r="P2355">
        <f>HYPERLINK("https://www.acritica.com/deputados-opositores-s-o-impedidos-de-entrar-no-parlamento-da-venezuela-1.101237", "URL")</f>
        <v/>
      </c>
      <c r="Q2355">
        <f>HYPERLINK("https://raw.githubusercontent.com/marcosmapl/dataset_imigrantes/main/materias_filtered/a_critica/venezuelanos/2017/10_nov/html/1.101237_1134.html", "HTML")</f>
        <v/>
      </c>
      <c r="R2355">
        <f>HYPERLINK("https://raw.githubusercontent.com/marcosmapl/dataset_imigrantes/main/materias_filtered/a_critica/venezuelanos/2017/10_nov/txt/1.101237_1134.txt", "TXT")</f>
        <v/>
      </c>
    </row>
    <row r="2356">
      <c r="A2356" s="1" t="n">
        <v>2354</v>
      </c>
      <c r="B2356" t="n">
        <v>2017</v>
      </c>
      <c r="C2356" s="2" t="n">
        <v>43042.85277777778</v>
      </c>
      <c r="D2356" t="inlineStr">
        <is>
          <t>A CRITICA</t>
        </is>
      </c>
      <c r="E2356" t="inlineStr">
        <is>
          <t>HAITIANOS</t>
        </is>
      </c>
      <c r="F2356" t="inlineStr"/>
      <c r="G2356" t="inlineStr">
        <is>
          <t>ACRITICA.COM*</t>
        </is>
      </c>
      <c r="H2356" t="inlineStr">
        <is>
          <t>PROGRAMA DE COMBATE À MALÁRIA DE EIRUNEPÉ É ELEITO O MELHOR DAS AMÉRICAS</t>
        </is>
      </c>
      <c r="I2356" t="inlineStr">
        <is>
          <t>EM CINCO ANOS, EIRUNEPÉ CONSEGUIU REDUZIR OS CASOS DA ENDEMIA DE MAIS DE 5,5 MIL OCORRÊNCIAS ANO, PARA POUCO MAIS DE 100. NOS PRIMEIROS OITO MESES DE 2017, O ESTADO DO AMAZONAS REGISTROU MAIS DE 47 MIL CASOS DE MALÁRIA</t>
        </is>
      </c>
      <c r="J2356" t="inlineStr"/>
      <c r="K2356" t="n">
        <v>0</v>
      </c>
      <c r="L2356" t="n">
        <v>1</v>
      </c>
      <c r="M2356" t="n">
        <v>0</v>
      </c>
      <c r="N2356" t="n">
        <v>0</v>
      </c>
      <c r="O2356" t="n">
        <v>0</v>
      </c>
      <c r="P2356">
        <f>HYPERLINK("https://www.acritica.com/programa-de-combate-a-malaria-de-eirunepe-e-eleito-o-melhor-das-americas-1.101309", "URL")</f>
        <v/>
      </c>
      <c r="Q2356">
        <f>HYPERLINK("https://raw.githubusercontent.com/marcosmapl/dataset_imigrantes/main/materias_filtered/a_critica/haitianos/2017/10_nov/html/1.101309_1330.html", "HTML")</f>
        <v/>
      </c>
      <c r="R2356">
        <f>HYPERLINK("https://raw.githubusercontent.com/marcosmapl/dataset_imigrantes/main/materias_filtered/a_critica/haitianos/2017/10_nov/txt/1.101309_1330.txt", "TXT")</f>
        <v/>
      </c>
    </row>
    <row r="2357">
      <c r="A2357" s="1" t="n">
        <v>2355</v>
      </c>
      <c r="B2357" t="n">
        <v>2017</v>
      </c>
      <c r="C2357" s="2" t="n">
        <v>43040.88525462963</v>
      </c>
      <c r="D2357" t="inlineStr">
        <is>
          <t>A CRITICA</t>
        </is>
      </c>
      <c r="E2357" t="inlineStr">
        <is>
          <t>HAITIANOS</t>
        </is>
      </c>
      <c r="F2357" t="inlineStr"/>
      <c r="G2357" t="inlineStr">
        <is>
          <t>ACRITICA.COM*</t>
        </is>
      </c>
      <c r="H2357" t="inlineStr">
        <is>
          <t>PROGRAMA DE COMBATE À MALÁRIA DE EIRUNEPÉ DISPUTA PRÊMIO NOS EUA</t>
        </is>
      </c>
      <c r="I2357" t="inlineStr">
        <is>
          <t>MUNICÍPIO AMAZONENSE É UM DOS TRÊS FINALISTAS DO PROGRAMA DE COMBATE À MALÁRIA CAMPEÃO DAS AMÉRICAS, PROMOVIDO PELA OPAS. EIRUNEPÉ DISPUTA COM O PARQUE NACIONAL DO JAÚ, TAMBÉM DO AMAZONAS, E COM UMA INICIATIVA HAITIANA EM PARCERIA COM A REPÚBLICA DOMINICANA</t>
        </is>
      </c>
      <c r="J2357" t="inlineStr"/>
      <c r="K2357" t="n">
        <v>0</v>
      </c>
      <c r="L2357" t="n">
        <v>1</v>
      </c>
      <c r="M2357" t="n">
        <v>0</v>
      </c>
      <c r="N2357" t="n">
        <v>0</v>
      </c>
      <c r="O2357" t="n">
        <v>0</v>
      </c>
      <c r="P2357">
        <f>HYPERLINK("https://www.acritica.com/programa-de-combate-a-malaria-de-eirunepe-disputa-premio-nos-eua-1.102630", "URL")</f>
        <v/>
      </c>
      <c r="Q2357">
        <f>HYPERLINK("https://raw.githubusercontent.com/marcosmapl/dataset_imigrantes/main/materias_filtered/a_critica/haitianos/2017/10_nov/html/1.102630_624.html", "HTML")</f>
        <v/>
      </c>
      <c r="R2357">
        <f>HYPERLINK("https://raw.githubusercontent.com/marcosmapl/dataset_imigrantes/main/materias_filtered/a_critica/haitianos/2017/10_nov/txt/1.102630_624.txt", "TXT")</f>
        <v/>
      </c>
    </row>
    <row r="2358">
      <c r="A2358" s="1" t="n">
        <v>2356</v>
      </c>
      <c r="B2358" t="n">
        <v>2017</v>
      </c>
      <c r="C2358" s="2" t="n">
        <v>43038.61597222222</v>
      </c>
      <c r="D2358" t="inlineStr">
        <is>
          <t>A CRITICA</t>
        </is>
      </c>
      <c r="E2358" t="inlineStr">
        <is>
          <t>HAITIANOS</t>
        </is>
      </c>
      <c r="F2358" t="inlineStr">
        <is>
          <t>POLICIA</t>
        </is>
      </c>
      <c r="G2358" t="inlineStr">
        <is>
          <t>DANI BRITO</t>
        </is>
      </c>
      <c r="H2358" t="inlineStr">
        <is>
          <t>HAITIANO É PRESO SUSPEITO DE TENTAR ESTUPRAR MULHER DA MESMA NACIONALIDADE EM MANAUS</t>
        </is>
      </c>
      <c r="I2358" t="inlineStr">
        <is>
          <t>SEGUNDO A POLÍCIA, O MARIDO DA VÍTIMA TEM UMA DÍVIDA DE R$ 3 MIL COM O INFRATOR E, POR CONTA DISSO, ELE FOI ATÉ A CASA DELES E TENTOU VIOLENTAR A MULHER</t>
        </is>
      </c>
      <c r="J2358" t="inlineStr"/>
      <c r="K2358" t="n">
        <v>0</v>
      </c>
      <c r="L2358" t="n">
        <v>1</v>
      </c>
      <c r="M2358" t="n">
        <v>0</v>
      </c>
      <c r="N2358" t="n">
        <v>0</v>
      </c>
      <c r="O2358" t="n">
        <v>0</v>
      </c>
      <c r="P2358">
        <f>HYPERLINK("https://www.acritica.com/policia/haitiano-e-preso-suspeito-de-tentar-estuprar-mulher-da-mesma-nacionalidade-em-manaus-1.102681", "URL")</f>
        <v/>
      </c>
      <c r="Q2358">
        <f>HYPERLINK("https://raw.githubusercontent.com/marcosmapl/dataset_imigrantes/main/materias_filtered/a_critica/haitianos/2017/09_out/html/1.102681_391.html", "HTML")</f>
        <v/>
      </c>
      <c r="R2358">
        <f>HYPERLINK("https://raw.githubusercontent.com/marcosmapl/dataset_imigrantes/main/materias_filtered/a_critica/haitianos/2017/09_out/txt/1.102681_391.txt", "TXT")</f>
        <v/>
      </c>
    </row>
    <row r="2359">
      <c r="A2359" s="1" t="n">
        <v>2357</v>
      </c>
      <c r="B2359" t="n">
        <v>2017</v>
      </c>
      <c r="C2359" s="2" t="n">
        <v>43033.78263888889</v>
      </c>
      <c r="D2359" t="inlineStr">
        <is>
          <t>PORTAL AMAZONIA</t>
        </is>
      </c>
      <c r="E2359" t="inlineStr">
        <is>
          <t>VENEZUELANOS</t>
        </is>
      </c>
      <c r="F2359" t="inlineStr">
        <is>
          <t>CIDADES</t>
        </is>
      </c>
      <c r="G2359" t="inlineStr">
        <is>
          <t>REDAÇÃO</t>
        </is>
      </c>
      <c r="H2359" t="inlineStr">
        <is>
          <t>SEM REMÉDIOS NA VENEZUELA, VÍTIMA DE ACIDENTE É TRANSFERIDA PARA RORAIMA</t>
        </is>
      </c>
      <c r="I2359" t="inlineStr">
        <is>
          <t>FOTO:REPRODUÇÃO/REDE AMAZÔNICAA BRASILEIRA EDIELCIS NAHIROBIS GIRON SOARES, DE 32 ANOS, CHEGOU NA NOITE DESTA TERÇA-FEIRA (24) A BOA VISTA. DE ACORDO COM REPORTAGEM PUBLICADA NO G1 RORAIMA, ELA FOI VÍTIMA DE UM ACIDENTE DE CARRO NA VENEZUELA E ESTAVA</t>
        </is>
      </c>
      <c r="J2359" t="inlineStr">
        <is>
          <t>ACIDENTE, BOA VISTA, BRASIL, REMEDIOS, RORAIMA, SAÚDE, VENEZUELA</t>
        </is>
      </c>
      <c r="K2359" t="n">
        <v>7</v>
      </c>
      <c r="L2359" t="n">
        <v>2</v>
      </c>
      <c r="M2359" t="n">
        <v>0</v>
      </c>
      <c r="N2359" t="n">
        <v>0</v>
      </c>
      <c r="O2359" t="n">
        <v>12</v>
      </c>
      <c r="P2359">
        <f>HYPERLINK("https://portalamazonia.com/noticias/cidades/sem-remedios-na-venezuela-vitima-de-acidente-e-transferida-para-roraima", "URL")</f>
        <v/>
      </c>
      <c r="Q2359">
        <f>HYPERLINK("https://raw.githubusercontent.com/marcosmapl/dataset_imigrantes/main/materias_filtered/portal_amazonia/venezuelanos/2017/09_out/html/9984.9984_1514.html", "HTML")</f>
        <v/>
      </c>
      <c r="R2359">
        <f>HYPERLINK("https://raw.githubusercontent.com/marcosmapl/dataset_imigrantes/main/materias_filtered/portal_amazonia/venezuelanos/2017/09_out/txt/9984.9984_1514.txt", "TXT")</f>
        <v/>
      </c>
    </row>
    <row r="2360">
      <c r="A2360" s="1" t="n">
        <v>2358</v>
      </c>
      <c r="B2360" t="n">
        <v>2017</v>
      </c>
      <c r="C2360" s="2" t="n">
        <v>43032.55972222222</v>
      </c>
      <c r="D2360" t="inlineStr">
        <is>
          <t>PORTAL AMAZONIA</t>
        </is>
      </c>
      <c r="E2360" t="inlineStr">
        <is>
          <t>VENEZUELANOS</t>
        </is>
      </c>
      <c r="F2360" t="inlineStr">
        <is>
          <t>CIDADES</t>
        </is>
      </c>
      <c r="G2360" t="inlineStr">
        <is>
          <t>REDAÇÃO</t>
        </is>
      </c>
      <c r="H2360" t="inlineStr">
        <is>
          <t>MANAUS: A CAPITAL DOS REFUGIADOS NA AMAZÔNIA BRASILEIRA</t>
        </is>
      </c>
      <c r="I2360" t="inlineStr">
        <is>
          <t>O ANO DE 2017 NÃO FOI UM ANO FÁCIL PARA OS VENEZUELANOS QUE SE VIRAM OBRIGADOS A DEIXAR O PAÍS DE ORIGEM E BUSCAR REFÚGIO EM OUTRAS NAÇÕES, E UMA DELAS: O BRASIL.FUGINDO DA FOME, EM MEIO À CRISE SOCIOECONÔMICA QUE A VENEZUELA VIVE, DESDE QUE O PAÍS S</t>
        </is>
      </c>
      <c r="J2360" t="inlineStr">
        <is>
          <t>348 ANOS, AMAZONIA, CULTURA INDIGENA, HAITIANOS, IGREJA, INDÍGENAS, MANAUS, WARAO</t>
        </is>
      </c>
      <c r="K2360" t="n">
        <v>8</v>
      </c>
      <c r="L2360" t="n">
        <v>5</v>
      </c>
      <c r="M2360" t="n">
        <v>0</v>
      </c>
      <c r="N2360" t="n">
        <v>0</v>
      </c>
      <c r="O2360" t="n">
        <v>13</v>
      </c>
      <c r="P2360">
        <f>HYPERLINK("https://portalamazonia.com/noticias/cidades/manaus-a-capital-dos-refugiados-na-amazonia-brasileira", "URL")</f>
        <v/>
      </c>
      <c r="Q2360">
        <f>HYPERLINK("https://raw.githubusercontent.com/marcosmapl/dataset_imigrantes/main/materias_filtered/portal_amazonia/venezuelanos/2017/09_out/html/9962.9962_1422.html", "HTML")</f>
        <v/>
      </c>
      <c r="R2360">
        <f>HYPERLINK("https://raw.githubusercontent.com/marcosmapl/dataset_imigrantes/main/materias_filtered/portal_amazonia/venezuelanos/2017/09_out/txt/9962.9962_1422.txt", "TXT")</f>
        <v/>
      </c>
    </row>
    <row r="2361">
      <c r="A2361" s="1" t="n">
        <v>2359</v>
      </c>
      <c r="B2361" t="n">
        <v>2017</v>
      </c>
      <c r="C2361" s="2" t="n">
        <v>43016.99577546296</v>
      </c>
      <c r="D2361" t="inlineStr">
        <is>
          <t>A CRITICA</t>
        </is>
      </c>
      <c r="E2361" t="inlineStr">
        <is>
          <t>HAITIANOS</t>
        </is>
      </c>
      <c r="F2361" t="inlineStr">
        <is>
          <t>OPINIAO</t>
        </is>
      </c>
      <c r="G2361" t="inlineStr"/>
      <c r="H2361" t="inlineStr">
        <is>
          <t>O MONSTRO DA INTOLERÂNCIA</t>
        </is>
      </c>
      <c r="I2361" t="inlineStr"/>
      <c r="J2361" t="inlineStr"/>
      <c r="K2361" t="n">
        <v>0</v>
      </c>
      <c r="L2361" t="n">
        <v>1</v>
      </c>
      <c r="M2361" t="n">
        <v>0</v>
      </c>
      <c r="N2361" t="n">
        <v>0</v>
      </c>
      <c r="O2361" t="n">
        <v>0</v>
      </c>
      <c r="P2361">
        <f>HYPERLINK("https://www.acritica.com/opiniao/o-monstro-da-intolerancia-1.225310", "URL")</f>
        <v/>
      </c>
      <c r="Q2361">
        <f>HYPERLINK("https://raw.githubusercontent.com/marcosmapl/dataset_imigrantes/main/materias_filtered/a_critica/haitianos/2017/09_out/html/1.225310_335.html", "HTML")</f>
        <v/>
      </c>
      <c r="R2361">
        <f>HYPERLINK("https://raw.githubusercontent.com/marcosmapl/dataset_imigrantes/main/materias_filtered/a_critica/haitianos/2017/09_out/txt/1.225310_335.txt", "TXT")</f>
        <v/>
      </c>
    </row>
    <row r="2362">
      <c r="A2362" s="1" t="n">
        <v>2360</v>
      </c>
      <c r="B2362" t="n">
        <v>2017</v>
      </c>
      <c r="C2362" s="2" t="n">
        <v>43016.90059027778</v>
      </c>
      <c r="D2362" t="inlineStr">
        <is>
          <t>A CRITICA</t>
        </is>
      </c>
      <c r="E2362" t="inlineStr">
        <is>
          <t>VENEZUELANOS</t>
        </is>
      </c>
      <c r="F2362" t="inlineStr"/>
      <c r="G2362" t="inlineStr">
        <is>
          <t>ANDREW CAWTHORNE - REUTERS</t>
        </is>
      </c>
      <c r="H2362" t="inlineStr">
        <is>
          <t>NICÓLAS MADURO IRONIZA DONALD TRUMP E O AGRADECE POR FAZÊ-LO “FAMOSO” NO MUNDO TODO</t>
        </is>
      </c>
      <c r="I2362" t="inlineStr">
        <is>
          <t>TRUMP TEM CRITICADO REPETIDAMENTE MADURO E SUA REVOLUÇÃO SOCIALISTA EM PÚBLICO E EM REUNIÕES COM OUTROS CHEFES</t>
        </is>
      </c>
      <c r="J2362" t="inlineStr"/>
      <c r="K2362" t="n">
        <v>0</v>
      </c>
      <c r="L2362" t="n">
        <v>1</v>
      </c>
      <c r="M2362" t="n">
        <v>0</v>
      </c>
      <c r="N2362" t="n">
        <v>0</v>
      </c>
      <c r="O2362" t="n">
        <v>3</v>
      </c>
      <c r="P2362">
        <f>HYPERLINK("https://www.acritica.com/nicolas-maduro-ironiza-donald-trump-e-o-agradece-por-faze-lo-famoso-no-mundo-todo-1.78154", "URL")</f>
        <v/>
      </c>
      <c r="Q2362">
        <f>HYPERLINK("https://raw.githubusercontent.com/marcosmapl/dataset_imigrantes/main/materias_filtered/a_critica/venezuelanos/2017/09_out/html/1.78154_213.html", "HTML")</f>
        <v/>
      </c>
      <c r="R2362">
        <f>HYPERLINK("https://raw.githubusercontent.com/marcosmapl/dataset_imigrantes/main/materias_filtered/a_critica/venezuelanos/2017/09_out/txt/1.78154_213.txt", "TXT")</f>
        <v/>
      </c>
    </row>
    <row r="2363">
      <c r="A2363" s="1" t="n">
        <v>2361</v>
      </c>
      <c r="B2363" t="n">
        <v>2017</v>
      </c>
      <c r="C2363" s="2" t="n">
        <v>43013.5269675926</v>
      </c>
      <c r="D2363" t="inlineStr">
        <is>
          <t>A CRITICA</t>
        </is>
      </c>
      <c r="E2363" t="inlineStr">
        <is>
          <t>VENEZUELANOS</t>
        </is>
      </c>
      <c r="F2363" t="inlineStr">
        <is>
          <t>ESPORTES</t>
        </is>
      </c>
      <c r="G2363" t="inlineStr">
        <is>
          <t>JÉSSICA SANTOS</t>
        </is>
      </c>
      <c r="H2363" t="inlineStr">
        <is>
          <t>CICLISTAS AMAZONENSES VÃO PARTICIPAR DE MAIOR PROVA DE MOUNTAIN BIKE DAS AMÉRICAS</t>
        </is>
      </c>
      <c r="I2363" t="inlineStr">
        <is>
          <t>CÁSSIO STREMEL, JEFFERSON PEREIRA E MARLÚCIA ALMEIDA SE PREPARARAM INTENSAMENTE PARA A PROVA, QUE VAI EXIGIR O MÁXIMO ESFORÇO FÍSICO E MENTAL DOS ATLETAS.</t>
        </is>
      </c>
      <c r="J2363" t="inlineStr"/>
      <c r="K2363" t="n">
        <v>0</v>
      </c>
      <c r="L2363" t="n">
        <v>1</v>
      </c>
      <c r="M2363" t="n">
        <v>0</v>
      </c>
      <c r="N2363" t="n">
        <v>0</v>
      </c>
      <c r="O2363" t="n">
        <v>0</v>
      </c>
      <c r="P2363">
        <f>HYPERLINK("https://www.acritica.com/esportes/ciclistas-amazonenses-v-o-participar-de-maior-prova-de-mountain-bike-das-americas-1.79940", "URL")</f>
        <v/>
      </c>
      <c r="Q2363">
        <f>HYPERLINK("https://raw.githubusercontent.com/marcosmapl/dataset_imigrantes/main/materias_filtered/a_critica/venezuelanos/2017/09_out/html/1.79940_927.html", "HTML")</f>
        <v/>
      </c>
      <c r="R2363">
        <f>HYPERLINK("https://raw.githubusercontent.com/marcosmapl/dataset_imigrantes/main/materias_filtered/a_critica/venezuelanos/2017/09_out/txt/1.79940_927.txt", "TXT")</f>
        <v/>
      </c>
    </row>
    <row r="2364">
      <c r="A2364" s="1" t="n">
        <v>2362</v>
      </c>
      <c r="B2364" t="n">
        <v>2017</v>
      </c>
      <c r="C2364" s="2" t="n">
        <v>43007.99891203704</v>
      </c>
      <c r="D2364" t="inlineStr">
        <is>
          <t>A CRITICA</t>
        </is>
      </c>
      <c r="E2364" t="inlineStr">
        <is>
          <t>VENEZUELANOS</t>
        </is>
      </c>
      <c r="F2364" t="inlineStr">
        <is>
          <t>ESPORTES</t>
        </is>
      </c>
      <c r="G2364" t="inlineStr">
        <is>
          <t>DENIR SIMPLÍCIO</t>
        </is>
      </c>
      <c r="H2364" t="inlineStr">
        <is>
          <t>DO GARIMPO AO RAINHA DO PELADÃO, SAIBA A HISTÓRIA DE UMA GUERREIRA VENEZUELANA</t>
        </is>
      </c>
      <c r="I2364" t="inlineStr">
        <is>
          <t>FUGINDO DA CRISE ECONÔMICA EM SEU PAÍS, A REPRESENTANTE DO NAPOLI MANAUS FC, EVELYN MARQUEZ, SE REFUGIOU NO BRASIL EM BUSCA DE UM FUTURO MELHOR; DEPOIS DE PERDER TUDO EM BUSCA DE OURO, A VENEZUELANA TENTA A SORTE NO CONCURSO DE RAINHAS</t>
        </is>
      </c>
      <c r="J2364" t="inlineStr"/>
      <c r="K2364" t="n">
        <v>0</v>
      </c>
      <c r="L2364" t="n">
        <v>1</v>
      </c>
      <c r="M2364" t="n">
        <v>0</v>
      </c>
      <c r="N2364" t="n">
        <v>0</v>
      </c>
      <c r="O2364" t="n">
        <v>0</v>
      </c>
      <c r="P2364">
        <f>HYPERLINK("https://www.acritica.com/esportes/do-garimpo-ao-rainha-do-pelad-o-saiba-a-historia-de-uma-guerreira-venezuelana-1.80615", "URL")</f>
        <v/>
      </c>
      <c r="Q2364">
        <f>HYPERLINK("https://raw.githubusercontent.com/marcosmapl/dataset_imigrantes/main/materias_filtered/a_critica/venezuelanos/2017/08_set/html/1.80615_209.html", "HTML")</f>
        <v/>
      </c>
      <c r="R2364">
        <f>HYPERLINK("https://raw.githubusercontent.com/marcosmapl/dataset_imigrantes/main/materias_filtered/a_critica/venezuelanos/2017/08_set/txt/1.80615_209.txt", "TXT")</f>
        <v/>
      </c>
    </row>
    <row r="2365">
      <c r="A2365" s="1" t="n">
        <v>2363</v>
      </c>
      <c r="B2365" t="n">
        <v>2017</v>
      </c>
      <c r="C2365" s="2" t="n">
        <v>43004.99652777778</v>
      </c>
      <c r="D2365" t="inlineStr">
        <is>
          <t>A CRITICA</t>
        </is>
      </c>
      <c r="E2365" t="inlineStr">
        <is>
          <t>VENEZUELANOS</t>
        </is>
      </c>
      <c r="F2365" t="inlineStr">
        <is>
          <t>MANAUS</t>
        </is>
      </c>
      <c r="G2365" t="inlineStr">
        <is>
          <t>ALIK MENEZES</t>
        </is>
      </c>
      <c r="H2365" t="inlineStr">
        <is>
          <t>SEMED VAI CONTRATAR INDÍGENAS WARAO SEM FORMAÇÃO PARA ENSINAR CRIANÇAS NOS ABRIGOS</t>
        </is>
      </c>
      <c r="I2365" t="inlineStr">
        <is>
          <t>IDEIA É CRIAR TURMAS PARA OFERECER ENSINO AOS INDÍGENAS, ALÉM DE FORTALECER E PRESERVAR A LÍNGUA E CULTURA MATERNAS</t>
        </is>
      </c>
      <c r="J2365" t="inlineStr"/>
      <c r="K2365" t="n">
        <v>0</v>
      </c>
      <c r="L2365" t="n">
        <v>1</v>
      </c>
      <c r="M2365" t="n">
        <v>0</v>
      </c>
      <c r="N2365" t="n">
        <v>0</v>
      </c>
      <c r="O2365" t="n">
        <v>3</v>
      </c>
      <c r="P2365">
        <f>HYPERLINK("https://www.acritica.com/manaus/semed-vai-contratar-indigenas-warao-sem-formac-o-para-ensinar-criancas-nos-abrigos-1.78586", "URL")</f>
        <v/>
      </c>
      <c r="Q2365">
        <f>HYPERLINK("https://raw.githubusercontent.com/marcosmapl/dataset_imigrantes/main/materias_filtered/a_critica/venezuelanos/2017/08_set/html/1.78586_302.html", "HTML")</f>
        <v/>
      </c>
      <c r="R2365">
        <f>HYPERLINK("https://raw.githubusercontent.com/marcosmapl/dataset_imigrantes/main/materias_filtered/a_critica/venezuelanos/2017/08_set/txt/1.78586_302.txt", "TXT")</f>
        <v/>
      </c>
    </row>
    <row r="2366">
      <c r="A2366" s="1" t="n">
        <v>2364</v>
      </c>
      <c r="B2366" t="n">
        <v>2017</v>
      </c>
      <c r="C2366" s="2" t="n">
        <v>43004.02013888889</v>
      </c>
      <c r="D2366" t="inlineStr">
        <is>
          <t>A CRITICA</t>
        </is>
      </c>
      <c r="E2366" t="inlineStr">
        <is>
          <t>VENEZUELANOS</t>
        </is>
      </c>
      <c r="F2366" t="inlineStr">
        <is>
          <t>MANAUS</t>
        </is>
      </c>
      <c r="G2366" t="inlineStr">
        <is>
          <t>ACRÍTICA.COM</t>
        </is>
      </c>
      <c r="H2366" t="inlineStr">
        <is>
          <t>MIGRAÇÃO DOS WARAO PRORROGA SITUAÇÃO DE EMERGÊNCIA SOCIAL POR MAIS 180 DIAS</t>
        </is>
      </c>
      <c r="I2366" t="inlineStr">
        <is>
          <t>ATUALMENTE, OS INDÍGENAS OCUPAM CINCO CASAS QUE FORAM ALUGADAS EM CINCO PONTOS DIFERENTES DE MANAUS</t>
        </is>
      </c>
      <c r="J2366" t="inlineStr"/>
      <c r="K2366" t="n">
        <v>0</v>
      </c>
      <c r="L2366" t="n">
        <v>1</v>
      </c>
      <c r="M2366" t="n">
        <v>0</v>
      </c>
      <c r="N2366" t="n">
        <v>0</v>
      </c>
      <c r="O2366" t="n">
        <v>0</v>
      </c>
      <c r="P2366">
        <f>HYPERLINK("https://www.acritica.com/manaus/migrac-o-dos-warao-prorroga-situac-o-de-emergencia-social-por-mais-180-dias-1.81331", "URL")</f>
        <v/>
      </c>
      <c r="Q2366">
        <f>HYPERLINK("https://raw.githubusercontent.com/marcosmapl/dataset_imigrantes/main/materias_filtered/a_critica/venezuelanos/2017/08_set/html/1.81331_1139.html", "HTML")</f>
        <v/>
      </c>
      <c r="R2366">
        <f>HYPERLINK("https://raw.githubusercontent.com/marcosmapl/dataset_imigrantes/main/materias_filtered/a_critica/venezuelanos/2017/08_set/txt/1.81331_1139.txt", "TXT")</f>
        <v/>
      </c>
    </row>
    <row r="2367">
      <c r="A2367" s="1" t="n">
        <v>2365</v>
      </c>
      <c r="B2367" t="n">
        <v>2017</v>
      </c>
      <c r="C2367" s="2" t="n">
        <v>42995.77396990741</v>
      </c>
      <c r="D2367" t="inlineStr">
        <is>
          <t>A CRITICA</t>
        </is>
      </c>
      <c r="E2367" t="inlineStr">
        <is>
          <t>VENEZUELANOS</t>
        </is>
      </c>
      <c r="F2367" t="inlineStr">
        <is>
          <t>OPINIAO</t>
        </is>
      </c>
      <c r="G2367" t="inlineStr">
        <is>
          <t>ARTIGOS</t>
        </is>
      </c>
      <c r="H2367" t="inlineStr">
        <is>
          <t>MIGRANTES VENEZUELANOS NO BRASIL</t>
        </is>
      </c>
      <c r="I2367" t="inlineStr">
        <is>
          <t>POR CRISTIANE MARIA SBALQUEIRO LOPES*</t>
        </is>
      </c>
      <c r="J2367" t="inlineStr">
        <is>
          <t>ARTIGOS</t>
        </is>
      </c>
      <c r="K2367" t="n">
        <v>1</v>
      </c>
      <c r="L2367" t="n">
        <v>1</v>
      </c>
      <c r="M2367" t="n">
        <v>0</v>
      </c>
      <c r="N2367" t="n">
        <v>0</v>
      </c>
      <c r="O2367" t="n">
        <v>1</v>
      </c>
      <c r="P2367">
        <f>HYPERLINK("https://www.acritica.com/opiniao/migrantes-venezuelanos-no-brasil-1.217549", "URL")</f>
        <v/>
      </c>
      <c r="Q2367">
        <f>HYPERLINK("https://raw.githubusercontent.com/marcosmapl/dataset_imigrantes/main/materias_filtered/a_critica/venezuelanos/2017/08_set/html/1.217549_482.html", "HTML")</f>
        <v/>
      </c>
      <c r="R2367">
        <f>HYPERLINK("https://raw.githubusercontent.com/marcosmapl/dataset_imigrantes/main/materias_filtered/a_critica/venezuelanos/2017/08_set/txt/1.217549_482.txt", "TXT")</f>
        <v/>
      </c>
    </row>
    <row r="2368">
      <c r="A2368" s="1" t="n">
        <v>2366</v>
      </c>
      <c r="B2368" t="n">
        <v>2017</v>
      </c>
      <c r="C2368" s="2" t="n">
        <v>42994.125</v>
      </c>
      <c r="D2368" t="inlineStr">
        <is>
          <t>A CRITICA</t>
        </is>
      </c>
      <c r="E2368" t="inlineStr">
        <is>
          <t>HAITIANOS</t>
        </is>
      </c>
      <c r="F2368" t="inlineStr">
        <is>
          <t>OPINIAO</t>
        </is>
      </c>
      <c r="G2368" t="inlineStr">
        <is>
          <t>ORLANDO CÂMARA</t>
        </is>
      </c>
      <c r="H2368" t="inlineStr">
        <is>
          <t>FINGIMENTO!</t>
        </is>
      </c>
      <c r="I2368" t="inlineStr">
        <is>
          <t>ARTIGOS DE DOMINGO - 17 DE SETEMBRO DE 2017</t>
        </is>
      </c>
      <c r="J2368" t="inlineStr">
        <is>
          <t>ORLANDO-CAMARA</t>
        </is>
      </c>
      <c r="K2368" t="n">
        <v>1</v>
      </c>
      <c r="L2368" t="n">
        <v>1</v>
      </c>
      <c r="M2368" t="n">
        <v>0</v>
      </c>
      <c r="N2368" t="n">
        <v>0</v>
      </c>
      <c r="O2368" t="n">
        <v>1</v>
      </c>
      <c r="P2368">
        <f>HYPERLINK("https://www.acritica.com/opiniao/fingimento-1.217552", "URL")</f>
        <v/>
      </c>
      <c r="Q2368">
        <f>HYPERLINK("https://raw.githubusercontent.com/marcosmapl/dataset_imigrantes/main/materias_filtered/a_critica/haitianos/2017/08_set/html/1.217552_986.html", "HTML")</f>
        <v/>
      </c>
      <c r="R2368">
        <f>HYPERLINK("https://raw.githubusercontent.com/marcosmapl/dataset_imigrantes/main/materias_filtered/a_critica/haitianos/2017/08_set/txt/1.217552_986.txt", "TXT")</f>
        <v/>
      </c>
    </row>
    <row r="2369">
      <c r="A2369" s="1" t="n">
        <v>2367</v>
      </c>
      <c r="B2369" t="n">
        <v>2017</v>
      </c>
      <c r="C2369" s="2" t="n">
        <v>42993.93710936343</v>
      </c>
      <c r="D2369" t="inlineStr">
        <is>
          <t>G1</t>
        </is>
      </c>
      <c r="E2369" t="inlineStr">
        <is>
          <t>VENEZUELANOS</t>
        </is>
      </c>
      <c r="F2369" t="inlineStr">
        <is>
          <t>RORAIMA</t>
        </is>
      </c>
      <c r="G2369" t="inlineStr">
        <is>
          <t>EMILY COSTA, G1 RR</t>
        </is>
      </c>
      <c r="H2369" t="inlineStr">
        <is>
          <t>VENEZUELANA DIZ QUE FOI XINGADA ANTES DE SER AGREDIDA EM RR: 'JOGARAM PEDRAS E DISSERAM PARA IR EMBORA DO BRASIL'</t>
        </is>
      </c>
      <c r="I2369" t="inlineStr">
        <is>
          <t>ELA, O MARIDO E O IRMÃO ESTAVAM JUNTOS NO MOMENTO DA AGRESSÃO. IMIGRANTE FOI AGREDIDA COM SOCO E PONTAPÉ E TAMBÉM CONTA QUE FOI MAL ATENDIDA EM HOSPITAL: 'MÉDICA DISSE QUE NÃO TINHA TEMPO PARA ATENDER VENEZUELANOS'.</t>
        </is>
      </c>
      <c r="J2369" t="inlineStr"/>
      <c r="K2369" t="n">
        <v>0</v>
      </c>
      <c r="L2369" t="n">
        <v>2</v>
      </c>
      <c r="M2369" t="n">
        <v>0</v>
      </c>
      <c r="N2369" t="n">
        <v>0</v>
      </c>
      <c r="O2369" t="n">
        <v>1</v>
      </c>
      <c r="P2369">
        <f>HYPERLINK("https://g1.globo.com/rr/roraima/noticia/venezuelana-diz-que-foi-xingada-antes-de-ser-agredida-em-rr-jogaram-pedras-e-disseram-para-ir-embora-do-brasil.ghtml", "URL")</f>
        <v/>
      </c>
      <c r="Q2369">
        <f>HYPERLINK("https://raw.githubusercontent.com/marcosmapl/dataset_imigrantes/main/materias_filtered/g1/venezuelanos/2017/08_set/html/g1_dd110b34-2306-11ed-b24f-6dbe51e79fca_2283.html", "HTML")</f>
        <v/>
      </c>
      <c r="R2369">
        <f>HYPERLINK("https://raw.githubusercontent.com/marcosmapl/dataset_imigrantes/main/materias_filtered/g1/venezuelanos/2017/08_set/txt/g1_dd110b34-2306-11ed-b24f-6dbe51e79fca_2283.txt", "TXT")</f>
        <v/>
      </c>
    </row>
    <row r="2370">
      <c r="A2370" s="1" t="n">
        <v>2368</v>
      </c>
      <c r="B2370" t="n">
        <v>2017</v>
      </c>
      <c r="C2370" s="2" t="n">
        <v>42991.55763888889</v>
      </c>
      <c r="D2370" t="inlineStr">
        <is>
          <t>PORTAL AMAZONIA</t>
        </is>
      </c>
      <c r="E2370" t="inlineStr">
        <is>
          <t>VENEZUELANOS</t>
        </is>
      </c>
      <c r="F2370" t="inlineStr">
        <is>
          <t>CIDADES</t>
        </is>
      </c>
      <c r="G2370" t="inlineStr">
        <is>
          <t>REDAÇÃO</t>
        </is>
      </c>
      <c r="H2370" t="inlineStr">
        <is>
          <t>FOME LEVA INDÍGENAS VENEZUELANOS A MIGRAREM PARA O BRASIL</t>
        </is>
      </c>
      <c r="I2370" t="inlineStr">
        <is>
          <t>UMA VIAGEM DE 925 QUILÔMETROS DE BARCO E DEPOIS, VENCIDA, DE FORMA OFICIAL OU NÃO, A FRONTEIRA ENTRE A VENEZUELA E O BRASIL, TRÊS DIAS DE CAMINHADA ATÉ BOA VISTA, CAPITAL DE RORAIMA. ESSA É A TRAVESSIA QUE MUITOS INDÍGENAS VENEZUELANOS INTEGRANTES DO</t>
        </is>
      </c>
      <c r="J2370" t="inlineStr">
        <is>
          <t>FOME, INDIGENAS VENEZUELANOS, WARAO</t>
        </is>
      </c>
      <c r="K2370" t="n">
        <v>3</v>
      </c>
      <c r="L2370" t="n">
        <v>3</v>
      </c>
      <c r="M2370" t="n">
        <v>0</v>
      </c>
      <c r="N2370" t="n">
        <v>0</v>
      </c>
      <c r="O2370" t="n">
        <v>8</v>
      </c>
      <c r="P2370">
        <f>HYPERLINK("https://portalamazonia.com/noticias/cidades/fome-leva-indigenas-venezuelanos-a-migrarem-para-o-brasil", "URL")</f>
        <v/>
      </c>
      <c r="Q2370">
        <f>HYPERLINK("https://raw.githubusercontent.com/marcosmapl/dataset_imigrantes/main/materias_filtered/portal_amazonia/venezuelanos/2017/08_set/html/9424.9424_1524.html", "HTML")</f>
        <v/>
      </c>
      <c r="R2370">
        <f>HYPERLINK("https://raw.githubusercontent.com/marcosmapl/dataset_imigrantes/main/materias_filtered/portal_amazonia/venezuelanos/2017/08_set/txt/9424.9424_1524.txt", "TXT")</f>
        <v/>
      </c>
    </row>
    <row r="2371">
      <c r="A2371" s="1" t="n">
        <v>2369</v>
      </c>
      <c r="B2371" t="n">
        <v>2017</v>
      </c>
      <c r="C2371" s="2" t="n">
        <v>42991.05972222222</v>
      </c>
      <c r="D2371" t="inlineStr">
        <is>
          <t>A CRITICA</t>
        </is>
      </c>
      <c r="E2371" t="inlineStr">
        <is>
          <t>VENEZUELANOS</t>
        </is>
      </c>
      <c r="F2371" t="inlineStr">
        <is>
          <t>MANAUS</t>
        </is>
      </c>
      <c r="G2371" t="inlineStr">
        <is>
          <t>LORENNA SERRÃO</t>
        </is>
      </c>
      <c r="H2371" t="inlineStr">
        <is>
          <t>VENDEDORA DE PICOLÉ VENEZUELANA DO T2 VIRALIZA NA INTERNET E SE DIZ GUERREIRA</t>
        </is>
      </c>
      <c r="I2371" t="inlineStr">
        <is>
          <t>JORSEILY VILLARROEL, DE 22 ANOS, APÓS GANHAR 'FAMA' NAS REDES SOCIAIS, JÁ RECEBEU MUITAS PROPOSTAS DE EMPREGO E SE EMOCIONA COM O CARINHO DAS PESSOAS DE MANAUS</t>
        </is>
      </c>
      <c r="J2371" t="inlineStr"/>
      <c r="K2371" t="n">
        <v>0</v>
      </c>
      <c r="L2371" t="n">
        <v>1</v>
      </c>
      <c r="M2371" t="n">
        <v>0</v>
      </c>
      <c r="N2371" t="n">
        <v>0</v>
      </c>
      <c r="O2371" t="n">
        <v>0</v>
      </c>
      <c r="P2371">
        <f>HYPERLINK("https://www.acritica.com/manaus/vendedora-de-picole-venezuelana-do-t2-viraliza-na-internet-e-se-diz-guerreira-1.86365", "URL")</f>
        <v/>
      </c>
      <c r="Q2371">
        <f>HYPERLINK("https://raw.githubusercontent.com/marcosmapl/dataset_imigrantes/main/materias_filtered/a_critica/venezuelanos/2017/08_set/html/1.86365_91.html", "HTML")</f>
        <v/>
      </c>
      <c r="R2371">
        <f>HYPERLINK("https://raw.githubusercontent.com/marcosmapl/dataset_imigrantes/main/materias_filtered/a_critica/venezuelanos/2017/08_set/txt/1.86365_91.txt", "TXT")</f>
        <v/>
      </c>
    </row>
    <row r="2372">
      <c r="A2372" s="1" t="n">
        <v>2370</v>
      </c>
      <c r="B2372" t="n">
        <v>2017</v>
      </c>
      <c r="C2372" s="2" t="n">
        <v>42989.59652777778</v>
      </c>
      <c r="D2372" t="inlineStr">
        <is>
          <t>PORTAL AMAZONIA</t>
        </is>
      </c>
      <c r="E2372" t="inlineStr">
        <is>
          <t>VENEZUELANOS</t>
        </is>
      </c>
      <c r="F2372" t="inlineStr">
        <is>
          <t>CIDADES</t>
        </is>
      </c>
      <c r="G2372" t="inlineStr">
        <is>
          <t>REDAÇÃO</t>
        </is>
      </c>
      <c r="H2372" t="inlineStr">
        <is>
          <t>MANAUS LEVA A BOA VISTA MODELO DE ACOLHIMENTO A ÍNDIOS VENEZUELANOS</t>
        </is>
      </c>
      <c r="I2372" t="inlineStr">
        <is>
          <t>UMA EQUIPE TÉCNICA DA SECRETARIA MUNICIPAL DA MULHER, ASSISTÊNCIA E DIREITOS HUMANOS, RESPONSÁVEL PELO ATENDIMENTO AOS INDÍGENAS VENEZUELANOS WARAO EM MANAUS, ESTÁ EM BOA VISTA, CAPITAL DE RORAIMA, PARA UM TRABALHO DE CAPACITAÇÃO DOS SERVIDORES ESTAD</t>
        </is>
      </c>
      <c r="J2372" t="inlineStr">
        <is>
          <t>AMAZONAS, INDÍGENAS, MANAUS, WARAO</t>
        </is>
      </c>
      <c r="K2372" t="n">
        <v>4</v>
      </c>
      <c r="L2372" t="n">
        <v>2</v>
      </c>
      <c r="M2372" t="n">
        <v>0</v>
      </c>
      <c r="N2372" t="n">
        <v>0</v>
      </c>
      <c r="O2372" t="n">
        <v>9</v>
      </c>
      <c r="P2372">
        <f>HYPERLINK("https://portalamazonia.com/noticias/cidades/manaus-leva-a-boa-vista-modelo-de-acolhimento-a-indios-venezuelanos", "URL")</f>
        <v/>
      </c>
      <c r="Q2372">
        <f>HYPERLINK("https://raw.githubusercontent.com/marcosmapl/dataset_imigrantes/main/materias_filtered/portal_amazonia/venezuelanos/2017/08_set/html/9373.9373_1598.html", "HTML")</f>
        <v/>
      </c>
      <c r="R2372">
        <f>HYPERLINK("https://raw.githubusercontent.com/marcosmapl/dataset_imigrantes/main/materias_filtered/portal_amazonia/venezuelanos/2017/08_set/txt/9373.9373_1598.txt", "TXT")</f>
        <v/>
      </c>
    </row>
    <row r="2373">
      <c r="A2373" s="1" t="n">
        <v>2371</v>
      </c>
      <c r="B2373" t="n">
        <v>2017</v>
      </c>
      <c r="C2373" s="2" t="n">
        <v>42988.83434027778</v>
      </c>
      <c r="D2373" t="inlineStr">
        <is>
          <t>A CRITICA</t>
        </is>
      </c>
      <c r="E2373" t="inlineStr">
        <is>
          <t>VENEZUELANOS</t>
        </is>
      </c>
      <c r="F2373" t="inlineStr"/>
      <c r="G2373" t="inlineStr">
        <is>
          <t>MARIANA JUNGMANN – AGÊNCIA BRASIL</t>
        </is>
      </c>
      <c r="H2373" t="inlineStr">
        <is>
          <t>NO ÚLTIMO DIA NA COLÔMBIA, PAPA SE MACHUCA NO PAPAMÓVEL E ORA PELA VENEZUELA</t>
        </is>
      </c>
      <c r="I2373" t="inlineStr">
        <is>
          <t>O PONTÍFICE BATEU O ROSTO NO VIDRO DO PAPAMÓVEL, DURANTE UMA FREADA BRUSCA DO VEÍCULO, E PRECISOU APLICAR GELO</t>
        </is>
      </c>
      <c r="J2373" t="inlineStr"/>
      <c r="K2373" t="n">
        <v>0</v>
      </c>
      <c r="L2373" t="n">
        <v>1</v>
      </c>
      <c r="M2373" t="n">
        <v>0</v>
      </c>
      <c r="N2373" t="n">
        <v>0</v>
      </c>
      <c r="O2373" t="n">
        <v>0</v>
      </c>
      <c r="P2373">
        <f>HYPERLINK("https://www.acritica.com/no-ultimo-dia-na-colombia-papa-se-machuca-no-papamovel-e-ora-pela-venezuela-1.89417", "URL")</f>
        <v/>
      </c>
      <c r="Q2373">
        <f>HYPERLINK("https://raw.githubusercontent.com/marcosmapl/dataset_imigrantes/main/materias_filtered/a_critica/venezuelanos/2017/08_set/html/1.89417_611.html", "HTML")</f>
        <v/>
      </c>
      <c r="R2373">
        <f>HYPERLINK("https://raw.githubusercontent.com/marcosmapl/dataset_imigrantes/main/materias_filtered/a_critica/venezuelanos/2017/08_set/txt/1.89417_611.txt", "TXT")</f>
        <v/>
      </c>
    </row>
    <row r="2374">
      <c r="A2374" s="1" t="n">
        <v>2372</v>
      </c>
      <c r="B2374" t="n">
        <v>2017</v>
      </c>
      <c r="C2374" s="2" t="n">
        <v>42983.375</v>
      </c>
      <c r="D2374" t="inlineStr">
        <is>
          <t>A CRITICA</t>
        </is>
      </c>
      <c r="E2374" t="inlineStr">
        <is>
          <t>VENEZUELANOS</t>
        </is>
      </c>
      <c r="F2374" t="inlineStr"/>
      <c r="G2374" t="inlineStr">
        <is>
          <t>PAULO ANDRÉ NUNES</t>
        </is>
      </c>
      <c r="H2374" t="inlineStr">
        <is>
          <t>PARTE DE AMAZONENSES E RESIDENTES EM MANAUS NÃO SABEM HISTÓRIA DO 5 DE SETEMBRO</t>
        </is>
      </c>
      <c r="I2374" t="inlineStr">
        <is>
          <t>OUTRO FATO INTERESSANTE É QUE OUVIDOS PELA REPORTAGEM NÃO SABEM QUE A ESTÁTUA LOCALIZADA NA PRAÇA DA SAUDADE É DE TENREIRO ARANHA, O PRIMEIRO PRESIDENTE DA PROVÍNCIA</t>
        </is>
      </c>
      <c r="J2374" t="inlineStr"/>
      <c r="K2374" t="n">
        <v>0</v>
      </c>
      <c r="L2374" t="n">
        <v>1</v>
      </c>
      <c r="M2374" t="n">
        <v>0</v>
      </c>
      <c r="N2374" t="n">
        <v>0</v>
      </c>
      <c r="O2374" t="n">
        <v>0</v>
      </c>
      <c r="P2374">
        <f>HYPERLINK("https://www.acritica.com/parte-de-amazonenses-e-residentes-em-manaus-n-o-sabem-historia-do-5-de-setembro-1.95134", "URL")</f>
        <v/>
      </c>
      <c r="Q2374">
        <f>HYPERLINK("https://raw.githubusercontent.com/marcosmapl/dataset_imigrantes/main/materias_filtered/a_critica/venezuelanos/2017/08_set/html/1.95134_1240.html", "HTML")</f>
        <v/>
      </c>
      <c r="R2374">
        <f>HYPERLINK("https://raw.githubusercontent.com/marcosmapl/dataset_imigrantes/main/materias_filtered/a_critica/venezuelanos/2017/08_set/txt/1.95134_1240.txt", "TXT")</f>
        <v/>
      </c>
    </row>
    <row r="2375">
      <c r="A2375" s="1" t="n">
        <v>2373</v>
      </c>
      <c r="B2375" t="n">
        <v>2017</v>
      </c>
      <c r="C2375" s="2" t="n">
        <v>42982.62916666667</v>
      </c>
      <c r="D2375" t="inlineStr">
        <is>
          <t>A CRITICA</t>
        </is>
      </c>
      <c r="E2375" t="inlineStr">
        <is>
          <t>VENEZUELANOS</t>
        </is>
      </c>
      <c r="F2375" t="inlineStr">
        <is>
          <t>POLICIA</t>
        </is>
      </c>
      <c r="G2375" t="inlineStr">
        <is>
          <t>DANI BRITO</t>
        </is>
      </c>
      <c r="H2375" t="inlineStr">
        <is>
          <t>‘ASSOCIAÇÃO CRIMINOSA DOS NINJAS’ É PRESA POR ROUBOS A CONDOMÍNIOS DE LUXO EM MANAUS</t>
        </is>
      </c>
      <c r="I2375" t="inlineStr">
        <is>
          <t>ELES SÃO SUSPEITOS DE PELO MENOS CINCO ASSALTOS A RESIDÊNCIAS E ERAM CONHECIDOS COMO “NINJAS” PORQUE USAVAM PRETO, LUVAS E BALACLAVAS</t>
        </is>
      </c>
      <c r="J2375" t="inlineStr"/>
      <c r="K2375" t="n">
        <v>0</v>
      </c>
      <c r="L2375" t="n">
        <v>1</v>
      </c>
      <c r="M2375" t="n">
        <v>0</v>
      </c>
      <c r="N2375" t="n">
        <v>0</v>
      </c>
      <c r="O2375" t="n">
        <v>0</v>
      </c>
      <c r="P2375">
        <f>HYPERLINK("https://www.acritica.com/policia/associac-o-criminosa-dos-ninjas-e-presa-por-roubos-a-condominios-de-luxo-em-manaus-1.94955", "URL")</f>
        <v/>
      </c>
      <c r="Q2375">
        <f>HYPERLINK("https://raw.githubusercontent.com/marcosmapl/dataset_imigrantes/main/materias_filtered/a_critica/venezuelanos/2017/08_set/html/1.94955_192.html", "HTML")</f>
        <v/>
      </c>
      <c r="R2375">
        <f>HYPERLINK("https://raw.githubusercontent.com/marcosmapl/dataset_imigrantes/main/materias_filtered/a_critica/venezuelanos/2017/08_set/txt/1.94955_192.txt", "TXT")</f>
        <v/>
      </c>
    </row>
    <row r="2376">
      <c r="A2376" s="1" t="n">
        <v>2374</v>
      </c>
      <c r="B2376" t="n">
        <v>2017</v>
      </c>
      <c r="C2376" s="2" t="n">
        <v>42982.49305555555</v>
      </c>
      <c r="D2376" t="inlineStr">
        <is>
          <t>A CRITICA</t>
        </is>
      </c>
      <c r="E2376" t="inlineStr">
        <is>
          <t>VENEZUELANOS</t>
        </is>
      </c>
      <c r="F2376" t="inlineStr">
        <is>
          <t>ENTRETENIMENTO</t>
        </is>
      </c>
      <c r="G2376" t="inlineStr">
        <is>
          <t>NATÁLIA CAPLAN</t>
        </is>
      </c>
      <c r="H2376" t="inlineStr">
        <is>
          <t>VEJA DICAS DE SÉRIES PARA CURTIR EM CASA COM AMIGOS NA SEMANA DA PÁTRIA</t>
        </is>
      </c>
      <c r="I2376" t="inlineStr">
        <is>
          <t>O NETLIX LANÇOU TEMPORADAS SUPER ESPERADAS, COMO O 13º ANO DE “GREY’S ANATOMY” E OS NOVOS EPISÓDIOS DE “ONCE UPON A TIME”, ALÉM DA TERCEIRA TEMPORADA DE NARCOS</t>
        </is>
      </c>
      <c r="J2376" t="inlineStr"/>
      <c r="K2376" t="n">
        <v>0</v>
      </c>
      <c r="L2376" t="n">
        <v>1</v>
      </c>
      <c r="M2376" t="n">
        <v>0</v>
      </c>
      <c r="N2376" t="n">
        <v>0</v>
      </c>
      <c r="O2376" t="n">
        <v>0</v>
      </c>
      <c r="P2376">
        <f>HYPERLINK("https://www.acritica.com/entretenimento/veja-dicas-de-series-para-curtir-em-casa-com-amigos-na-semana-da-patria-1.95007", "URL")</f>
        <v/>
      </c>
      <c r="Q2376">
        <f>HYPERLINK("https://raw.githubusercontent.com/marcosmapl/dataset_imigrantes/main/materias_filtered/a_critica/venezuelanos/2017/08_set/html/1.95007_494.html", "HTML")</f>
        <v/>
      </c>
      <c r="R2376">
        <f>HYPERLINK("https://raw.githubusercontent.com/marcosmapl/dataset_imigrantes/main/materias_filtered/a_critica/venezuelanos/2017/08_set/txt/1.95007_494.txt", "TXT")</f>
        <v/>
      </c>
    </row>
    <row r="2377">
      <c r="A2377" s="1" t="n">
        <v>2375</v>
      </c>
      <c r="B2377" t="n">
        <v>2017</v>
      </c>
      <c r="C2377" s="2" t="n">
        <v>42978.73238425926</v>
      </c>
      <c r="D2377" t="inlineStr">
        <is>
          <t>A CRITICA</t>
        </is>
      </c>
      <c r="E2377" t="inlineStr">
        <is>
          <t>HAITIANOS</t>
        </is>
      </c>
      <c r="F2377" t="inlineStr"/>
      <c r="G2377" t="inlineStr">
        <is>
          <t>ALEX RODRIGUES – AGÊNCIA BRASIL</t>
        </is>
      </c>
      <c r="H2377" t="inlineStr">
        <is>
          <t>DEPOIS DE 13 ANOS, MILITARES BRASILEIROS COMEÇAM A DEIXAR O HAITI</t>
        </is>
      </c>
      <c r="I2377" t="inlineStr">
        <is>
          <t>NA NOITE DESTA QUINTA-FEIRA, UMA CERIMÔNIA NA CAPITAL, PORTO PRÍNCIPE, MARCARÁ O INÍCIO OFICIAL DA DESMOBILIZAÇÃO DO BATALHÃO BRASILEIRO</t>
        </is>
      </c>
      <c r="J2377" t="inlineStr"/>
      <c r="K2377" t="n">
        <v>0</v>
      </c>
      <c r="L2377" t="n">
        <v>1</v>
      </c>
      <c r="M2377" t="n">
        <v>0</v>
      </c>
      <c r="N2377" t="n">
        <v>0</v>
      </c>
      <c r="O2377" t="n">
        <v>0</v>
      </c>
      <c r="P2377">
        <f>HYPERLINK("https://www.acritica.com/depois-de-13-anos-militares-brasileiros-comecam-a-deixar-o-haiti-1.94334", "URL")</f>
        <v/>
      </c>
      <c r="Q2377">
        <f>HYPERLINK("https://raw.githubusercontent.com/marcosmapl/dataset_imigrantes/main/materias_filtered/a_critica/haitianos/2017/07_ago/html/1.94334_1048.html", "HTML")</f>
        <v/>
      </c>
      <c r="R2377">
        <f>HYPERLINK("https://raw.githubusercontent.com/marcosmapl/dataset_imigrantes/main/materias_filtered/a_critica/haitianos/2017/07_ago/txt/1.94334_1048.txt", "TXT")</f>
        <v/>
      </c>
    </row>
    <row r="2378">
      <c r="A2378" s="1" t="n">
        <v>2376</v>
      </c>
      <c r="B2378" t="n">
        <v>2017</v>
      </c>
      <c r="C2378" s="2" t="n">
        <v>42975.71540509259</v>
      </c>
      <c r="D2378" t="inlineStr">
        <is>
          <t>A CRITICA</t>
        </is>
      </c>
      <c r="E2378" t="inlineStr">
        <is>
          <t>VENEZUELANOS</t>
        </is>
      </c>
      <c r="F2378" t="inlineStr">
        <is>
          <t>MANAUS</t>
        </is>
      </c>
      <c r="G2378" t="inlineStr">
        <is>
          <t>SILANE SOUZA</t>
        </is>
      </c>
      <c r="H2378" t="inlineStr">
        <is>
          <t>PENDÊNCIAS DOCUMENTAIS DE IMÓVEIS QUE ABRIGAM INDÍGENAS CRIAM INSEGURANÇA</t>
        </is>
      </c>
      <c r="I2378" t="inlineStr">
        <is>
          <t>A SEMMASDH INFORMOU QUE A AUSÊNCIA DE DOCUMENTOS DOS LOCATÁRIOS É O PRINCIPAL ENTRAVE PARA A PREFEITURA DE MANAUS FAZER O PAGAMENTO DO ALUGUEL DOS IMÓVEIS QUE ABRIGAM OS INDÍGENAS VENEZUELANOS</t>
        </is>
      </c>
      <c r="J2378" t="inlineStr"/>
      <c r="K2378" t="n">
        <v>0</v>
      </c>
      <c r="L2378" t="n">
        <v>1</v>
      </c>
      <c r="M2378" t="n">
        <v>0</v>
      </c>
      <c r="N2378" t="n">
        <v>0</v>
      </c>
      <c r="O2378" t="n">
        <v>0</v>
      </c>
      <c r="P2378">
        <f>HYPERLINK("https://www.acritica.com/manaus/pendencias-documentais-de-imoveis-que-abrigam-indigenas-criam-inseguranca-1.93322", "URL")</f>
        <v/>
      </c>
      <c r="Q2378">
        <f>HYPERLINK("https://raw.githubusercontent.com/marcosmapl/dataset_imigrantes/main/materias_filtered/a_critica/venezuelanos/2017/07_ago/html/1.93322_566.html", "HTML")</f>
        <v/>
      </c>
      <c r="R2378">
        <f>HYPERLINK("https://raw.githubusercontent.com/marcosmapl/dataset_imigrantes/main/materias_filtered/a_critica/venezuelanos/2017/07_ago/txt/1.93322_566.txt", "TXT")</f>
        <v/>
      </c>
    </row>
    <row r="2379">
      <c r="A2379" s="1" t="n">
        <v>2377</v>
      </c>
      <c r="B2379" t="n">
        <v>2017</v>
      </c>
      <c r="C2379" s="2" t="n">
        <v>42975.01331018518</v>
      </c>
      <c r="D2379" t="inlineStr">
        <is>
          <t>A CRITICA</t>
        </is>
      </c>
      <c r="E2379" t="inlineStr">
        <is>
          <t>VENEZUELANOS</t>
        </is>
      </c>
      <c r="F2379" t="inlineStr">
        <is>
          <t>ESPORTES</t>
        </is>
      </c>
      <c r="G2379" t="inlineStr">
        <is>
          <t>VALTER CARDOSO</t>
        </is>
      </c>
      <c r="H2379" t="inlineStr">
        <is>
          <t>IMIGRANTES DE PAÍSES DA AMÉRICA DO SUL FAZEM TORNEIO NA CIDADE DE MANAUS</t>
        </is>
      </c>
      <c r="I2379" t="inlineStr">
        <is>
          <t>COMPETIÇÃO REUNIU TIMES PARA DISPUTAR TORNEIO AMISTOSO EM HOMENAGEM A SANTA ROSA DE LIMA, PADROEIRA DO PERU</t>
        </is>
      </c>
      <c r="J2379" t="inlineStr"/>
      <c r="K2379" t="n">
        <v>0</v>
      </c>
      <c r="L2379" t="n">
        <v>1</v>
      </c>
      <c r="M2379" t="n">
        <v>0</v>
      </c>
      <c r="N2379" t="n">
        <v>0</v>
      </c>
      <c r="O2379" t="n">
        <v>0</v>
      </c>
      <c r="P2379">
        <f>HYPERLINK("https://www.acritica.com/esportes/imigrantes-de-paises-da-america-do-sul-fazem-torneio-na-cidade-de-manaus-1.93334", "URL")</f>
        <v/>
      </c>
      <c r="Q2379">
        <f>HYPERLINK("https://raw.githubusercontent.com/marcosmapl/dataset_imigrantes/main/materias_filtered/a_critica/venezuelanos/2017/07_ago/html/1.93334_89.html", "HTML")</f>
        <v/>
      </c>
      <c r="R2379">
        <f>HYPERLINK("https://raw.githubusercontent.com/marcosmapl/dataset_imigrantes/main/materias_filtered/a_critica/venezuelanos/2017/07_ago/txt/1.93334_89.txt", "TXT")</f>
        <v/>
      </c>
    </row>
    <row r="2380">
      <c r="A2380" s="1" t="n">
        <v>2378</v>
      </c>
      <c r="B2380" t="n">
        <v>2017</v>
      </c>
      <c r="C2380" s="2" t="n">
        <v>42972.55833333333</v>
      </c>
      <c r="D2380" t="inlineStr">
        <is>
          <t>A CRITICA</t>
        </is>
      </c>
      <c r="E2380" t="inlineStr">
        <is>
          <t>VENEZUELANOS</t>
        </is>
      </c>
      <c r="F2380" t="inlineStr"/>
      <c r="G2380" t="inlineStr">
        <is>
          <t>ACRÍTICA.COM</t>
        </is>
      </c>
      <c r="H2380" t="inlineStr">
        <is>
          <t>MPF PEDE ESCLARECIMENTO SOBRE FALTA DE PAGAMENTO DE ALUGUEL DE VENEZUELANOS</t>
        </is>
      </c>
      <c r="I2380" t="inlineStr">
        <is>
          <t>O MPF-AM ENCAMINHOU OFÍCIO À PREFEITURA DE MANAUS SOLICITANDO ESCLARECIMENTOS SOBRE INFORMAÇÕES RECEBIDAS PELO ÓRGÃO DE QUE O ALUGUEL DE IMÓVEIS DESTINADOS A ABRIGAR INDÍGENAS WARAO, NÃO ESTÁ SENDO PAGO</t>
        </is>
      </c>
      <c r="J2380" t="inlineStr"/>
      <c r="K2380" t="n">
        <v>0</v>
      </c>
      <c r="L2380" t="n">
        <v>1</v>
      </c>
      <c r="M2380" t="n">
        <v>0</v>
      </c>
      <c r="N2380" t="n">
        <v>0</v>
      </c>
      <c r="O2380" t="n">
        <v>0</v>
      </c>
      <c r="P2380">
        <f>HYPERLINK("https://www.acritica.com/mpf-pede-esclarecimento-sobre-falta-de-pagamento-de-aluguel-de-venezuelanos-1.183798", "URL")</f>
        <v/>
      </c>
      <c r="Q2380">
        <f>HYPERLINK("https://raw.githubusercontent.com/marcosmapl/dataset_imigrantes/main/materias_filtered/a_critica/venezuelanos/2017/07_ago/html/1.183798_771.html", "HTML")</f>
        <v/>
      </c>
      <c r="R2380">
        <f>HYPERLINK("https://raw.githubusercontent.com/marcosmapl/dataset_imigrantes/main/materias_filtered/a_critica/venezuelanos/2017/07_ago/txt/1.183798_771.txt", "TXT")</f>
        <v/>
      </c>
    </row>
    <row r="2381">
      <c r="A2381" s="1" t="n">
        <v>2379</v>
      </c>
      <c r="B2381" t="n">
        <v>2017</v>
      </c>
      <c r="C2381" s="2" t="n">
        <v>42969.96178240741</v>
      </c>
      <c r="D2381" t="inlineStr">
        <is>
          <t>A CRITICA</t>
        </is>
      </c>
      <c r="E2381" t="inlineStr">
        <is>
          <t>VENEZUELANOS</t>
        </is>
      </c>
      <c r="F2381" t="inlineStr">
        <is>
          <t>MANAUS</t>
        </is>
      </c>
      <c r="G2381" t="inlineStr">
        <is>
          <t>TIAGO MELO</t>
        </is>
      </c>
      <c r="H2381" t="inlineStr">
        <is>
          <t>CERCA DE 50 PESSOAS SE REÚNEM EM ATO DE APOIO AO PRESIDENTE NICOLÁS MADURO</t>
        </is>
      </c>
      <c r="I2381" t="inlineStr">
        <is>
          <t>EVENTO QUE ACONTECEU NA SEDE DO SINDIPETRO CONTOU COM A PRESENÇA DE REPRESENTANTES PARTIDÁRIOS E CÔNSULES</t>
        </is>
      </c>
      <c r="J2381" t="inlineStr"/>
      <c r="K2381" t="n">
        <v>0</v>
      </c>
      <c r="L2381" t="n">
        <v>1</v>
      </c>
      <c r="M2381" t="n">
        <v>0</v>
      </c>
      <c r="N2381" t="n">
        <v>0</v>
      </c>
      <c r="O2381" t="n">
        <v>0</v>
      </c>
      <c r="P2381">
        <f>HYPERLINK("https://www.acritica.com/manaus/cerca-de-50-pessoas-se-reunem-em-ato-de-apoio-ao-presidente-nicolas-maduro-1.86781", "URL")</f>
        <v/>
      </c>
      <c r="Q2381">
        <f>HYPERLINK("https://raw.githubusercontent.com/marcosmapl/dataset_imigrantes/main/materias_filtered/a_critica/venezuelanos/2017/07_ago/html/1.86781_1054.html", "HTML")</f>
        <v/>
      </c>
      <c r="R2381">
        <f>HYPERLINK("https://raw.githubusercontent.com/marcosmapl/dataset_imigrantes/main/materias_filtered/a_critica/venezuelanos/2017/07_ago/txt/1.86781_1054.txt", "TXT")</f>
        <v/>
      </c>
    </row>
    <row r="2382">
      <c r="A2382" s="1" t="n">
        <v>2380</v>
      </c>
      <c r="B2382" t="n">
        <v>2017</v>
      </c>
      <c r="C2382" s="2" t="n">
        <v>42967.08333333334</v>
      </c>
      <c r="D2382" t="inlineStr">
        <is>
          <t>A CRITICA</t>
        </is>
      </c>
      <c r="E2382" t="inlineStr">
        <is>
          <t>VENEZUELANOS</t>
        </is>
      </c>
      <c r="F2382" t="inlineStr">
        <is>
          <t>AMAZONIA</t>
        </is>
      </c>
      <c r="G2382" t="inlineStr">
        <is>
          <t>SÉRGIO MIRANDA - ESPECIAL PARA A CRÍTICA</t>
        </is>
      </c>
      <c r="H2382" t="inlineStr">
        <is>
          <t>SÉRIE 'MISTÉRIOS DA AMAZÔNIA' MOSTRA EXPEDIÇÃO INÉDITA NA SERRA DO ARACÁ</t>
        </is>
      </c>
      <c r="I2382" t="inlineStr">
        <is>
          <t>SÉRIE DE REPORTAGENS MOSTRA A ‘AVENTURA’ DE PESQUISADORES E UMA EQUIPE DE JORNALISMO EM UMA EXPEDIÇÃO A UM DESTINO QUASE DESCONHECIDO: O PARQUE ESTADUAL DA SERRA DO ARACÁ, EM BARCELOS</t>
        </is>
      </c>
      <c r="J2382" t="inlineStr"/>
      <c r="K2382" t="n">
        <v>0</v>
      </c>
      <c r="L2382" t="n">
        <v>1</v>
      </c>
      <c r="M2382" t="n">
        <v>0</v>
      </c>
      <c r="N2382" t="n">
        <v>0</v>
      </c>
      <c r="O2382" t="n">
        <v>0</v>
      </c>
      <c r="P2382">
        <f>HYPERLINK("https://www.acritica.com/amazonia/serie-misterios-da-amazonia-mostra-expedic-o-inedita-na-serra-do-araca-1.89696", "URL")</f>
        <v/>
      </c>
      <c r="Q2382">
        <f>HYPERLINK("https://raw.githubusercontent.com/marcosmapl/dataset_imigrantes/main/materias_filtered/a_critica/venezuelanos/2017/07_ago/html/1.89696_540.html", "HTML")</f>
        <v/>
      </c>
      <c r="R2382">
        <f>HYPERLINK("https://raw.githubusercontent.com/marcosmapl/dataset_imigrantes/main/materias_filtered/a_critica/venezuelanos/2017/07_ago/txt/1.89696_540.txt", "TXT")</f>
        <v/>
      </c>
    </row>
    <row r="2383">
      <c r="A2383" s="1" t="n">
        <v>2381</v>
      </c>
      <c r="B2383" t="n">
        <v>2017</v>
      </c>
      <c r="C2383" s="2" t="n">
        <v>42966.91458333333</v>
      </c>
      <c r="D2383" t="inlineStr">
        <is>
          <t>G1</t>
        </is>
      </c>
      <c r="E2383" t="inlineStr">
        <is>
          <t>VENEZUELANOS</t>
        </is>
      </c>
      <c r="F2383" t="inlineStr"/>
      <c r="G2383" t="inlineStr"/>
      <c r="H2383" t="inlineStr">
        <is>
          <t>PARLAMENTO VENEZUELANO DIZ QUE NÃO SE SUBMETERÁ À ASSEMBLEIA DE MADURO</t>
        </is>
      </c>
      <c r="I2383" t="inlineStr"/>
      <c r="J2383" t="inlineStr">
        <is>
          <t>NICOLÁS MADURO, VENEZUELA</t>
        </is>
      </c>
      <c r="K2383" t="n">
        <v>2</v>
      </c>
      <c r="L2383" t="n">
        <v>4</v>
      </c>
      <c r="M2383" t="n">
        <v>0</v>
      </c>
      <c r="N2383" t="n">
        <v>0</v>
      </c>
      <c r="O2383" t="n">
        <v>14</v>
      </c>
      <c r="P2383">
        <f>HYPERLINK("http://g1.globo.com/jornal-nacional/noticia/2017/08/parlamento-venezuelano-diz-que-nao-se-submetera-assembleia-de-maduro.html", "URL")</f>
        <v/>
      </c>
      <c r="Q2383">
        <f>HYPERLINK("https://raw.githubusercontent.com/marcosmapl/dataset_imigrantes/main/materias_filtered/g1/venezuelanos/2017/07_ago/html/g1_c02b0eb6-2329-11ed-b24f-6dbe51e79fca_4137.html", "HTML")</f>
        <v/>
      </c>
      <c r="R2383">
        <f>HYPERLINK("https://raw.githubusercontent.com/marcosmapl/dataset_imigrantes/main/materias_filtered/g1/venezuelanos/2017/07_ago/txt/g1_c02b0eb6-2329-11ed-b24f-6dbe51e79fca_4137.txt", "TXT")</f>
        <v/>
      </c>
    </row>
    <row r="2384">
      <c r="A2384" s="1" t="n">
        <v>2382</v>
      </c>
      <c r="B2384" t="n">
        <v>2017</v>
      </c>
      <c r="C2384" s="2" t="n">
        <v>42963.78541666667</v>
      </c>
      <c r="D2384" t="inlineStr">
        <is>
          <t>A CRITICA</t>
        </is>
      </c>
      <c r="E2384" t="inlineStr">
        <is>
          <t>HAITIANOS</t>
        </is>
      </c>
      <c r="F2384" t="inlineStr"/>
      <c r="G2384" t="inlineStr">
        <is>
          <t>PAULO ANDRÉ NUNES</t>
        </is>
      </c>
      <c r="H2384" t="inlineStr">
        <is>
          <t>CURSO AJUDA HAITIANOS A LECIONAR E PARCELA DA POPULAÇÃO A APRENDER INGLÊS E FRANCÊS</t>
        </is>
      </c>
      <c r="I2384" t="inlineStr">
        <is>
          <t>CRIADO SEM FINS LUCRATIVOS, OS CURSOS DE IDIOMAS DO PROJETO SOCIAL TO BE DA ORGANIZAÇÃO ENACTUS UNINORTE VISAM INTEGRAR IMIGRANTES HAITIANOS NA SOCIEDADE MANAUENSE, DANDO-LHES TREINAMENTO E CONDIÇÕES IDEAIS PARA QUE POSSAM DAR AULAS PARTICULARES DE IDIOMAS, CAPACITANDO A POPULAÇÃO CONSIDERADA DE BAIXA RENDA PARA MELHOR INSERÇÃO NO MERCADO DE TRABALHO</t>
        </is>
      </c>
      <c r="J2384" t="inlineStr"/>
      <c r="K2384" t="n">
        <v>0</v>
      </c>
      <c r="L2384" t="n">
        <v>1</v>
      </c>
      <c r="M2384" t="n">
        <v>0</v>
      </c>
      <c r="N2384" t="n">
        <v>0</v>
      </c>
      <c r="O2384" t="n">
        <v>1</v>
      </c>
      <c r="P2384">
        <f>HYPERLINK("https://www.acritica.com/curso-ajuda-haitianos-a-lecionar-e-parcela-da-populac-o-a-aprender-ingles-e-frances-1.198303", "URL")</f>
        <v/>
      </c>
      <c r="Q2384">
        <f>HYPERLINK("https://raw.githubusercontent.com/marcosmapl/dataset_imigrantes/main/materias_filtered/a_critica/haitianos/2017/07_ago/html/1.198303_910.html", "HTML")</f>
        <v/>
      </c>
      <c r="R2384">
        <f>HYPERLINK("https://raw.githubusercontent.com/marcosmapl/dataset_imigrantes/main/materias_filtered/a_critica/haitianos/2017/07_ago/txt/1.198303_910.txt", "TXT")</f>
        <v/>
      </c>
    </row>
    <row r="2385">
      <c r="A2385" s="1" t="n">
        <v>2383</v>
      </c>
      <c r="B2385" t="n">
        <v>2017</v>
      </c>
      <c r="C2385" s="2" t="n">
        <v>42961.80902777778</v>
      </c>
      <c r="D2385" t="inlineStr">
        <is>
          <t>PORTAL AMAZONIA</t>
        </is>
      </c>
      <c r="E2385" t="inlineStr">
        <is>
          <t>VENEZUELANOS</t>
        </is>
      </c>
      <c r="F2385" t="inlineStr">
        <is>
          <t>CIDADES</t>
        </is>
      </c>
      <c r="G2385" t="inlineStr">
        <is>
          <t>REDAÇÃO</t>
        </is>
      </c>
      <c r="H2385" t="inlineStr">
        <is>
          <t>SENADO DEVE ANALISAR CRISE NA VENEZUELA NESTA TERÇA-FEIRA</t>
        </is>
      </c>
      <c r="I2385" t="inlineStr">
        <is>
          <t>A CRISE NA VENEZUELA DEVE DOMINAR A PAUTA DO SENADO BRASILEIRO NESTA TERÇA-FEIRA (15). É QUE ESTÃO NA PAUTA O PLENÁRIO DA CASA DOIS REQUERIMENTOS ENVOLVENDO O PAÍS. UM DELES, APRESENTADO PELO SENADOR RICARDO FERRAÇO (PSDB-ES), PEDE VOTO DE CENSURA AO</t>
        </is>
      </c>
      <c r="J2385" t="inlineStr">
        <is>
          <t>CRISE POLÍTICA, NICOLÃ¡S MADURO, POLITICA, SENADO, VENEZUELA</t>
        </is>
      </c>
      <c r="K2385" t="n">
        <v>5</v>
      </c>
      <c r="L2385" t="n">
        <v>1</v>
      </c>
      <c r="M2385" t="n">
        <v>0</v>
      </c>
      <c r="N2385" t="n">
        <v>0</v>
      </c>
      <c r="O2385" t="n">
        <v>10</v>
      </c>
      <c r="P2385">
        <f>HYPERLINK("https://portalamazonia.com/noticias/cidades/senado-deve-analisar-crise-na-venezuela-nesta-terca-feira", "URL")</f>
        <v/>
      </c>
      <c r="Q2385">
        <f>HYPERLINK("https://raw.githubusercontent.com/marcosmapl/dataset_imigrantes/main/materias_filtered/portal_amazonia/venezuelanos/2017/07_ago/html/9038.9038_1596.html", "HTML")</f>
        <v/>
      </c>
      <c r="R2385">
        <f>HYPERLINK("https://raw.githubusercontent.com/marcosmapl/dataset_imigrantes/main/materias_filtered/portal_amazonia/venezuelanos/2017/07_ago/txt/9038.9038_1596.txt", "TXT")</f>
        <v/>
      </c>
    </row>
    <row r="2386">
      <c r="A2386" s="1" t="n">
        <v>2384</v>
      </c>
      <c r="B2386" t="n">
        <v>2017</v>
      </c>
      <c r="C2386" s="2" t="n">
        <v>42960.97319444444</v>
      </c>
      <c r="D2386" t="inlineStr">
        <is>
          <t>A CRITICA</t>
        </is>
      </c>
      <c r="E2386" t="inlineStr">
        <is>
          <t>VENEZUELANOS</t>
        </is>
      </c>
      <c r="F2386" t="inlineStr"/>
      <c r="G2386" t="inlineStr">
        <is>
          <t>AFP</t>
        </is>
      </c>
      <c r="H2386" t="inlineStr">
        <is>
          <t>EM MEIO A IMPOTÊNCIA, FRUSTRAÇÃO E RAIVA, PROTESTOS DA OPOSIÇÃO ESFRIAM EM CARACAS</t>
        </is>
      </c>
      <c r="I2386" t="inlineStr">
        <is>
          <t>CONSTITUINTE FOI ELEITA EM 30 DE JULHO, SEM A PARTICIPAÇÃO DA OPOSIÇÃO, E EM MEIO A UM FORTE RECHAÇO INTERNACIONAL. MUITOS ASSUMIRAM O FATO COMO UMA DERROTA.</t>
        </is>
      </c>
      <c r="J2386" t="inlineStr"/>
      <c r="K2386" t="n">
        <v>0</v>
      </c>
      <c r="L2386" t="n">
        <v>1</v>
      </c>
      <c r="M2386" t="n">
        <v>0</v>
      </c>
      <c r="N2386" t="n">
        <v>0</v>
      </c>
      <c r="O2386" t="n">
        <v>0</v>
      </c>
      <c r="P2386">
        <f>HYPERLINK("https://www.acritica.com/em-meio-a-impotencia-frustrac-o-e-raiva-protestos-da-oposic-o-esfriam-em-caracas-1.82836", "URL")</f>
        <v/>
      </c>
      <c r="Q2386">
        <f>HYPERLINK("https://raw.githubusercontent.com/marcosmapl/dataset_imigrantes/main/materias_filtered/a_critica/venezuelanos/2017/07_ago/html/1.82836_254.html", "HTML")</f>
        <v/>
      </c>
      <c r="R2386">
        <f>HYPERLINK("https://raw.githubusercontent.com/marcosmapl/dataset_imigrantes/main/materias_filtered/a_critica/venezuelanos/2017/07_ago/txt/1.82836_254.txt", "TXT")</f>
        <v/>
      </c>
    </row>
    <row r="2387">
      <c r="A2387" s="1" t="n">
        <v>2385</v>
      </c>
      <c r="B2387" t="n">
        <v>2017</v>
      </c>
      <c r="C2387" s="2" t="n">
        <v>42958.02517361111</v>
      </c>
      <c r="D2387" t="inlineStr">
        <is>
          <t>A CRITICA</t>
        </is>
      </c>
      <c r="E2387" t="inlineStr">
        <is>
          <t>VENEZUELANOS</t>
        </is>
      </c>
      <c r="F2387" t="inlineStr"/>
      <c r="G2387" t="inlineStr"/>
      <c r="H2387" t="inlineStr">
        <is>
          <t>PRESIDENTE CONFRONTADO SOBRE A ZONA FRANCA DE MANAUS</t>
        </is>
      </c>
      <c r="I2387" t="inlineStr"/>
      <c r="J2387" t="inlineStr"/>
      <c r="K2387" t="n">
        <v>0</v>
      </c>
      <c r="L2387" t="n">
        <v>1</v>
      </c>
      <c r="M2387" t="n">
        <v>0</v>
      </c>
      <c r="N2387" t="n">
        <v>0</v>
      </c>
      <c r="O2387" t="n">
        <v>0</v>
      </c>
      <c r="P2387">
        <f>HYPERLINK("https://www.acritica.com/presidente-confrontado-sobre-a-zona-franca-de-manaus-1.226035", "URL")</f>
        <v/>
      </c>
      <c r="Q2387">
        <f>HYPERLINK("https://raw.githubusercontent.com/marcosmapl/dataset_imigrantes/main/materias_filtered/a_critica/venezuelanos/2017/07_ago/html/1.226035_1148.html", "HTML")</f>
        <v/>
      </c>
      <c r="R2387">
        <f>HYPERLINK("https://raw.githubusercontent.com/marcosmapl/dataset_imigrantes/main/materias_filtered/a_critica/venezuelanos/2017/07_ago/txt/1.226035_1148.txt", "TXT")</f>
        <v/>
      </c>
    </row>
    <row r="2388">
      <c r="A2388" s="1" t="n">
        <v>2386</v>
      </c>
      <c r="B2388" t="n">
        <v>2017</v>
      </c>
      <c r="C2388" s="2" t="n">
        <v>42955.92413194444</v>
      </c>
      <c r="D2388" t="inlineStr">
        <is>
          <t>A CRITICA</t>
        </is>
      </c>
      <c r="E2388" t="inlineStr">
        <is>
          <t>VENEZUELANOS</t>
        </is>
      </c>
      <c r="F2388" t="inlineStr"/>
      <c r="G2388" t="inlineStr">
        <is>
          <t>ESTADÃO CONTEÚDO</t>
        </is>
      </c>
      <c r="H2388" t="inlineStr">
        <is>
          <t>CONSTITUINTE NA VENEZUELA SE DECLARA SUPERIOR A DEMAIS PODERES COM APROVAÇÃO DE DECRETO</t>
        </is>
      </c>
      <c r="I2388" t="inlineStr">
        <is>
          <t>A ORDEM, APROVADA NESTA TERÇA-FEIRA (8), IMPEDE QUE A ASSEMBLEIA NACIONAL, QUE É CONTROLADA PELA OPOSIÇÃO, E OUTRAS AGÊNCIAS TOMEM QUALQUER AÇÃO QUE INTERFIRA NAS LEIS APROVADAS PELA CONSTITUINTE</t>
        </is>
      </c>
      <c r="J2388" t="inlineStr"/>
      <c r="K2388" t="n">
        <v>0</v>
      </c>
      <c r="L2388" t="n">
        <v>1</v>
      </c>
      <c r="M2388" t="n">
        <v>0</v>
      </c>
      <c r="N2388" t="n">
        <v>0</v>
      </c>
      <c r="O2388" t="n">
        <v>0</v>
      </c>
      <c r="P2388">
        <f>HYPERLINK("https://www.acritica.com/constituinte-na-venezuela-se-declara-superior-a-demais-poderes-com-aprovac-o-de-decreto-1.199755", "URL")</f>
        <v/>
      </c>
      <c r="Q2388">
        <f>HYPERLINK("https://raw.githubusercontent.com/marcosmapl/dataset_imigrantes/main/materias_filtered/a_critica/venezuelanos/2017/07_ago/html/1.199755_7.html", "HTML")</f>
        <v/>
      </c>
      <c r="R2388">
        <f>HYPERLINK("https://raw.githubusercontent.com/marcosmapl/dataset_imigrantes/main/materias_filtered/a_critica/venezuelanos/2017/07_ago/txt/1.199755_7.txt", "TXT")</f>
        <v/>
      </c>
    </row>
    <row r="2389">
      <c r="A2389" s="1" t="n">
        <v>2387</v>
      </c>
      <c r="B2389" t="n">
        <v>2017</v>
      </c>
      <c r="C2389" s="2" t="n">
        <v>42955.70228009259</v>
      </c>
      <c r="D2389" t="inlineStr">
        <is>
          <t>A CRITICA</t>
        </is>
      </c>
      <c r="E2389" t="inlineStr">
        <is>
          <t>VENEZUELANOS</t>
        </is>
      </c>
      <c r="F2389" t="inlineStr"/>
      <c r="G2389" t="inlineStr">
        <is>
          <t>MARTA FURTADA (AGÊNCIA EFE)</t>
        </is>
      </c>
      <c r="H2389" t="inlineStr">
        <is>
          <t>ONU ACUSA VENEZUELA DE MAUS-TRATOS E TORTURA A MANIFESTANTES EM PROTESTOS</t>
        </is>
      </c>
      <c r="I2389" t="inlineStr">
        <is>
          <t>PARA NAÇÕES UNIDAS, PAÍS VEM USANDO DE FORÇA EXCESSIVA E PRISÕES PARA SUFOCAR PELO MENOS 5 MIL MANIFESTANTES E DETIDOS</t>
        </is>
      </c>
      <c r="J2389" t="inlineStr"/>
      <c r="K2389" t="n">
        <v>0</v>
      </c>
      <c r="L2389" t="n">
        <v>1</v>
      </c>
      <c r="M2389" t="n">
        <v>0</v>
      </c>
      <c r="N2389" t="n">
        <v>0</v>
      </c>
      <c r="O2389" t="n">
        <v>0</v>
      </c>
      <c r="P2389">
        <f>HYPERLINK("https://www.acritica.com/onu-acusa-venezuela-de-maus-tratos-e-tortura-a-manifestantes-em-protestos-1.199732", "URL")</f>
        <v/>
      </c>
      <c r="Q2389">
        <f>HYPERLINK("https://raw.githubusercontent.com/marcosmapl/dataset_imigrantes/main/materias_filtered/a_critica/venezuelanos/2017/07_ago/html/1.199732_496.html", "HTML")</f>
        <v/>
      </c>
      <c r="R2389">
        <f>HYPERLINK("https://raw.githubusercontent.com/marcosmapl/dataset_imigrantes/main/materias_filtered/a_critica/venezuelanos/2017/07_ago/txt/1.199732_496.txt", "TXT")</f>
        <v/>
      </c>
    </row>
    <row r="2390">
      <c r="A2390" s="1" t="n">
        <v>2388</v>
      </c>
      <c r="B2390" t="n">
        <v>2017</v>
      </c>
      <c r="C2390" s="2" t="n">
        <v>42951.55694444444</v>
      </c>
      <c r="D2390" t="inlineStr">
        <is>
          <t>PORTAL AMAZONIA</t>
        </is>
      </c>
      <c r="E2390" t="inlineStr">
        <is>
          <t>VENEZUELANOS</t>
        </is>
      </c>
      <c r="F2390" t="inlineStr">
        <is>
          <t>CIDADES</t>
        </is>
      </c>
      <c r="G2390" t="inlineStr">
        <is>
          <t>REDAÇÃO</t>
        </is>
      </c>
      <c r="H2390" t="inlineStr">
        <is>
          <t>CRISE NA VENEZUELA LEVA INDÍGENAS AO PARÁ</t>
        </is>
      </c>
      <c r="I2390" t="inlineStr">
        <is>
          <t>EM BELÉM, NO PARÁ, UM GRUPO DE 15 INDÍGENAS VENEZUELANOS DA ETNIA WARAO, EM SITUAÇÃO DE VULNERABILIDADE SOCIAL, VAI SER ENCAMINHADO PARA UM ABRIGO DO ESTADO.SÃO QUATRO FAMÍLIAS. SETE CRIANÇAS ESTÃO NO GRUPO. O CASO FOI LEVADO À SECRETARIA DE JUSTIÇA</t>
        </is>
      </c>
      <c r="J2390" t="inlineStr">
        <is>
          <t>INDÍGENAS, PARÃ¡, VENEZUELANOS, WARAO</t>
        </is>
      </c>
      <c r="K2390" t="n">
        <v>4</v>
      </c>
      <c r="L2390" t="n">
        <v>1</v>
      </c>
      <c r="M2390" t="n">
        <v>0</v>
      </c>
      <c r="N2390" t="n">
        <v>0</v>
      </c>
      <c r="O2390" t="n">
        <v>9</v>
      </c>
      <c r="P2390">
        <f>HYPERLINK("https://portalamazonia.com/noticias/cidades/crise-na-venezuela-leva-indigenas-ao-para", "URL")</f>
        <v/>
      </c>
      <c r="Q2390">
        <f>HYPERLINK("https://raw.githubusercontent.com/marcosmapl/dataset_imigrantes/main/materias_filtered/portal_amazonia/venezuelanos/2017/07_ago/html/8933.8933_1432.html", "HTML")</f>
        <v/>
      </c>
      <c r="R2390">
        <f>HYPERLINK("https://raw.githubusercontent.com/marcosmapl/dataset_imigrantes/main/materias_filtered/portal_amazonia/venezuelanos/2017/07_ago/txt/8933.8933_1432.txt", "TXT")</f>
        <v/>
      </c>
    </row>
    <row r="2391">
      <c r="A2391" s="1" t="n">
        <v>2389</v>
      </c>
      <c r="B2391" t="n">
        <v>2017</v>
      </c>
      <c r="C2391" s="2" t="n">
        <v>42947.45144675926</v>
      </c>
      <c r="D2391" t="inlineStr">
        <is>
          <t>A CRITICA</t>
        </is>
      </c>
      <c r="E2391" t="inlineStr">
        <is>
          <t>VENEZUELANOS</t>
        </is>
      </c>
      <c r="F2391" t="inlineStr"/>
      <c r="G2391" t="inlineStr">
        <is>
          <t>REUTERS</t>
        </is>
      </c>
      <c r="H2391" t="inlineStr">
        <is>
          <t>PROTESTOS CONTRA ELEIÇÃO DE ASSEMBLEIA CONSTITUINTE NA VENEZUELA DEIXAM 10 MORTOS</t>
        </is>
      </c>
      <c r="I2391" t="inlineStr">
        <is>
          <t>INTERDITANDO ALGUMAS RUAS COM CORDAS OU BARRICADAS, MANIFESTANTES DE OPOSIÇÃO PROTESTARAM AO LONGO DO DIA, MAS FORAM REPELIDOS PELAS FORÇAS DE SEGURANÇA, NO DIA MAIS VIOLENTO DESDE QUE COMEÇOU AS MANIFESTAÇÕES</t>
        </is>
      </c>
      <c r="J2391" t="inlineStr"/>
      <c r="K2391" t="n">
        <v>0</v>
      </c>
      <c r="L2391" t="n">
        <v>1</v>
      </c>
      <c r="M2391" t="n">
        <v>0</v>
      </c>
      <c r="N2391" t="n">
        <v>0</v>
      </c>
      <c r="O2391" t="n">
        <v>0</v>
      </c>
      <c r="P2391">
        <f>HYPERLINK("https://www.acritica.com/protestos-contra-eleic-o-de-assembleia-constituinte-na-venezuela-deixam-10-mortos-1.196385", "URL")</f>
        <v/>
      </c>
      <c r="Q2391">
        <f>HYPERLINK("https://raw.githubusercontent.com/marcosmapl/dataset_imigrantes/main/materias_filtered/a_critica/venezuelanos/2017/06_jul/html/1.196385_510.html", "HTML")</f>
        <v/>
      </c>
      <c r="R2391">
        <f>HYPERLINK("https://raw.githubusercontent.com/marcosmapl/dataset_imigrantes/main/materias_filtered/a_critica/venezuelanos/2017/06_jul/txt/1.196385_510.txt", "TXT")</f>
        <v/>
      </c>
    </row>
    <row r="2392">
      <c r="A2392" s="1" t="n">
        <v>2390</v>
      </c>
      <c r="B2392" t="n">
        <v>2017</v>
      </c>
      <c r="C2392" s="2" t="n">
        <v>42946.82361111111</v>
      </c>
      <c r="D2392" t="inlineStr">
        <is>
          <t>A CRITICA</t>
        </is>
      </c>
      <c r="E2392" t="inlineStr">
        <is>
          <t>VENEZUELANOS</t>
        </is>
      </c>
      <c r="F2392" t="inlineStr"/>
      <c r="G2392" t="inlineStr">
        <is>
          <t>ESTADÃO CONTEÚDO</t>
        </is>
      </c>
      <c r="H2392" t="inlineStr">
        <is>
          <t>MAIS DUAS PESSOAS MORREM EM PROTESTOS CONTRA VOTAÇÃO NA VENEZUELA</t>
        </is>
      </c>
      <c r="I2392" t="inlineStr">
        <is>
          <t>DURANTE A MANHÃ, AO MENOS TRÊS PESSOAS MORRERAM EM PROTESTOS CONTRA A CRIAÇÃO DA ASSEMBLEIA NACIONAL CONSTITUINTE</t>
        </is>
      </c>
      <c r="J2392" t="inlineStr"/>
      <c r="K2392" t="n">
        <v>0</v>
      </c>
      <c r="L2392" t="n">
        <v>1</v>
      </c>
      <c r="M2392" t="n">
        <v>0</v>
      </c>
      <c r="N2392" t="n">
        <v>0</v>
      </c>
      <c r="O2392" t="n">
        <v>0</v>
      </c>
      <c r="P2392">
        <f>HYPERLINK("https://www.acritica.com/mais-duas-pessoas-morrem-em-protestos-contra-votac-o-na-venezuela-1.196421", "URL")</f>
        <v/>
      </c>
      <c r="Q2392">
        <f>HYPERLINK("https://raw.githubusercontent.com/marcosmapl/dataset_imigrantes/main/materias_filtered/a_critica/venezuelanos/2017/06_jul/html/1.196421_477.html", "HTML")</f>
        <v/>
      </c>
      <c r="R2392">
        <f>HYPERLINK("https://raw.githubusercontent.com/marcosmapl/dataset_imigrantes/main/materias_filtered/a_critica/venezuelanos/2017/06_jul/txt/1.196421_477.txt", "TXT")</f>
        <v/>
      </c>
    </row>
    <row r="2393">
      <c r="A2393" s="1" t="n">
        <v>2391</v>
      </c>
      <c r="B2393" t="n">
        <v>2017</v>
      </c>
      <c r="C2393" s="2" t="n">
        <v>42945.05763888889</v>
      </c>
      <c r="D2393" t="inlineStr">
        <is>
          <t>A CRITICA</t>
        </is>
      </c>
      <c r="E2393" t="inlineStr">
        <is>
          <t>VENEZUELANOS</t>
        </is>
      </c>
      <c r="F2393" t="inlineStr">
        <is>
          <t>AMAZONIA</t>
        </is>
      </c>
      <c r="G2393" t="inlineStr">
        <is>
          <t>SILANE SOUZA</t>
        </is>
      </c>
      <c r="H2393" t="inlineStr">
        <is>
          <t>SECRETÁRIO ALERTA QUE SÓ A FISCALIZAÇÃO CONTRA A DERRUBADA DA MATA NÃO É SOLUÇÃO</t>
        </is>
      </c>
      <c r="I2393" t="inlineStr">
        <is>
          <t>PARA ALFREDO SIRKIS É FUNDAMENTAL TER UMA SÉRIE DE MEDIDAS ECONÔMICAS PARA ESTIMULAR QUE AS PESSOAS NÃO DESMATEM A FLORESTA</t>
        </is>
      </c>
      <c r="J2393" t="inlineStr"/>
      <c r="K2393" t="n">
        <v>0</v>
      </c>
      <c r="L2393" t="n">
        <v>1</v>
      </c>
      <c r="M2393" t="n">
        <v>0</v>
      </c>
      <c r="N2393" t="n">
        <v>0</v>
      </c>
      <c r="O2393" t="n">
        <v>0</v>
      </c>
      <c r="P2393">
        <f>HYPERLINK("https://www.acritica.com/amazonia/secretario-alerta-que-so-a-fiscalizac-o-contra-a-derrubada-da-mata-n-o-e-soluc-o-1.196250", "URL")</f>
        <v/>
      </c>
      <c r="Q2393">
        <f>HYPERLINK("https://raw.githubusercontent.com/marcosmapl/dataset_imigrantes/main/materias_filtered/a_critica/venezuelanos/2017/06_jul/html/1.196250_1165.html", "HTML")</f>
        <v/>
      </c>
      <c r="R2393">
        <f>HYPERLINK("https://raw.githubusercontent.com/marcosmapl/dataset_imigrantes/main/materias_filtered/a_critica/venezuelanos/2017/06_jul/txt/1.196250_1165.txt", "TXT")</f>
        <v/>
      </c>
    </row>
    <row r="2394">
      <c r="A2394" s="1" t="n">
        <v>2392</v>
      </c>
      <c r="B2394" t="n">
        <v>2017</v>
      </c>
      <c r="C2394" s="2" t="n">
        <v>42943.81377314815</v>
      </c>
      <c r="D2394" t="inlineStr">
        <is>
          <t>A CRITICA</t>
        </is>
      </c>
      <c r="E2394" t="inlineStr">
        <is>
          <t>VENEZUELANOS</t>
        </is>
      </c>
      <c r="F2394" t="inlineStr"/>
      <c r="G2394" t="inlineStr">
        <is>
          <t>ACRÍTICA.COM</t>
        </is>
      </c>
      <c r="H2394" t="inlineStr">
        <is>
          <t>OFICINA DISCUTE DIREITOS E DEVERES DE IMIGRANTES E REFUGIADOS NO BRASIL</t>
        </is>
      </c>
      <c r="I2394" t="inlineStr">
        <is>
          <t>A OFICINA ATENDE A SOLICITAÇÃO DA SEMMASDH E SEJUSC, POR MEIO DE UM CONJUNTO DE ATIVIDADES QUE ASSEGURAM A PROTEÇÃO DOS INDÍGENAS VENEZUELANOS</t>
        </is>
      </c>
      <c r="J2394" t="inlineStr"/>
      <c r="K2394" t="n">
        <v>0</v>
      </c>
      <c r="L2394" t="n">
        <v>1</v>
      </c>
      <c r="M2394" t="n">
        <v>0</v>
      </c>
      <c r="N2394" t="n">
        <v>0</v>
      </c>
      <c r="O2394" t="n">
        <v>0</v>
      </c>
      <c r="P2394">
        <f>HYPERLINK("https://www.acritica.com/oficina-discute-direitos-e-deveres-de-imigrantes-e-refugiados-no-brasil-1.195928", "URL")</f>
        <v/>
      </c>
      <c r="Q2394">
        <f>HYPERLINK("https://raw.githubusercontent.com/marcosmapl/dataset_imigrantes/main/materias_filtered/a_critica/venezuelanos/2017/06_jul/html/1.195928_850.html", "HTML")</f>
        <v/>
      </c>
      <c r="R2394">
        <f>HYPERLINK("https://raw.githubusercontent.com/marcosmapl/dataset_imigrantes/main/materias_filtered/a_critica/venezuelanos/2017/06_jul/txt/1.195928_850.txt", "TXT")</f>
        <v/>
      </c>
    </row>
    <row r="2395">
      <c r="A2395" s="1" t="n">
        <v>2393</v>
      </c>
      <c r="B2395" t="n">
        <v>2017</v>
      </c>
      <c r="C2395" s="2" t="n">
        <v>42942.94251157407</v>
      </c>
      <c r="D2395" t="inlineStr">
        <is>
          <t>A CRITICA</t>
        </is>
      </c>
      <c r="E2395" t="inlineStr">
        <is>
          <t>VENEZUELANOS</t>
        </is>
      </c>
      <c r="F2395" t="inlineStr">
        <is>
          <t>MANAUS</t>
        </is>
      </c>
      <c r="G2395" t="inlineStr">
        <is>
          <t>FÁBIO OLIVEIRA</t>
        </is>
      </c>
      <c r="H2395" t="inlineStr">
        <is>
          <t>VENEZUELANOS SÃO PRESOS COM DROGAS E MUNIÇÃO NO CENTRO DE MANAUS</t>
        </is>
      </c>
      <c r="I2395" t="inlineStr">
        <is>
          <t>OS DOIS FORAM DENUNCIADOS À POLÍCIA CIVIL POR MEIO DO DISQUE DENÚNCIA, SEGUNDO INFORMOU O DELEGADO JEFF MAC DONALD, TITULAR DO 6º DIP</t>
        </is>
      </c>
      <c r="J2395" t="inlineStr"/>
      <c r="K2395" t="n">
        <v>0</v>
      </c>
      <c r="L2395" t="n">
        <v>1</v>
      </c>
      <c r="M2395" t="n">
        <v>0</v>
      </c>
      <c r="N2395" t="n">
        <v>0</v>
      </c>
      <c r="O2395" t="n">
        <v>0</v>
      </c>
      <c r="P2395">
        <f>HYPERLINK("https://www.acritica.com/manaus/venezuelanos-s-o-presos-com-drogas-e-munic-o-no-centro-de-manaus-1.195848", "URL")</f>
        <v/>
      </c>
      <c r="Q2395">
        <f>HYPERLINK("https://raw.githubusercontent.com/marcosmapl/dataset_imigrantes/main/materias_filtered/a_critica/venezuelanos/2017/06_jul/html/1.195848_1061.html", "HTML")</f>
        <v/>
      </c>
      <c r="R2395">
        <f>HYPERLINK("https://raw.githubusercontent.com/marcosmapl/dataset_imigrantes/main/materias_filtered/a_critica/venezuelanos/2017/06_jul/txt/1.195848_1061.txt", "TXT")</f>
        <v/>
      </c>
    </row>
    <row r="2396">
      <c r="A2396" s="1" t="n">
        <v>2394</v>
      </c>
      <c r="B2396" t="n">
        <v>2017</v>
      </c>
      <c r="C2396" s="2" t="n">
        <v>42938.73461805555</v>
      </c>
      <c r="D2396" t="inlineStr">
        <is>
          <t>A CRITICA</t>
        </is>
      </c>
      <c r="E2396" t="inlineStr">
        <is>
          <t>VENEZUELANOS</t>
        </is>
      </c>
      <c r="F2396" t="inlineStr"/>
      <c r="G2396" t="inlineStr">
        <is>
          <t>AFP</t>
        </is>
      </c>
      <c r="H2396" t="inlineStr">
        <is>
          <t>OPOSIÇÃO MARCHA NA VENEZUELA EM APOIO À SUPREMA CORTE PARALELA</t>
        </is>
      </c>
      <c r="I2396" t="inlineStr">
        <is>
          <t>LEGISLATIVO NOMEOU, NA SEXTA-FEIRA, NOVOS MAGISTRADOS ALEGANDO QUE JUÍZES HAVIAM SIDO DESIGNADOS APENAS PARA SERVIR AO GOVERNO DE MADURO</t>
        </is>
      </c>
      <c r="J2396" t="inlineStr"/>
      <c r="K2396" t="n">
        <v>0</v>
      </c>
      <c r="L2396" t="n">
        <v>1</v>
      </c>
      <c r="M2396" t="n">
        <v>0</v>
      </c>
      <c r="N2396" t="n">
        <v>0</v>
      </c>
      <c r="O2396" t="n">
        <v>0</v>
      </c>
      <c r="P2396">
        <f>HYPERLINK("https://www.acritica.com/oposic-o-marcha-na-venezuela-em-apoio-a-suprema-corte-paralela-1.195335", "URL")</f>
        <v/>
      </c>
      <c r="Q2396">
        <f>HYPERLINK("https://raw.githubusercontent.com/marcosmapl/dataset_imigrantes/main/materias_filtered/a_critica/venezuelanos/2017/06_jul/html/1.195335_932.html", "HTML")</f>
        <v/>
      </c>
      <c r="R2396">
        <f>HYPERLINK("https://raw.githubusercontent.com/marcosmapl/dataset_imigrantes/main/materias_filtered/a_critica/venezuelanos/2017/06_jul/txt/1.195335_932.txt", "TXT")</f>
        <v/>
      </c>
    </row>
    <row r="2397">
      <c r="A2397" s="1" t="n">
        <v>2395</v>
      </c>
      <c r="B2397" t="n">
        <v>2017</v>
      </c>
      <c r="C2397" s="2" t="n">
        <v>42934.91228009259</v>
      </c>
      <c r="D2397" t="inlineStr">
        <is>
          <t>A CRITICA</t>
        </is>
      </c>
      <c r="E2397" t="inlineStr">
        <is>
          <t>VENEZUELANOS</t>
        </is>
      </c>
      <c r="F2397" t="inlineStr"/>
      <c r="G2397" t="inlineStr">
        <is>
          <t>MARIANA TOKARNIA – AGÊNCIA BRASIL</t>
        </is>
      </c>
      <c r="H2397" t="inlineStr">
        <is>
          <t>BRASIL É O SEGUNDO PAÍS QUE MAIS RECEBE REFUGIADOS VENEZUELANOS, DIZ ACNUR</t>
        </is>
      </c>
      <c r="I2397" t="inlineStr">
        <is>
          <t>ESTIMA-SE QUE 30 MIL ESTEJAM EM SITUAÇÃO IRREGULAR NO BRASIL, 300 MIL NA COLÔMBIA E 40 MIL EM TRINIDAD E TOBAGO</t>
        </is>
      </c>
      <c r="J2397" t="inlineStr"/>
      <c r="K2397" t="n">
        <v>0</v>
      </c>
      <c r="L2397" t="n">
        <v>1</v>
      </c>
      <c r="M2397" t="n">
        <v>0</v>
      </c>
      <c r="N2397" t="n">
        <v>0</v>
      </c>
      <c r="O2397" t="n">
        <v>0</v>
      </c>
      <c r="P2397">
        <f>HYPERLINK("https://www.acritica.com/brasil-e-o-segundo-pais-que-mais-recebe-refugiados-venezuelanos-diz-acnur-1.194948", "URL")</f>
        <v/>
      </c>
      <c r="Q2397">
        <f>HYPERLINK("https://raw.githubusercontent.com/marcosmapl/dataset_imigrantes/main/materias_filtered/a_critica/venezuelanos/2017/06_jul/html/1.194948_1114.html", "HTML")</f>
        <v/>
      </c>
      <c r="R2397">
        <f>HYPERLINK("https://raw.githubusercontent.com/marcosmapl/dataset_imigrantes/main/materias_filtered/a_critica/venezuelanos/2017/06_jul/txt/1.194948_1114.txt", "TXT")</f>
        <v/>
      </c>
    </row>
    <row r="2398">
      <c r="A2398" s="1" t="n">
        <v>2396</v>
      </c>
      <c r="B2398" t="n">
        <v>2017</v>
      </c>
      <c r="C2398" s="2" t="n">
        <v>42933.63333333333</v>
      </c>
      <c r="D2398" t="inlineStr">
        <is>
          <t>PORTAL AMAZONIA</t>
        </is>
      </c>
      <c r="E2398" t="inlineStr">
        <is>
          <t>VENEZUELANOS</t>
        </is>
      </c>
      <c r="F2398" t="inlineStr">
        <is>
          <t>CIDADES</t>
        </is>
      </c>
      <c r="G2398" t="inlineStr">
        <is>
          <t>REDAÇÃO</t>
        </is>
      </c>
      <c r="H2398" t="inlineStr">
        <is>
          <t>CORRENTE EM RESERVA INDÍGENA SERÁ RETIRADA DE FRONTEIRA ENTRE RORAIMA E AMAZONAS</t>
        </is>
      </c>
      <c r="I2398" t="inlineStr">
        <is>
          <t>POR MEIO DAS REDES SOCIAIS, O DEPUTADO REMÍDIO MONAI (PR) DIVULGOU O ANÚNCIO DO MINISTRO DOS TRANSPORTES, MAURÍCIO QUINTELLA, SOBRE O FIM DA CORRENTE NA BARREIRA DO JUNDIÁ, EM RORAIMA. SEGUNDO O DEPUTADO, A CORRENTE QUE FOI IMPOSTA HÁ DÉCADAS PELOS I</t>
        </is>
      </c>
      <c r="J2398" t="inlineStr">
        <is>
          <t>AMAZONAS, FRONTEIRA, RESERVA, RORAIMA</t>
        </is>
      </c>
      <c r="K2398" t="n">
        <v>4</v>
      </c>
      <c r="L2398" t="n">
        <v>1</v>
      </c>
      <c r="M2398" t="n">
        <v>0</v>
      </c>
      <c r="N2398" t="n">
        <v>0</v>
      </c>
      <c r="O2398" t="n">
        <v>9</v>
      </c>
      <c r="P2398">
        <f>HYPERLINK("https://portalamazonia.com/noticias/cidades/corrente-em-reserva-indigena-sera-retirada-de-fronteira-entre-roraima-e-amazonas", "URL")</f>
        <v/>
      </c>
      <c r="Q2398">
        <f>HYPERLINK("https://raw.githubusercontent.com/marcosmapl/dataset_imigrantes/main/materias_filtered/portal_amazonia/venezuelanos/2017/06_jul/html/8668.8668_1400.html", "HTML")</f>
        <v/>
      </c>
      <c r="R2398">
        <f>HYPERLINK("https://raw.githubusercontent.com/marcosmapl/dataset_imigrantes/main/materias_filtered/portal_amazonia/venezuelanos/2017/06_jul/txt/8668.8668_1400.txt", "TXT")</f>
        <v/>
      </c>
    </row>
    <row r="2399">
      <c r="A2399" s="1" t="n">
        <v>2397</v>
      </c>
      <c r="B2399" t="n">
        <v>2017</v>
      </c>
      <c r="C2399" s="2" t="n">
        <v>42932.49583333333</v>
      </c>
      <c r="D2399" t="inlineStr">
        <is>
          <t>A CRITICA</t>
        </is>
      </c>
      <c r="E2399" t="inlineStr">
        <is>
          <t>VENEZUELANOS</t>
        </is>
      </c>
      <c r="F2399" t="inlineStr">
        <is>
          <t>MANAUS</t>
        </is>
      </c>
      <c r="G2399" t="inlineStr">
        <is>
          <t>KELLY MELO</t>
        </is>
      </c>
      <c r="H2399" t="inlineStr">
        <is>
          <t>OELA ENSINA CRIANÇAS E JOVENS A CONSTRUÍREM SEUS PRÓPRIOS VIOLINOS DE MADEIRA MANEJADA</t>
        </is>
      </c>
      <c r="I2399" t="inlineStr">
        <is>
          <t>A ONG FOI PRIMEIRA ESCOLA DO MUNDO A CONQUISTAR O SELO INTERNACIONAL QUE RECONHECE O USO DE MADEIRAS CERTIFICADAS PARA CONSTRUIR VIOLÕES E VIOLINOS.</t>
        </is>
      </c>
      <c r="J2399" t="inlineStr"/>
      <c r="K2399" t="n">
        <v>0</v>
      </c>
      <c r="L2399" t="n">
        <v>1</v>
      </c>
      <c r="M2399" t="n">
        <v>0</v>
      </c>
      <c r="N2399" t="n">
        <v>0</v>
      </c>
      <c r="O2399" t="n">
        <v>0</v>
      </c>
      <c r="P2399">
        <f>HYPERLINK("https://www.acritica.com/manaus/oela-ensina-criancas-e-jovens-a-construirem-seus-proprios-violinos-de-madeira-manejada-1.194319", "URL")</f>
        <v/>
      </c>
      <c r="Q2399">
        <f>HYPERLINK("https://raw.githubusercontent.com/marcosmapl/dataset_imigrantes/main/materias_filtered/a_critica/venezuelanos/2017/06_jul/html/1.194319_368.html", "HTML")</f>
        <v/>
      </c>
      <c r="R2399">
        <f>HYPERLINK("https://raw.githubusercontent.com/marcosmapl/dataset_imigrantes/main/materias_filtered/a_critica/venezuelanos/2017/06_jul/txt/1.194319_368.txt", "TXT")</f>
        <v/>
      </c>
    </row>
    <row r="2400">
      <c r="A2400" s="1" t="n">
        <v>2398</v>
      </c>
      <c r="B2400" t="n">
        <v>2017</v>
      </c>
      <c r="C2400" s="2" t="n">
        <v>42930.87013888889</v>
      </c>
      <c r="D2400" t="inlineStr">
        <is>
          <t>A CRITICA</t>
        </is>
      </c>
      <c r="E2400" t="inlineStr">
        <is>
          <t>VENEZUELANOS</t>
        </is>
      </c>
      <c r="F2400" t="inlineStr">
        <is>
          <t>MANAUS</t>
        </is>
      </c>
      <c r="G2400" t="inlineStr">
        <is>
          <t>ACRÍTICA.COM</t>
        </is>
      </c>
      <c r="H2400" t="inlineStr">
        <is>
          <t>MAIS DE 200 INDÍGENAS VENEZUELANOS SÃO ABRIGADOS EM QUATRO BAIRROS DA CIDADE</t>
        </is>
      </c>
      <c r="I2400" t="inlineStr">
        <is>
          <t>FAMÍLIAS DE REFUGIADOS FORAM ACOLHIDAS NA REDENÇÃO, EDUCANDOS, CIDADE NOVA E CIDADE NOVA II</t>
        </is>
      </c>
      <c r="J2400" t="inlineStr"/>
      <c r="K2400" t="n">
        <v>0</v>
      </c>
      <c r="L2400" t="n">
        <v>1</v>
      </c>
      <c r="M2400" t="n">
        <v>0</v>
      </c>
      <c r="N2400" t="n">
        <v>0</v>
      </c>
      <c r="O2400" t="n">
        <v>0</v>
      </c>
      <c r="P2400">
        <f>HYPERLINK("https://www.acritica.com/manaus/mais-de-200-indigenas-venezuelanos-s-o-abrigados-em-quatro-bairros-da-cidade-1.194350", "URL")</f>
        <v/>
      </c>
      <c r="Q2400">
        <f>HYPERLINK("https://raw.githubusercontent.com/marcosmapl/dataset_imigrantes/main/materias_filtered/a_critica/venezuelanos/2017/06_jul/html/1.194350_797.html", "HTML")</f>
        <v/>
      </c>
      <c r="R2400">
        <f>HYPERLINK("https://raw.githubusercontent.com/marcosmapl/dataset_imigrantes/main/materias_filtered/a_critica/venezuelanos/2017/06_jul/txt/1.194350_797.txt", "TXT")</f>
        <v/>
      </c>
    </row>
    <row r="2401">
      <c r="A2401" s="1" t="n">
        <v>2399</v>
      </c>
      <c r="B2401" t="n">
        <v>2017</v>
      </c>
      <c r="C2401" s="2" t="n">
        <v>42930.56805555556</v>
      </c>
      <c r="D2401" t="inlineStr">
        <is>
          <t>PORTAL AMAZONIA</t>
        </is>
      </c>
      <c r="E2401" t="inlineStr">
        <is>
          <t>VENEZUELANOS</t>
        </is>
      </c>
      <c r="F2401" t="inlineStr">
        <is>
          <t>CIDADES</t>
        </is>
      </c>
      <c r="G2401" t="inlineStr">
        <is>
          <t>REDAÇÃO</t>
        </is>
      </c>
      <c r="H2401" t="inlineStr">
        <is>
          <t>VENEZUELANOS DA ETNIA WARAO SERÃO TRANSFERIDOS PARA RESIDÊNCIAS EM MANAUS</t>
        </is>
      </c>
      <c r="I2401" t="inlineStr">
        <is>
          <t>MAIS DE CEM INDÍGENAS VENEZUELANOS DA ETNIA WARAO, QUE VIVEM ATUALMENTE EM PRÉDIOS ANTIGOS NAS RUAS QUINTINO BOCAIÚVA E DR. ALMINO AFONSO, NO CENTRO DE MANAUS, SERÃO TRANSFERIDOS PARA ABRIGOS NESTA SEXTA-FEIRA (14). DE ACORDO COM REPORTAGEM PUBL</t>
        </is>
      </c>
      <c r="J2401" t="inlineStr">
        <is>
          <t>AMAZONAS, INDIGENAS VENEZUELANOS, MANAUS, WARAO</t>
        </is>
      </c>
      <c r="K2401" t="n">
        <v>4</v>
      </c>
      <c r="L2401" t="n">
        <v>2</v>
      </c>
      <c r="M2401" t="n">
        <v>0</v>
      </c>
      <c r="N2401" t="n">
        <v>0</v>
      </c>
      <c r="O2401" t="n">
        <v>9</v>
      </c>
      <c r="P2401">
        <f>HYPERLINK("https://portalamazonia.com/noticias/cidades/venezuelanos-da-etnia-warao-serao-transferidos-para-residencias-em-manaus", "URL")</f>
        <v/>
      </c>
      <c r="Q2401">
        <f>HYPERLINK("https://raw.githubusercontent.com/marcosmapl/dataset_imigrantes/main/materias_filtered/portal_amazonia/venezuelanos/2017/06_jul/html/8632.8632_1604.html", "HTML")</f>
        <v/>
      </c>
      <c r="R2401">
        <f>HYPERLINK("https://raw.githubusercontent.com/marcosmapl/dataset_imigrantes/main/materias_filtered/portal_amazonia/venezuelanos/2017/06_jul/txt/8632.8632_1604.txt", "TXT")</f>
        <v/>
      </c>
    </row>
    <row r="2402">
      <c r="A2402" s="1" t="n">
        <v>2400</v>
      </c>
      <c r="B2402" t="n">
        <v>2017</v>
      </c>
      <c r="C2402" s="2" t="n">
        <v>42925.74513888889</v>
      </c>
      <c r="D2402" t="inlineStr">
        <is>
          <t>PORTAL AMAZONIA</t>
        </is>
      </c>
      <c r="E2402" t="inlineStr">
        <is>
          <t>VENEZUELANOS</t>
        </is>
      </c>
      <c r="F2402" t="inlineStr">
        <is>
          <t>CIDADES</t>
        </is>
      </c>
      <c r="G2402" t="inlineStr">
        <is>
          <t>REDAÇÃO</t>
        </is>
      </c>
      <c r="H2402" t="inlineStr">
        <is>
          <t>MINISTRO VISITA ABRIGO ONDE ESTÃO INDÍGENAS VENEZUELANOS</t>
        </is>
      </c>
      <c r="I2402" t="inlineStr">
        <is>
          <t>O MINISTRO DA JUSTIÇA, TORQUATO JARDIM, E O PRESIDENTE DA FUNDAÇÃO NACIONAL DO ÍNDIO (FUNAI), FRANKLIMBERG DE FREITAS, VISITARAM NESTE SÁBADO (8) O ABRIGO ONDE ESTÃO OS INDÍGENAS VENEZUELANOS WARAO, NO BAIRRO COROADO, EM MANAUS. O LOCAL FOI REFORMADO</t>
        </is>
      </c>
      <c r="J2402" t="inlineStr">
        <is>
          <t>AMAZONAS, INDÍGENAS, MANAUS, WARAO</t>
        </is>
      </c>
      <c r="K2402" t="n">
        <v>4</v>
      </c>
      <c r="L2402" t="n">
        <v>2</v>
      </c>
      <c r="M2402" t="n">
        <v>0</v>
      </c>
      <c r="N2402" t="n">
        <v>0</v>
      </c>
      <c r="O2402" t="n">
        <v>9</v>
      </c>
      <c r="P2402">
        <f>HYPERLINK("https://portalamazonia.com/noticias/cidades/ministro-visita-abrigo-onde-estao-indigenas-venezuelanos", "URL")</f>
        <v/>
      </c>
      <c r="Q2402">
        <f>HYPERLINK("https://raw.githubusercontent.com/marcosmapl/dataset_imigrantes/main/materias_filtered/portal_amazonia/venezuelanos/2017/06_jul/html/8548.8548_1548.html", "HTML")</f>
        <v/>
      </c>
      <c r="R2402">
        <f>HYPERLINK("https://raw.githubusercontent.com/marcosmapl/dataset_imigrantes/main/materias_filtered/portal_amazonia/venezuelanos/2017/06_jul/txt/8548.8548_1548.txt", "TXT")</f>
        <v/>
      </c>
    </row>
    <row r="2403">
      <c r="A2403" s="1" t="n">
        <v>2401</v>
      </c>
      <c r="B2403" t="n">
        <v>2017</v>
      </c>
      <c r="C2403" s="2" t="n">
        <v>42923.74930555555</v>
      </c>
      <c r="D2403" t="inlineStr">
        <is>
          <t>A CRITICA</t>
        </is>
      </c>
      <c r="E2403" t="inlineStr">
        <is>
          <t>VENEZUELANOS</t>
        </is>
      </c>
      <c r="F2403" t="inlineStr"/>
      <c r="G2403" t="inlineStr">
        <is>
          <t>ACRÍTICA.COM</t>
        </is>
      </c>
      <c r="H2403" t="inlineStr">
        <is>
          <t>UNIÃO SE COMPROMETE A REPASSAR RECURSOS PARA INDÍGENAS VENEZUELANOS ATÉ O DIA 14</t>
        </is>
      </c>
      <c r="I2403" t="inlineStr">
        <is>
          <t>MINISTÉRIO DO DESENVOLVIMENTO SOCIAL ANUNCIOU DATA EM REUNIÃO REALIZADA ONTEM PELO MPF; RECURSO DEVERÁ SER DESTINADO, ENTRE OUTRAS AÇÕES, AO ABRIGO EMERGENCIAL DOS MIGRANTES</t>
        </is>
      </c>
      <c r="J2403" t="inlineStr"/>
      <c r="K2403" t="n">
        <v>0</v>
      </c>
      <c r="L2403" t="n">
        <v>1</v>
      </c>
      <c r="M2403" t="n">
        <v>0</v>
      </c>
      <c r="N2403" t="n">
        <v>0</v>
      </c>
      <c r="O2403" t="n">
        <v>0</v>
      </c>
      <c r="P2403">
        <f>HYPERLINK("https://www.acritica.com/uni-o-se-compromete-a-repassar-recursos-para-indigenas-venezuelanos-ate-o-dia-14-1.86035", "URL")</f>
        <v/>
      </c>
      <c r="Q2403">
        <f>HYPERLINK("https://raw.githubusercontent.com/marcosmapl/dataset_imigrantes/main/materias_filtered/a_critica/venezuelanos/2017/06_jul/html/1.86035_1158.html", "HTML")</f>
        <v/>
      </c>
      <c r="R2403">
        <f>HYPERLINK("https://raw.githubusercontent.com/marcosmapl/dataset_imigrantes/main/materias_filtered/a_critica/venezuelanos/2017/06_jul/txt/1.86035_1158.txt", "TXT")</f>
        <v/>
      </c>
    </row>
    <row r="2404">
      <c r="A2404" s="1" t="n">
        <v>2402</v>
      </c>
      <c r="B2404" t="n">
        <v>2017</v>
      </c>
      <c r="C2404" s="2" t="n">
        <v>42922.83519675926</v>
      </c>
      <c r="D2404" t="inlineStr">
        <is>
          <t>A CRITICA</t>
        </is>
      </c>
      <c r="E2404" t="inlineStr">
        <is>
          <t>VENEZUELANOS</t>
        </is>
      </c>
      <c r="F2404" t="inlineStr"/>
      <c r="G2404" t="inlineStr">
        <is>
          <t>ACRÍTICA.COM</t>
        </is>
      </c>
      <c r="H2404" t="inlineStr">
        <is>
          <t>MINISTRO DA JUSTIÇA E PRESIDENTE DA FUNAI VÊM AO NORTE OUVIR LIDERANÇAS INDÍGENAS</t>
        </is>
      </c>
      <c r="I2404" t="inlineStr">
        <is>
          <t>COMITIVA  VISITARÁ COMUNIDADES INDÍGENAS E SE REUNIRÁ COM LIDERANÇAS DE MANAUS (AM) E BOA VISTA (RR). A PAUTA TEM AINDA REUNIÕES COM OS GOVERNOS LOCAIS.</t>
        </is>
      </c>
      <c r="J2404" t="inlineStr"/>
      <c r="K2404" t="n">
        <v>0</v>
      </c>
      <c r="L2404" t="n">
        <v>1</v>
      </c>
      <c r="M2404" t="n">
        <v>0</v>
      </c>
      <c r="N2404" t="n">
        <v>0</v>
      </c>
      <c r="O2404" t="n">
        <v>0</v>
      </c>
      <c r="P2404">
        <f>HYPERLINK("https://www.acritica.com/ministro-da-justica-e-presidente-da-funai-vem-ao-norte-ouvir-liderancas-indigenas-1.86087", "URL")</f>
        <v/>
      </c>
      <c r="Q2404">
        <f>HYPERLINK("https://raw.githubusercontent.com/marcosmapl/dataset_imigrantes/main/materias_filtered/a_critica/venezuelanos/2017/06_jul/html/1.86087_221.html", "HTML")</f>
        <v/>
      </c>
      <c r="R2404">
        <f>HYPERLINK("https://raw.githubusercontent.com/marcosmapl/dataset_imigrantes/main/materias_filtered/a_critica/venezuelanos/2017/06_jul/txt/1.86087_221.txt", "TXT")</f>
        <v/>
      </c>
    </row>
    <row r="2405">
      <c r="A2405" s="1" t="n">
        <v>2403</v>
      </c>
      <c r="B2405" t="n">
        <v>2017</v>
      </c>
      <c r="C2405" s="2" t="n">
        <v>42917.88658564815</v>
      </c>
      <c r="D2405" t="inlineStr">
        <is>
          <t>A CRITICA</t>
        </is>
      </c>
      <c r="E2405" t="inlineStr">
        <is>
          <t>VENEZUELANOS</t>
        </is>
      </c>
      <c r="F2405" t="inlineStr"/>
      <c r="G2405" t="inlineStr">
        <is>
          <t>AGÊNCIA BRASIL</t>
        </is>
      </c>
      <c r="H2405" t="inlineStr">
        <is>
          <t>POLÍCIA FEDERAL PRENDE UM DOS MAIORES TRAFICANTES DE DROGA DA AMÉRICA DO SUL</t>
        </is>
      </c>
      <c r="I2405" t="inlineStr">
        <is>
          <t>LUIZ CARLOS DA ROCHA, CONHECIDO COMO CABEÇA BRANCA, É UM DOS TRAFICANTES MAIS PROCURADOS PELA PF E A INTERPOL</t>
        </is>
      </c>
      <c r="J2405" t="inlineStr"/>
      <c r="K2405" t="n">
        <v>0</v>
      </c>
      <c r="L2405" t="n">
        <v>1</v>
      </c>
      <c r="M2405" t="n">
        <v>0</v>
      </c>
      <c r="N2405" t="n">
        <v>0</v>
      </c>
      <c r="O2405" t="n">
        <v>0</v>
      </c>
      <c r="P2405">
        <f>HYPERLINK("https://www.acritica.com/policia-federal-prende-um-dos-maiores-traficantes-de-droga-da-america-do-sul-1.200701", "URL")</f>
        <v/>
      </c>
      <c r="Q2405">
        <f>HYPERLINK("https://raw.githubusercontent.com/marcosmapl/dataset_imigrantes/main/materias_filtered/a_critica/venezuelanos/2017/06_jul/html/1.200701_884.html", "HTML")</f>
        <v/>
      </c>
      <c r="R2405">
        <f>HYPERLINK("https://raw.githubusercontent.com/marcosmapl/dataset_imigrantes/main/materias_filtered/a_critica/venezuelanos/2017/06_jul/txt/1.200701_884.txt", "TXT")</f>
        <v/>
      </c>
    </row>
    <row r="2406">
      <c r="A2406" s="1" t="n">
        <v>2404</v>
      </c>
      <c r="B2406" t="n">
        <v>2017</v>
      </c>
      <c r="C2406" s="2" t="n">
        <v>42917.33333333334</v>
      </c>
      <c r="D2406" t="inlineStr">
        <is>
          <t>A CRITICA</t>
        </is>
      </c>
      <c r="E2406" t="inlineStr">
        <is>
          <t>VENEZUELANOS</t>
        </is>
      </c>
      <c r="F2406" t="inlineStr"/>
      <c r="G2406" t="inlineStr">
        <is>
          <t>ACRÍTICA.COM</t>
        </is>
      </c>
      <c r="H2406" t="inlineStr">
        <is>
          <t>MPF/AM E UFAM PROMOVEM SEMINÁRIO SOBRE POVOS INDÍGENAS E POLÍTICAS PÚBLICAS</t>
        </is>
      </c>
      <c r="I2406" t="inlineStr">
        <is>
          <t>A PROGRAMAÇÃO CONTA COM A REALIZAÇÃO DE QUATRO MESAS DE DEBATE, PARA DISCUTIR TEMAS COMO A PRESENÇA DOS POVOS INDÍGENAS NA CIDADE E AUSÊNCIA DE POLÍTICAS PÚBLICAS ESPECÍFICAS</t>
        </is>
      </c>
      <c r="J2406" t="inlineStr"/>
      <c r="K2406" t="n">
        <v>0</v>
      </c>
      <c r="L2406" t="n">
        <v>1</v>
      </c>
      <c r="M2406" t="n">
        <v>0</v>
      </c>
      <c r="N2406" t="n">
        <v>0</v>
      </c>
      <c r="O2406" t="n">
        <v>0</v>
      </c>
      <c r="P2406">
        <f>HYPERLINK("https://www.acritica.com/mpf-am-e-ufam-promovem-seminario-sobre-povos-indigenas-e-politicas-publicas-1.200873", "URL")</f>
        <v/>
      </c>
      <c r="Q2406">
        <f>HYPERLINK("https://raw.githubusercontent.com/marcosmapl/dataset_imigrantes/main/materias_filtered/a_critica/venezuelanos/2017/06_jul/html/1.200873_129.html", "HTML")</f>
        <v/>
      </c>
      <c r="R2406">
        <f>HYPERLINK("https://raw.githubusercontent.com/marcosmapl/dataset_imigrantes/main/materias_filtered/a_critica/venezuelanos/2017/06_jul/txt/1.200873_129.txt", "TXT")</f>
        <v/>
      </c>
    </row>
    <row r="2407">
      <c r="A2407" s="1" t="n">
        <v>2405</v>
      </c>
      <c r="B2407" t="n">
        <v>2017</v>
      </c>
      <c r="C2407" s="2" t="n">
        <v>42916.75795333333</v>
      </c>
      <c r="D2407" t="inlineStr">
        <is>
          <t>G1</t>
        </is>
      </c>
      <c r="E2407" t="inlineStr">
        <is>
          <t>HAITIANOS</t>
        </is>
      </c>
      <c r="F2407" t="inlineStr">
        <is>
          <t>MATO GROSSO</t>
        </is>
      </c>
      <c r="G2407" t="inlineStr">
        <is>
          <t>BRUNA BARBOSA*, G1 MT</t>
        </is>
      </c>
      <c r="H2407" t="inlineStr">
        <is>
          <t>TRABALHADORA QUE ERA MODELO NO HAITI DENUNCIA PADARIA DE CUIABÁ</t>
        </is>
      </c>
      <c r="I2407" t="inlineStr">
        <is>
          <t>NAJEDA REDON, DE 23 ANOS, PROTOCOLOU DENÚNCIA NO MPT E CASO ESTÁ SENDO INVESTIGADO. ELA DISSE QUE SÓ PODIA IR AO BANHEIRO E TOMAR ÁGUA COM AUTORIZAÇÃO.</t>
        </is>
      </c>
      <c r="J2407" t="inlineStr"/>
      <c r="K2407" t="n">
        <v>0</v>
      </c>
      <c r="L2407" t="n">
        <v>1</v>
      </c>
      <c r="M2407" t="n">
        <v>0</v>
      </c>
      <c r="N2407" t="n">
        <v>0</v>
      </c>
      <c r="O2407" t="n">
        <v>0</v>
      </c>
      <c r="P2407">
        <f>HYPERLINK("https://g1.globo.com/mato-grosso/noticia/jovem-que-era-modelo-no-haiti-denuncia-padaria-de-cuiaba-por-situacao-analoga-a-escravidao.ghtml", "URL")</f>
        <v/>
      </c>
      <c r="Q2407">
        <f>HYPERLINK("https://raw.githubusercontent.com/marcosmapl/dataset_imigrantes/main/materias_filtered/g1/haitianos/2017/05_jun/html/g1_88eeeecc-2329-11ed-b24f-6dbe51e79fca_4122.html", "HTML")</f>
        <v/>
      </c>
      <c r="R2407">
        <f>HYPERLINK("https://raw.githubusercontent.com/marcosmapl/dataset_imigrantes/main/materias_filtered/g1/haitianos/2017/05_jun/txt/g1_88eeeecc-2329-11ed-b24f-6dbe51e79fca_4122.txt", "TXT")</f>
        <v/>
      </c>
    </row>
    <row r="2408">
      <c r="A2408" s="1" t="n">
        <v>2406</v>
      </c>
      <c r="B2408" t="n">
        <v>2017</v>
      </c>
      <c r="C2408" s="2" t="n">
        <v>42909.54499052083</v>
      </c>
      <c r="D2408" t="inlineStr">
        <is>
          <t>G1</t>
        </is>
      </c>
      <c r="E2408" t="inlineStr">
        <is>
          <t>VENEZUELANOS</t>
        </is>
      </c>
      <c r="F2408" t="inlineStr">
        <is>
          <t>MUNDO</t>
        </is>
      </c>
      <c r="G2408" t="inlineStr">
        <is>
          <t>G1</t>
        </is>
      </c>
      <c r="H2408" t="inlineStr">
        <is>
          <t>GUARDA NACIONAL DA VENEZUELA EXECUTA MANIFESTANTE DURANTE PROTESTO CONTRA GOVERNO</t>
        </is>
      </c>
      <c r="I2408" t="inlineStr">
        <is>
          <t>JOVEM DE 22 ANOS FOI ATINGIDO POR UM TIRO NO CORAÇÃO, SEGUNDO OPOSIÇÃO. NOS ÚLTIMOS TRÊS MESES, 75 PESSOAS FORAM MORTAS EM PROTESTOS CONTRA NICOLAS MADURO.</t>
        </is>
      </c>
      <c r="J2408" t="inlineStr"/>
      <c r="K2408" t="n">
        <v>0</v>
      </c>
      <c r="L2408" t="n">
        <v>2</v>
      </c>
      <c r="M2408" t="n">
        <v>1</v>
      </c>
      <c r="N2408" t="n">
        <v>0</v>
      </c>
      <c r="O2408" t="n">
        <v>0</v>
      </c>
      <c r="P2408">
        <f>HYPERLINK("https://g1.globo.com/mundo/noticia/guarda-nacional-da-venezuela-executa-manifestante-durante-protesto-contra-governo.ghtml", "URL")</f>
        <v/>
      </c>
      <c r="Q2408">
        <f>HYPERLINK("https://raw.githubusercontent.com/marcosmapl/dataset_imigrantes/main/materias_filtered/g1/venezuelanos/2017/05_jun/html/g1_275e8500-2324-11ed-b24f-6dbe51e79fca_3852.html", "HTML")</f>
        <v/>
      </c>
      <c r="R2408">
        <f>HYPERLINK("https://raw.githubusercontent.com/marcosmapl/dataset_imigrantes/main/materias_filtered/g1/venezuelanos/2017/05_jun/txt/g1_275e8500-2324-11ed-b24f-6dbe51e79fca_3852.txt", "TXT")</f>
        <v/>
      </c>
    </row>
    <row r="2409">
      <c r="A2409" s="1" t="n">
        <v>2407</v>
      </c>
      <c r="B2409" t="n">
        <v>2017</v>
      </c>
      <c r="C2409" s="2" t="n">
        <v>42906.52400462963</v>
      </c>
      <c r="D2409" t="inlineStr">
        <is>
          <t>A CRITICA</t>
        </is>
      </c>
      <c r="E2409" t="inlineStr">
        <is>
          <t>VENEZUELANOS</t>
        </is>
      </c>
      <c r="F2409" t="inlineStr"/>
      <c r="G2409" t="inlineStr">
        <is>
          <t>MAÍRA HEINEN -  RÁDIO NACIONAL</t>
        </is>
      </c>
      <c r="H2409" t="inlineStr">
        <is>
          <t>PEDIDOS DE REFÚGIO DE VENEZUELANOS NO BRASIL QUADRUPLICAM EM DOIS ANOS</t>
        </is>
      </c>
      <c r="I2409" t="inlineStr">
        <is>
          <t>O REFÚGIO É UMA PROTEÇÃO LEGAL QUE O BRASIL OFERECE A CIDADÃOS QUE ESTEJAM SOFRENDO PERSEGUIÇÃO NO PRÓPRIO PAÍS POR MOTIVOS DE RAÇA, RELIGIÃO, NACIONALIDADE, GRUPO SOCIAL OU OPINIÕES POLÍTICAS</t>
        </is>
      </c>
      <c r="J2409" t="inlineStr"/>
      <c r="K2409" t="n">
        <v>0</v>
      </c>
      <c r="L2409" t="n">
        <v>1</v>
      </c>
      <c r="M2409" t="n">
        <v>0</v>
      </c>
      <c r="N2409" t="n">
        <v>0</v>
      </c>
      <c r="O2409" t="n">
        <v>0</v>
      </c>
      <c r="P2409">
        <f>HYPERLINK("https://www.acritica.com/pedidos-de-refugio-de-venezuelanos-no-brasil-quadruplicam-em-dois-anos-1.192879", "URL")</f>
        <v/>
      </c>
      <c r="Q2409">
        <f>HYPERLINK("https://raw.githubusercontent.com/marcosmapl/dataset_imigrantes/main/materias_filtered/a_critica/venezuelanos/2017/05_jun/html/1.192879_428.html", "HTML")</f>
        <v/>
      </c>
      <c r="R2409">
        <f>HYPERLINK("https://raw.githubusercontent.com/marcosmapl/dataset_imigrantes/main/materias_filtered/a_critica/venezuelanos/2017/05_jun/txt/1.192879_428.txt", "TXT")</f>
        <v/>
      </c>
    </row>
    <row r="2410">
      <c r="A2410" s="1" t="n">
        <v>2408</v>
      </c>
      <c r="B2410" t="n">
        <v>2017</v>
      </c>
      <c r="C2410" s="2" t="n">
        <v>42900.60570601852</v>
      </c>
      <c r="D2410" t="inlineStr">
        <is>
          <t>A CRITICA</t>
        </is>
      </c>
      <c r="E2410" t="inlineStr">
        <is>
          <t>VENEZUELANOS</t>
        </is>
      </c>
      <c r="F2410" t="inlineStr">
        <is>
          <t>MANAUS</t>
        </is>
      </c>
      <c r="G2410" t="inlineStr">
        <is>
          <t>LUANA GOMES</t>
        </is>
      </c>
      <c r="H2410" t="inlineStr">
        <is>
          <t>ENCONTRO DISCUTE ALTERNATIVAS PARA ATENDER INDÍGENAS VENEZUELANOS EM MANAUS</t>
        </is>
      </c>
      <c r="I2410" t="inlineStr">
        <is>
          <t>ATUALMENTE, 520 ÍNDIOS ESTÃO SENDO ACOMPANHADOS PELA GERÊNCIA DE MIGRAÇÃO, REFÚGIO, ENFRENTAMENTO AO TRÁFICO DE PESSOAS E TRABALHO ESCRAVO DA SEJUSC</t>
        </is>
      </c>
      <c r="J2410" t="inlineStr"/>
      <c r="K2410" t="n">
        <v>0</v>
      </c>
      <c r="L2410" t="n">
        <v>1</v>
      </c>
      <c r="M2410" t="n">
        <v>0</v>
      </c>
      <c r="N2410" t="n">
        <v>0</v>
      </c>
      <c r="O2410" t="n">
        <v>0</v>
      </c>
      <c r="P2410">
        <f>HYPERLINK("https://www.acritica.com/manaus/encontro-discute-alternativas-para-atender-indigenas-venezuelanos-em-manaus-1.191400", "URL")</f>
        <v/>
      </c>
      <c r="Q2410">
        <f>HYPERLINK("https://raw.githubusercontent.com/marcosmapl/dataset_imigrantes/main/materias_filtered/a_critica/venezuelanos/2017/05_jun/html/1.191400_506.html", "HTML")</f>
        <v/>
      </c>
      <c r="R2410">
        <f>HYPERLINK("https://raw.githubusercontent.com/marcosmapl/dataset_imigrantes/main/materias_filtered/a_critica/venezuelanos/2017/05_jun/txt/1.191400_506.txt", "TXT")</f>
        <v/>
      </c>
    </row>
    <row r="2411">
      <c r="A2411" s="1" t="n">
        <v>2409</v>
      </c>
      <c r="B2411" t="n">
        <v>2017</v>
      </c>
      <c r="C2411" s="2" t="n">
        <v>42900.33333333334</v>
      </c>
      <c r="D2411" t="inlineStr">
        <is>
          <t>A CRITICA</t>
        </is>
      </c>
      <c r="E2411" t="inlineStr">
        <is>
          <t>HAITIANOS</t>
        </is>
      </c>
      <c r="F2411" t="inlineStr">
        <is>
          <t>MANAUS</t>
        </is>
      </c>
      <c r="G2411" t="inlineStr">
        <is>
          <t>ISABELLE VALOIS</t>
        </is>
      </c>
      <c r="H2411" t="inlineStr">
        <is>
          <t>CONFUSÃO REINA ABSOLUTA NA REGIÃO DA MANAUS MODERNA, NO CENTRO DE MANAUS</t>
        </is>
      </c>
      <c r="I2411" t="inlineStr">
        <is>
          <t>SUBIDA DAS ÁGUAS DO RIO NEGRO POTENCIALIZOU OS PROBLEMAS DE TRÂNSITO, A FALTA DE MOBILIDADE DE PEDESTRES E O COMÉRCIO ILEGAL EM EMBARCAÇÕES</t>
        </is>
      </c>
      <c r="J2411" t="inlineStr"/>
      <c r="K2411" t="n">
        <v>0</v>
      </c>
      <c r="L2411" t="n">
        <v>1</v>
      </c>
      <c r="M2411" t="n">
        <v>0</v>
      </c>
      <c r="N2411" t="n">
        <v>0</v>
      </c>
      <c r="O2411" t="n">
        <v>0</v>
      </c>
      <c r="P2411">
        <f>HYPERLINK("https://www.acritica.com/manaus/confus-o-reina-absoluta-na-regi-o-da-manaus-moderna-no-centro-de-manaus-1.191422", "URL")</f>
        <v/>
      </c>
      <c r="Q2411">
        <f>HYPERLINK("https://raw.githubusercontent.com/marcosmapl/dataset_imigrantes/main/materias_filtered/a_critica/haitianos/2017/05_jun/html/1.191422_945.html", "HTML")</f>
        <v/>
      </c>
      <c r="R2411">
        <f>HYPERLINK("https://raw.githubusercontent.com/marcosmapl/dataset_imigrantes/main/materias_filtered/a_critica/haitianos/2017/05_jun/txt/1.191422_945.txt", "TXT")</f>
        <v/>
      </c>
    </row>
    <row r="2412">
      <c r="A2412" s="1" t="n">
        <v>2410</v>
      </c>
      <c r="B2412" t="n">
        <v>2017</v>
      </c>
      <c r="C2412" s="2" t="n">
        <v>42900.33333333334</v>
      </c>
      <c r="D2412" t="inlineStr">
        <is>
          <t>A CRITICA</t>
        </is>
      </c>
      <c r="E2412" t="inlineStr">
        <is>
          <t>VENEZUELANOS</t>
        </is>
      </c>
      <c r="F2412" t="inlineStr">
        <is>
          <t>MANAUS</t>
        </is>
      </c>
      <c r="G2412" t="inlineStr">
        <is>
          <t>PAULO ANDRÉ NUNES</t>
        </is>
      </c>
      <c r="H2412" t="inlineStr">
        <is>
          <t>VENEZUELANOS ABRIGADOS EM MANAUS PLANEJAM CRIAR ASSOCIAÇÃO</t>
        </is>
      </c>
      <c r="I2412" t="inlineStr">
        <is>
          <t>INDÍGENAS, QUE ESTÃO EM ABRIGO DA ZONA LESTE DE MANAUS, QUEREM PRODUZIR PRODUTOS PARA VENDER</t>
        </is>
      </c>
      <c r="J2412" t="inlineStr"/>
      <c r="K2412" t="n">
        <v>0</v>
      </c>
      <c r="L2412" t="n">
        <v>1</v>
      </c>
      <c r="M2412" t="n">
        <v>0</v>
      </c>
      <c r="N2412" t="n">
        <v>0</v>
      </c>
      <c r="O2412" t="n">
        <v>0</v>
      </c>
      <c r="P2412">
        <f>HYPERLINK("https://www.acritica.com/manaus/venezuelanos-abrigados-em-manaus-planejam-criar-associac-o-1.191424", "URL")</f>
        <v/>
      </c>
      <c r="Q2412">
        <f>HYPERLINK("https://raw.githubusercontent.com/marcosmapl/dataset_imigrantes/main/materias_filtered/a_critica/venezuelanos/2017/05_jun/html/1.191424_413.html", "HTML")</f>
        <v/>
      </c>
      <c r="R2412">
        <f>HYPERLINK("https://raw.githubusercontent.com/marcosmapl/dataset_imigrantes/main/materias_filtered/a_critica/venezuelanos/2017/05_jun/txt/1.191424_413.txt", "TXT")</f>
        <v/>
      </c>
    </row>
    <row r="2413">
      <c r="A2413" s="1" t="n">
        <v>2411</v>
      </c>
      <c r="B2413" t="n">
        <v>2017</v>
      </c>
      <c r="C2413" s="2" t="n">
        <v>42899.79375</v>
      </c>
      <c r="D2413" t="inlineStr">
        <is>
          <t>A CRITICA</t>
        </is>
      </c>
      <c r="E2413" t="inlineStr">
        <is>
          <t>VENEZUELANOS</t>
        </is>
      </c>
      <c r="F2413" t="inlineStr"/>
      <c r="G2413" t="inlineStr">
        <is>
          <t>ANTÔNIO PAULO</t>
        </is>
      </c>
      <c r="H2413" t="inlineStr">
        <is>
          <t>‘O SERVIÇO IRÁ MELHORAR COM O RETORNO DO CRESCIMENTO’, DIZ PRESIDENTE DA FUNAI</t>
        </is>
      </c>
      <c r="I2413" t="inlineStr">
        <is>
          <t>FRANKLIMBERG RIBEIRO DE FREITAS AFIRMA QUE JÁ TOMOU PROVIDÊNCIAS JUNTO AO GOVERNO PARA VIABILIZAR OS RECURSOS DAS DEMANDAS BÁSICAS DA POPULAÇÃO INDÍGENA</t>
        </is>
      </c>
      <c r="J2413" t="inlineStr"/>
      <c r="K2413" t="n">
        <v>0</v>
      </c>
      <c r="L2413" t="n">
        <v>1</v>
      </c>
      <c r="M2413" t="n">
        <v>0</v>
      </c>
      <c r="N2413" t="n">
        <v>0</v>
      </c>
      <c r="O2413" t="n">
        <v>0</v>
      </c>
      <c r="P2413">
        <f>HYPERLINK("https://www.acritica.com/o-servico-ira-melhorar-com-o-retorno-do-crescimento-diz-presidente-da-funai-1.191207", "URL")</f>
        <v/>
      </c>
      <c r="Q2413">
        <f>HYPERLINK("https://raw.githubusercontent.com/marcosmapl/dataset_imigrantes/main/materias_filtered/a_critica/venezuelanos/2017/05_jun/html/1.191207_847.html", "HTML")</f>
        <v/>
      </c>
      <c r="R2413">
        <f>HYPERLINK("https://raw.githubusercontent.com/marcosmapl/dataset_imigrantes/main/materias_filtered/a_critica/venezuelanos/2017/05_jun/txt/1.191207_847.txt", "TXT")</f>
        <v/>
      </c>
    </row>
    <row r="2414">
      <c r="A2414" s="1" t="n">
        <v>2412</v>
      </c>
      <c r="B2414" t="n">
        <v>2017</v>
      </c>
      <c r="C2414" s="2" t="n">
        <v>42896.9255324074</v>
      </c>
      <c r="D2414" t="inlineStr">
        <is>
          <t>A CRITICA</t>
        </is>
      </c>
      <c r="E2414" t="inlineStr">
        <is>
          <t>VENEZUELANOS</t>
        </is>
      </c>
      <c r="F2414" t="inlineStr"/>
      <c r="G2414" t="inlineStr">
        <is>
          <t>AGÊNCIA BRASIL</t>
        </is>
      </c>
      <c r="H2414" t="inlineStr">
        <is>
          <t>JUSTIÇA DA VENEZUELA APROVA AÇÃO PARA MUDANÇA DE IDENTIDADE DE GÊNERO</t>
        </is>
      </c>
      <c r="I2414" t="inlineStr">
        <is>
          <t>A AÇÃO FOI MOVIDA POR UM GRUPO DE CIDADÃOS QUE REIVINDICA O DIREITO "À LIVRE EXTENSÃO DA PERSONALIDADE", PREVISTA NO ARTIGO 20 DA CONSTITUIÇÃO VENEZUELANA</t>
        </is>
      </c>
      <c r="J2414" t="inlineStr"/>
      <c r="K2414" t="n">
        <v>0</v>
      </c>
      <c r="L2414" t="n">
        <v>1</v>
      </c>
      <c r="M2414" t="n">
        <v>0</v>
      </c>
      <c r="N2414" t="n">
        <v>0</v>
      </c>
      <c r="O2414" t="n">
        <v>0</v>
      </c>
      <c r="P2414">
        <f>HYPERLINK("https://www.acritica.com/justica-da-venezuela-aprova-ac-o-para-mudanca-de-identidade-de-genero-1.191161", "URL")</f>
        <v/>
      </c>
      <c r="Q2414">
        <f>HYPERLINK("https://raw.githubusercontent.com/marcosmapl/dataset_imigrantes/main/materias_filtered/a_critica/venezuelanos/2017/05_jun/html/1.191161_1166.html", "HTML")</f>
        <v/>
      </c>
      <c r="R2414">
        <f>HYPERLINK("https://raw.githubusercontent.com/marcosmapl/dataset_imigrantes/main/materias_filtered/a_critica/venezuelanos/2017/05_jun/txt/1.191161_1166.txt", "TXT")</f>
        <v/>
      </c>
    </row>
    <row r="2415">
      <c r="A2415" s="1" t="n">
        <v>2413</v>
      </c>
      <c r="B2415" t="n">
        <v>2017</v>
      </c>
      <c r="C2415" s="2" t="n">
        <v>42893.33333333334</v>
      </c>
      <c r="D2415" t="inlineStr">
        <is>
          <t>A CRITICA</t>
        </is>
      </c>
      <c r="E2415" t="inlineStr">
        <is>
          <t>VENEZUELANOS</t>
        </is>
      </c>
      <c r="F2415" t="inlineStr">
        <is>
          <t>MANAUS</t>
        </is>
      </c>
      <c r="G2415" t="inlineStr">
        <is>
          <t>SILANE SOUZA</t>
        </is>
      </c>
      <c r="H2415" t="inlineStr">
        <is>
          <t>INDÍGENAS VENEZUELANOS PEDEM MATÉRIA-PRIMA PARA CONFECÇÃO DE ARTESANATO</t>
        </is>
      </c>
      <c r="I2415" t="inlineStr">
        <is>
          <t>OBJETIVO DAS FAMÍLIAS É PRODUZIR AS PEÇAS PARA COMERCIALIZAÇÃO E PODER SE SUSTENTAR, SEM PRECISAR PEDIR DINHEIRO NAS RUAS DA CIDADE</t>
        </is>
      </c>
      <c r="J2415" t="inlineStr"/>
      <c r="K2415" t="n">
        <v>0</v>
      </c>
      <c r="L2415" t="n">
        <v>1</v>
      </c>
      <c r="M2415" t="n">
        <v>0</v>
      </c>
      <c r="N2415" t="n">
        <v>0</v>
      </c>
      <c r="O2415" t="n">
        <v>0</v>
      </c>
      <c r="P2415">
        <f>HYPERLINK("https://www.acritica.com/manaus/indigenas-venezuelanos-pedem-materia-prima-para-confecc-o-de-artesanato-1.190557", "URL")</f>
        <v/>
      </c>
      <c r="Q2415">
        <f>HYPERLINK("https://raw.githubusercontent.com/marcosmapl/dataset_imigrantes/main/materias_filtered/a_critica/venezuelanos/2017/05_jun/html/1.190557_1247.html", "HTML")</f>
        <v/>
      </c>
      <c r="R2415">
        <f>HYPERLINK("https://raw.githubusercontent.com/marcosmapl/dataset_imigrantes/main/materias_filtered/a_critica/venezuelanos/2017/05_jun/txt/1.190557_1247.txt", "TXT")</f>
        <v/>
      </c>
    </row>
    <row r="2416">
      <c r="A2416" s="1" t="n">
        <v>2414</v>
      </c>
      <c r="B2416" t="n">
        <v>2017</v>
      </c>
      <c r="C2416" s="2" t="n">
        <v>42892.33333333334</v>
      </c>
      <c r="D2416" t="inlineStr">
        <is>
          <t>A CRITICA</t>
        </is>
      </c>
      <c r="E2416" t="inlineStr">
        <is>
          <t>VENEZUELANOS</t>
        </is>
      </c>
      <c r="F2416" t="inlineStr"/>
      <c r="G2416" t="inlineStr"/>
      <c r="H2416" t="inlineStr">
        <is>
          <t>'FATOR MELO' NO JULGAMENTO DE TEMER</t>
        </is>
      </c>
      <c r="I2416" t="inlineStr"/>
      <c r="J2416" t="inlineStr"/>
      <c r="K2416" t="n">
        <v>0</v>
      </c>
      <c r="L2416" t="n">
        <v>1</v>
      </c>
      <c r="M2416" t="n">
        <v>0</v>
      </c>
      <c r="N2416" t="n">
        <v>0</v>
      </c>
      <c r="O2416" t="n">
        <v>0</v>
      </c>
      <c r="P2416">
        <f>HYPERLINK("https://www.acritica.com/fator-melo-no-julgamento-de-temer-1.230894", "URL")</f>
        <v/>
      </c>
      <c r="Q2416">
        <f>HYPERLINK("https://raw.githubusercontent.com/marcosmapl/dataset_imigrantes/main/materias_filtered/a_critica/venezuelanos/2017/05_jun/html/1.230894_765.html", "HTML")</f>
        <v/>
      </c>
      <c r="R2416">
        <f>HYPERLINK("https://raw.githubusercontent.com/marcosmapl/dataset_imigrantes/main/materias_filtered/a_critica/venezuelanos/2017/05_jun/txt/1.230894_765.txt", "TXT")</f>
        <v/>
      </c>
    </row>
    <row r="2417">
      <c r="A2417" s="1" t="n">
        <v>2415</v>
      </c>
      <c r="B2417" t="n">
        <v>2017</v>
      </c>
      <c r="C2417" s="2" t="n">
        <v>42891.06805555556</v>
      </c>
      <c r="D2417" t="inlineStr">
        <is>
          <t>A CRITICA</t>
        </is>
      </c>
      <c r="E2417" t="inlineStr">
        <is>
          <t>AMBOS</t>
        </is>
      </c>
      <c r="F2417" t="inlineStr">
        <is>
          <t>MANAUS</t>
        </is>
      </c>
      <c r="G2417" t="inlineStr">
        <is>
          <t>ISABELLE VALOIS</t>
        </is>
      </c>
      <c r="H2417" t="inlineStr">
        <is>
          <t>IMIGRANTES AJUDAM NA LIMPEZA DO SAMBÓDROMO APÓS FESTA DE PENTECOSTES</t>
        </is>
      </c>
      <c r="I2417" t="inlineStr">
        <is>
          <t>O GRUPO DE 100 PESSOAS RECEBEU UMA AJUDA DE CUSTO SIMBÓLICA PELA COLABORAÇÃO</t>
        </is>
      </c>
      <c r="J2417" t="inlineStr"/>
      <c r="K2417" t="n">
        <v>0</v>
      </c>
      <c r="L2417" t="n">
        <v>1</v>
      </c>
      <c r="M2417" t="n">
        <v>0</v>
      </c>
      <c r="N2417" t="n">
        <v>0</v>
      </c>
      <c r="O2417" t="n">
        <v>1</v>
      </c>
      <c r="P2417">
        <f>HYPERLINK("https://www.acritica.com/manaus/imigrantes-ajudam-na-limpeza-do-sambodromo-apos-festa-de-pentecostes-1.190407", "URL")</f>
        <v/>
      </c>
      <c r="Q2417">
        <f>HYPERLINK("https://raw.githubusercontent.com/marcosmapl/dataset_imigrantes/main/materias_filtered/a_critica/ambos/2017/05_jun/html/1.190407_398.html", "HTML")</f>
        <v/>
      </c>
      <c r="R2417">
        <f>HYPERLINK("https://raw.githubusercontent.com/marcosmapl/dataset_imigrantes/main/materias_filtered/a_critica/ambos/2017/05_jun/txt/1.190407_398.txt", "TXT")</f>
        <v/>
      </c>
    </row>
    <row r="2418">
      <c r="A2418" s="1" t="n">
        <v>2416</v>
      </c>
      <c r="B2418" t="n">
        <v>2017</v>
      </c>
      <c r="C2418" s="2" t="n">
        <v>42890.98628472222</v>
      </c>
      <c r="D2418" t="inlineStr">
        <is>
          <t>A CRITICA</t>
        </is>
      </c>
      <c r="E2418" t="inlineStr">
        <is>
          <t>VENEZUELANOS</t>
        </is>
      </c>
      <c r="F2418" t="inlineStr">
        <is>
          <t>ESPORTES</t>
        </is>
      </c>
      <c r="G2418" t="inlineStr">
        <is>
          <t>AGÊNCIA ESTADO</t>
        </is>
      </c>
      <c r="H2418" t="inlineStr">
        <is>
          <t>CHAPE VENCE NO MINEIRÃO, SE 'VINGA' DO CRUZEIRO E REASSUME A LIDERANÇA</t>
        </is>
      </c>
      <c r="I2418" t="inlineStr">
        <is>
          <t>O TIME CATARINENSE IGNOROU O MANDO DO CLUBE MINEIRO E VENCEU POR 2 A 0 NESTE DOMINGO</t>
        </is>
      </c>
      <c r="J2418" t="inlineStr"/>
      <c r="K2418" t="n">
        <v>0</v>
      </c>
      <c r="L2418" t="n">
        <v>1</v>
      </c>
      <c r="M2418" t="n">
        <v>0</v>
      </c>
      <c r="N2418" t="n">
        <v>0</v>
      </c>
      <c r="O2418" t="n">
        <v>0</v>
      </c>
      <c r="P2418">
        <f>HYPERLINK("https://www.acritica.com/esportes/chape-vence-no-mineir-o-se-vinga-do-cruzeiro-e-reassume-a-lideranca-1.190135", "URL")</f>
        <v/>
      </c>
      <c r="Q2418">
        <f>HYPERLINK("https://raw.githubusercontent.com/marcosmapl/dataset_imigrantes/main/materias_filtered/a_critica/venezuelanos/2017/05_jun/html/1.190135_205.html", "HTML")</f>
        <v/>
      </c>
      <c r="R2418">
        <f>HYPERLINK("https://raw.githubusercontent.com/marcosmapl/dataset_imigrantes/main/materias_filtered/a_critica/venezuelanos/2017/05_jun/txt/1.190135_205.txt", "TXT")</f>
        <v/>
      </c>
    </row>
    <row r="2419">
      <c r="A2419" s="1" t="n">
        <v>2417</v>
      </c>
      <c r="B2419" t="n">
        <v>2017</v>
      </c>
      <c r="C2419" s="2" t="n">
        <v>42890.33333333334</v>
      </c>
      <c r="D2419" t="inlineStr">
        <is>
          <t>A CRITICA</t>
        </is>
      </c>
      <c r="E2419" t="inlineStr">
        <is>
          <t>VENEZUELANOS</t>
        </is>
      </c>
      <c r="F2419" t="inlineStr">
        <is>
          <t>AMAZONIA</t>
        </is>
      </c>
      <c r="G2419" t="inlineStr">
        <is>
          <t>MONICA PRESTES</t>
        </is>
      </c>
      <c r="H2419" t="inlineStr">
        <is>
          <t>SEM ÁREAS CADASTRADAS NO AM, ANIMAIS SILVESTRES VÃO PARA LOCAIS DO SUL E SUDESTE</t>
        </is>
      </c>
      <c r="I2419" t="inlineStr">
        <is>
          <t>A ESCASSEZ DE MANTENEDORES REGISTRADOS NO AMAZONAS, BOA PARTE DOS ANIMAIS É DESTINADA PARA CRIADOUROS E ZOOLÓGICOS DE FORA DO ESTADO</t>
        </is>
      </c>
      <c r="J2419" t="inlineStr"/>
      <c r="K2419" t="n">
        <v>0</v>
      </c>
      <c r="L2419" t="n">
        <v>1</v>
      </c>
      <c r="M2419" t="n">
        <v>0</v>
      </c>
      <c r="N2419" t="n">
        <v>0</v>
      </c>
      <c r="O2419" t="n">
        <v>0</v>
      </c>
      <c r="P2419">
        <f>HYPERLINK("https://www.acritica.com/amazonia/sem-areas-cadastradas-no-am-animais-silvestres-v-o-para-locais-do-sul-e-sudeste-1.190005", "URL")</f>
        <v/>
      </c>
      <c r="Q2419">
        <f>HYPERLINK("https://raw.githubusercontent.com/marcosmapl/dataset_imigrantes/main/materias_filtered/a_critica/venezuelanos/2017/05_jun/html/1.190005_223.html", "HTML")</f>
        <v/>
      </c>
      <c r="R2419">
        <f>HYPERLINK("https://raw.githubusercontent.com/marcosmapl/dataset_imigrantes/main/materias_filtered/a_critica/venezuelanos/2017/05_jun/txt/1.190005_223.txt", "TXT")</f>
        <v/>
      </c>
    </row>
    <row r="2420">
      <c r="A2420" s="1" t="n">
        <v>2418</v>
      </c>
      <c r="B2420" t="n">
        <v>2017</v>
      </c>
      <c r="C2420" s="2" t="n">
        <v>42888.72083333333</v>
      </c>
      <c r="D2420" t="inlineStr">
        <is>
          <t>A CRITICA</t>
        </is>
      </c>
      <c r="E2420" t="inlineStr">
        <is>
          <t>VENEZUELANOS</t>
        </is>
      </c>
      <c r="F2420" t="inlineStr">
        <is>
          <t>MANAUS</t>
        </is>
      </c>
      <c r="G2420" t="inlineStr">
        <is>
          <t>ISABELLE VALOIS</t>
        </is>
      </c>
      <c r="H2420" t="inlineStr">
        <is>
          <t>GRUPO DE ESTUDOS DISCUTE SOBRE IMIGRAÇÃO DE VENEZUELANOS EM MANAUS</t>
        </is>
      </c>
      <c r="I2420" t="inlineStr">
        <is>
          <t>A MESA REDONDA 'VENEZUELANOS NO AMAZONAS: DESAFIOS ÀS POLÍTICAS PÚBLICAS' REUNIU ESPECIALISTAS NA MANHÃ DESTA SEXTA-FEIRA</t>
        </is>
      </c>
      <c r="J2420" t="inlineStr"/>
      <c r="K2420" t="n">
        <v>0</v>
      </c>
      <c r="L2420" t="n">
        <v>1</v>
      </c>
      <c r="M2420" t="n">
        <v>0</v>
      </c>
      <c r="N2420" t="n">
        <v>0</v>
      </c>
      <c r="O2420" t="n">
        <v>0</v>
      </c>
      <c r="P2420">
        <f>HYPERLINK("https://www.acritica.com/manaus/grupo-de-estudos-discute-sobre-imigrac-o-de-venezuelanos-em-manaus-1.189926", "URL")</f>
        <v/>
      </c>
      <c r="Q2420">
        <f>HYPERLINK("https://raw.githubusercontent.com/marcosmapl/dataset_imigrantes/main/materias_filtered/a_critica/venezuelanos/2017/05_jun/html/1.189926_45.html", "HTML")</f>
        <v/>
      </c>
      <c r="R2420">
        <f>HYPERLINK("https://raw.githubusercontent.com/marcosmapl/dataset_imigrantes/main/materias_filtered/a_critica/venezuelanos/2017/05_jun/txt/1.189926_45.txt", "TXT")</f>
        <v/>
      </c>
    </row>
    <row r="2421">
      <c r="A2421" s="1" t="n">
        <v>2419</v>
      </c>
      <c r="B2421" t="n">
        <v>2017</v>
      </c>
      <c r="C2421" s="2" t="n">
        <v>42888.60710201389</v>
      </c>
      <c r="D2421" t="inlineStr">
        <is>
          <t>G1</t>
        </is>
      </c>
      <c r="E2421" t="inlineStr">
        <is>
          <t>HAITIANOS</t>
        </is>
      </c>
      <c r="F2421" t="inlineStr">
        <is>
          <t>MATO GROSSO</t>
        </is>
      </c>
      <c r="G2421" t="inlineStr">
        <is>
          <t>G1 MT</t>
        </is>
      </c>
      <c r="H2421" t="inlineStr">
        <is>
          <t>HAITIANO É DETIDO EM MT SUSPEITO DE ESTUPRAR E ENGRAVIDAR A PRIMA HAITIANA</t>
        </is>
      </c>
      <c r="I2421" t="inlineStr">
        <is>
          <t>VÍTIMA, QUE NÃO FALA PORTUGUÊS, EXPLICOU O CASO POR MEIO DE UM TRADUTOR DO CELULAR. HAITIANO, DE 37 ANOS, NEGOU O CRIME E FOI LIBERADO.</t>
        </is>
      </c>
      <c r="J2421" t="inlineStr"/>
      <c r="K2421" t="n">
        <v>0</v>
      </c>
      <c r="L2421" t="n">
        <v>0</v>
      </c>
      <c r="M2421" t="n">
        <v>0</v>
      </c>
      <c r="N2421" t="n">
        <v>0</v>
      </c>
      <c r="O2421" t="n">
        <v>0</v>
      </c>
      <c r="P2421">
        <f>HYPERLINK("https://g1.globo.com/mato-grosso/noticia/haitiano-e-detido-em-mt-suspeito-de-estuprar-e-engravidar-a-prima-haitiana.ghtml", "URL")</f>
        <v/>
      </c>
      <c r="Q2421">
        <f>HYPERLINK("https://raw.githubusercontent.com/marcosmapl/dataset_imigrantes/main/materias_filtered/g1/haitianos/2017/05_jun/html/g1_89533836-22ee-11ed-b24f-6dbe51e79fca_1703.html", "HTML")</f>
        <v/>
      </c>
      <c r="R2421">
        <f>HYPERLINK("https://raw.githubusercontent.com/marcosmapl/dataset_imigrantes/main/materias_filtered/g1/haitianos/2017/05_jun/txt/g1_89533836-22ee-11ed-b24f-6dbe51e79fca_1703.txt", "TXT")</f>
        <v/>
      </c>
    </row>
    <row r="2422">
      <c r="A2422" s="1" t="n">
        <v>2420</v>
      </c>
      <c r="B2422" t="n">
        <v>2017</v>
      </c>
      <c r="C2422" s="2" t="n">
        <v>42887.89236111111</v>
      </c>
      <c r="D2422" t="inlineStr">
        <is>
          <t>A CRITICA</t>
        </is>
      </c>
      <c r="E2422" t="inlineStr">
        <is>
          <t>VENEZUELANOS</t>
        </is>
      </c>
      <c r="F2422" t="inlineStr">
        <is>
          <t>MANAUS</t>
        </is>
      </c>
      <c r="G2422" t="inlineStr">
        <is>
          <t>ISABELLE VALOIS</t>
        </is>
      </c>
      <c r="H2422" t="inlineStr">
        <is>
          <t>CACIQUE VENEZUELANO DA ETNIA WARAO TEME CONFLITO ENTRE INDÍGENAS EM ABRIGO</t>
        </is>
      </c>
      <c r="I2422" t="inlineStr">
        <is>
          <t>ANIBAL PEREZ EXPLICOU QUE NA CULTURA DELES, CADA FAMÍLIA VIVE EM UM BARRACO, IGUAL COMO FAZIAM NO ENTORNO DA RODOVIÁRIA DE MANAUS</t>
        </is>
      </c>
      <c r="J2422" t="inlineStr"/>
      <c r="K2422" t="n">
        <v>0</v>
      </c>
      <c r="L2422" t="n">
        <v>1</v>
      </c>
      <c r="M2422" t="n">
        <v>0</v>
      </c>
      <c r="N2422" t="n">
        <v>0</v>
      </c>
      <c r="O2422" t="n">
        <v>1</v>
      </c>
      <c r="P2422">
        <f>HYPERLINK("https://www.acritica.com/manaus/cacique-venezuelano-da-etnia-warao-teme-conflito-entre-indigenas-em-abrigo-1.189772", "URL")</f>
        <v/>
      </c>
      <c r="Q2422">
        <f>HYPERLINK("https://raw.githubusercontent.com/marcosmapl/dataset_imigrantes/main/materias_filtered/a_critica/venezuelanos/2017/05_jun/html/1.189772_8.html", "HTML")</f>
        <v/>
      </c>
      <c r="R2422">
        <f>HYPERLINK("https://raw.githubusercontent.com/marcosmapl/dataset_imigrantes/main/materias_filtered/a_critica/venezuelanos/2017/05_jun/txt/1.189772_8.txt", "TXT")</f>
        <v/>
      </c>
    </row>
    <row r="2423">
      <c r="A2423" s="1" t="n">
        <v>2421</v>
      </c>
      <c r="B2423" t="n">
        <v>2017</v>
      </c>
      <c r="C2423" s="2" t="n">
        <v>42887.84375</v>
      </c>
      <c r="D2423" t="inlineStr">
        <is>
          <t>A CRITICA</t>
        </is>
      </c>
      <c r="E2423" t="inlineStr">
        <is>
          <t>VENEZUELANOS</t>
        </is>
      </c>
      <c r="F2423" t="inlineStr">
        <is>
          <t>MANAUS</t>
        </is>
      </c>
      <c r="G2423" t="inlineStr">
        <is>
          <t>RAFAEL SEIXAS</t>
        </is>
      </c>
      <c r="H2423" t="inlineStr">
        <is>
          <t>ÍNDIOS VENEZUELANOS SÃO LEVADOS PARA ABRIGO NO COROADO, NA ZONA LESTE DE MANAUS</t>
        </is>
      </c>
      <c r="I2423" t="inlineStr">
        <is>
          <t>OS 297  INDÍGENAS DA ETNIA WARAO, QUE ESTAVAM NA RODOVIÁRIA, FORAM LEVADOS PARA UM ABRIGO DO SERVIÇO DE ACOLHIMENTO INSTITUCIONAL DE ADULTOS E FAMÍLIAS</t>
        </is>
      </c>
      <c r="J2423" t="inlineStr"/>
      <c r="K2423" t="n">
        <v>0</v>
      </c>
      <c r="L2423" t="n">
        <v>1</v>
      </c>
      <c r="M2423" t="n">
        <v>0</v>
      </c>
      <c r="N2423" t="n">
        <v>0</v>
      </c>
      <c r="O2423" t="n">
        <v>0</v>
      </c>
      <c r="P2423">
        <f>HYPERLINK("https://www.acritica.com/manaus/indios-venezuelanos-s-o-levados-para-abrigo-no-coroado-na-zona-leste-de-manaus-1.189779", "URL")</f>
        <v/>
      </c>
      <c r="Q2423">
        <f>HYPERLINK("https://raw.githubusercontent.com/marcosmapl/dataset_imigrantes/main/materias_filtered/a_critica/venezuelanos/2017/05_jun/html/1.189779_924.html", "HTML")</f>
        <v/>
      </c>
      <c r="R2423">
        <f>HYPERLINK("https://raw.githubusercontent.com/marcosmapl/dataset_imigrantes/main/materias_filtered/a_critica/venezuelanos/2017/05_jun/txt/1.189779_924.txt", "TXT")</f>
        <v/>
      </c>
    </row>
    <row r="2424">
      <c r="A2424" s="1" t="n">
        <v>2422</v>
      </c>
      <c r="B2424" t="n">
        <v>2017</v>
      </c>
      <c r="C2424" s="2" t="n">
        <v>42887.075</v>
      </c>
      <c r="D2424" t="inlineStr">
        <is>
          <t>A CRITICA</t>
        </is>
      </c>
      <c r="E2424" t="inlineStr">
        <is>
          <t>VENEZUELANOS</t>
        </is>
      </c>
      <c r="F2424" t="inlineStr">
        <is>
          <t>MANAUS</t>
        </is>
      </c>
      <c r="G2424" t="inlineStr">
        <is>
          <t>ISABELLE VALOIS</t>
        </is>
      </c>
      <c r="H2424" t="inlineStr">
        <is>
          <t>PENTECOSTES 2017 ESTIMA ATRAIR 100 MIL FIEIS NESTE DOMINGO, EM MANAUS</t>
        </is>
      </c>
      <c r="I2424" t="inlineStr">
        <is>
          <t>COM O TEMA ‘VEM ESPÍRITO SANTO, COM MARIA, CUIDAR DA AMAZÔNIA!’, EVENTO ACONTECE NO SAMBÓDROMO, FLORES, NA ZONA CENTRO-OESTE</t>
        </is>
      </c>
      <c r="J2424" t="inlineStr"/>
      <c r="K2424" t="n">
        <v>0</v>
      </c>
      <c r="L2424" t="n">
        <v>1</v>
      </c>
      <c r="M2424" t="n">
        <v>0</v>
      </c>
      <c r="N2424" t="n">
        <v>0</v>
      </c>
      <c r="O2424" t="n">
        <v>0</v>
      </c>
      <c r="P2424">
        <f>HYPERLINK("https://www.acritica.com/manaus/pentecostes-2017-estima-atrair-100-mil-fieis-neste-domingo-em-manaus-1.189646", "URL")</f>
        <v/>
      </c>
      <c r="Q2424">
        <f>HYPERLINK("https://raw.githubusercontent.com/marcosmapl/dataset_imigrantes/main/materias_filtered/a_critica/venezuelanos/2017/05_jun/html/1.189646_242.html", "HTML")</f>
        <v/>
      </c>
      <c r="R2424">
        <f>HYPERLINK("https://raw.githubusercontent.com/marcosmapl/dataset_imigrantes/main/materias_filtered/a_critica/venezuelanos/2017/05_jun/txt/1.189646_242.txt", "TXT")</f>
        <v/>
      </c>
    </row>
    <row r="2425">
      <c r="A2425" s="1" t="n">
        <v>2423</v>
      </c>
      <c r="B2425" t="n">
        <v>2017</v>
      </c>
      <c r="C2425" s="2" t="n">
        <v>42886.72724537037</v>
      </c>
      <c r="D2425" t="inlineStr">
        <is>
          <t>A CRITICA</t>
        </is>
      </c>
      <c r="E2425" t="inlineStr">
        <is>
          <t>VENEZUELANOS</t>
        </is>
      </c>
      <c r="F2425" t="inlineStr">
        <is>
          <t>MANAUS</t>
        </is>
      </c>
      <c r="G2425" t="inlineStr">
        <is>
          <t>ISABELLE VALOIS</t>
        </is>
      </c>
      <c r="H2425" t="inlineStr">
        <is>
          <t>ARQUIDIOCESE CELEBRA 21ª EDIÇÃO DA FESTA PENTECOSTES NESTE DOMINGO (4)</t>
        </is>
      </c>
      <c r="I2425" t="inlineStr">
        <is>
          <t>SERÁ A 21ª EDIÇÃO DO EVENTO NA CIDADE E PARA SEGUIR A TRADIÇÃO A FESTA OCORRERÁ NO CENTRO DE CONVENÇÕES DE MANAUS - SAMBÓDROMO, EM FLORES, ZONA CENTRO-OESTE DA CAPITAL</t>
        </is>
      </c>
      <c r="J2425" t="inlineStr"/>
      <c r="K2425" t="n">
        <v>0</v>
      </c>
      <c r="L2425" t="n">
        <v>1</v>
      </c>
      <c r="M2425" t="n">
        <v>0</v>
      </c>
      <c r="N2425" t="n">
        <v>0</v>
      </c>
      <c r="O2425" t="n">
        <v>0</v>
      </c>
      <c r="P2425">
        <f>HYPERLINK("https://www.acritica.com/manaus/arquidiocese-celebra-21-edic-o-da-festa-pentecostes-neste-domingo-4-1.189495", "URL")</f>
        <v/>
      </c>
      <c r="Q2425">
        <f>HYPERLINK("https://raw.githubusercontent.com/marcosmapl/dataset_imigrantes/main/materias_filtered/a_critica/venezuelanos/2017/04_mai/html/1.189495_991.html", "HTML")</f>
        <v/>
      </c>
      <c r="R2425">
        <f>HYPERLINK("https://raw.githubusercontent.com/marcosmapl/dataset_imigrantes/main/materias_filtered/a_critica/venezuelanos/2017/04_mai/txt/1.189495_991.txt", "TXT")</f>
        <v/>
      </c>
    </row>
    <row r="2426">
      <c r="A2426" s="1" t="n">
        <v>2424</v>
      </c>
      <c r="B2426" t="n">
        <v>2017</v>
      </c>
      <c r="C2426" s="2" t="n">
        <v>42885.41666666666</v>
      </c>
      <c r="D2426" t="inlineStr">
        <is>
          <t>PORTAL AMAZONIA</t>
        </is>
      </c>
      <c r="E2426" t="inlineStr">
        <is>
          <t>VENEZUELANOS</t>
        </is>
      </c>
      <c r="F2426" t="inlineStr">
        <is>
          <t>CIDADES</t>
        </is>
      </c>
      <c r="G2426" t="inlineStr">
        <is>
          <t>REDAÇÃO</t>
        </is>
      </c>
      <c r="H2426" t="inlineStr">
        <is>
          <t>ÓRGÃOS PÚBLICOS DISCUTEM MEDIDAS EMERGENCIAIS PARA SITUAÇÃO DE IMIGRANTES VENEZUELANOS EM MANAUS</t>
        </is>
      </c>
      <c r="I2426" t="inlineStr">
        <is>
          <t>GRUPO SERÁ TRANSFERIDO PARA PRÉDIO NO BAIRRO COROADO.</t>
        </is>
      </c>
      <c r="J2426" t="inlineStr">
        <is>
          <t>INDÍGENAS, MANAUS, VENEZUELANOS</t>
        </is>
      </c>
      <c r="K2426" t="n">
        <v>3</v>
      </c>
      <c r="L2426" t="n">
        <v>1</v>
      </c>
      <c r="M2426" t="n">
        <v>0</v>
      </c>
      <c r="N2426" t="n">
        <v>0</v>
      </c>
      <c r="O2426" t="n">
        <v>8</v>
      </c>
      <c r="P2426">
        <f>HYPERLINK("https://portalamazonia.com/noticias/cidades/orgaos-publicos-discutem-medidas-emergenciais-para-situacao-de-imigrantes-venezuelanos-em-manaus", "URL")</f>
        <v/>
      </c>
      <c r="Q2426">
        <f>HYPERLINK("https://raw.githubusercontent.com/marcosmapl/dataset_imigrantes/main/materias_filtered/portal_amazonia/venezuelanos/2017/04_mai/html/7915.25996_1577.html", "HTML")</f>
        <v/>
      </c>
      <c r="R2426">
        <f>HYPERLINK("https://raw.githubusercontent.com/marcosmapl/dataset_imigrantes/main/materias_filtered/portal_amazonia/venezuelanos/2017/04_mai/txt/7915.25996_1577.txt", "TXT")</f>
        <v/>
      </c>
    </row>
    <row r="2427">
      <c r="A2427" s="1" t="n">
        <v>2425</v>
      </c>
      <c r="B2427" t="n">
        <v>2017</v>
      </c>
      <c r="C2427" s="2" t="n">
        <v>42884.95222222222</v>
      </c>
      <c r="D2427" t="inlineStr">
        <is>
          <t>A CRITICA</t>
        </is>
      </c>
      <c r="E2427" t="inlineStr">
        <is>
          <t>VENEZUELANOS</t>
        </is>
      </c>
      <c r="F2427" t="inlineStr">
        <is>
          <t>MANAUS</t>
        </is>
      </c>
      <c r="G2427" t="inlineStr">
        <is>
          <t>ACRÍTICA.COM</t>
        </is>
      </c>
      <c r="H2427" t="inlineStr">
        <is>
          <t>MPF/AM APRESENTA PARECER ANTROPOLÓGICO SOBRE INDÍGENAS WARAO EM MANAUS</t>
        </is>
      </c>
      <c r="I2427" t="inlineStr">
        <is>
          <t>EM COLETIVA DE IMPRENSA, ÓRGÃO INFORMOU QUE SECRETARIAS DE ESTADO E DO MUNICÍPIO SE COMPROMETERAM A GARANTIR ABRIGO E ALIMENTAÇÃO URGENTE PARA 300 INDÍGENAS</t>
        </is>
      </c>
      <c r="J2427" t="inlineStr"/>
      <c r="K2427" t="n">
        <v>0</v>
      </c>
      <c r="L2427" t="n">
        <v>1</v>
      </c>
      <c r="M2427" t="n">
        <v>0</v>
      </c>
      <c r="N2427" t="n">
        <v>0</v>
      </c>
      <c r="O2427" t="n">
        <v>1</v>
      </c>
      <c r="P2427">
        <f>HYPERLINK("https://www.acritica.com/manaus/mpf-am-apresenta-parecer-antropologico-sobre-indigenas-warao-em-manaus-1.86472", "URL")</f>
        <v/>
      </c>
      <c r="Q2427">
        <f>HYPERLINK("https://raw.githubusercontent.com/marcosmapl/dataset_imigrantes/main/materias_filtered/a_critica/venezuelanos/2017/04_mai/html/1.86472_1214.html", "HTML")</f>
        <v/>
      </c>
      <c r="R2427">
        <f>HYPERLINK("https://raw.githubusercontent.com/marcosmapl/dataset_imigrantes/main/materias_filtered/a_critica/venezuelanos/2017/04_mai/txt/1.86472_1214.txt", "TXT")</f>
        <v/>
      </c>
    </row>
    <row r="2428">
      <c r="A2428" s="1" t="n">
        <v>2426</v>
      </c>
      <c r="B2428" t="n">
        <v>2017</v>
      </c>
      <c r="C2428" s="2" t="n">
        <v>42884.52430555555</v>
      </c>
      <c r="D2428" t="inlineStr">
        <is>
          <t>PORTAL AMAZONIA</t>
        </is>
      </c>
      <c r="E2428" t="inlineStr">
        <is>
          <t>VENEZUELANOS</t>
        </is>
      </c>
      <c r="F2428" t="inlineStr">
        <is>
          <t>CIDADES</t>
        </is>
      </c>
      <c r="G2428" t="inlineStr">
        <is>
          <t>REDAÇÃO</t>
        </is>
      </c>
      <c r="H2428" t="inlineStr">
        <is>
          <t>FAMÍLIAS VENEZUELANAS COM CRIANÇAS DE COLO SERÃO PRIMEIRAS A IR PARA ABRIGO EM MANAUS</t>
        </is>
      </c>
      <c r="I2428" t="inlineStr">
        <is>
          <t>FOTO: PATRICK MARQUES/REDE AMAZÔNICAFAMÍLIAS VENEZUELANAS COM CRIANÇAS DE COLO SÃO PRIORIDADE NA TRANSFERÊNCIA PARA O ABRIGO NO BAIRRO COROADO, ZONA LESTE DE MANAUS. OS CRITÉRIOS FORAM DEFINIDOS PELA SECRETARIA DE ESTADO DE JUSTIÇA DIREITOS HUMANOS E</t>
        </is>
      </c>
      <c r="J2428" t="inlineStr">
        <is>
          <t>INDIGENAS VENEZUELANOS, MANAUS, MIGRACAO</t>
        </is>
      </c>
      <c r="K2428" t="n">
        <v>3</v>
      </c>
      <c r="L2428" t="n">
        <v>2</v>
      </c>
      <c r="M2428" t="n">
        <v>0</v>
      </c>
      <c r="N2428" t="n">
        <v>0</v>
      </c>
      <c r="O2428" t="n">
        <v>8</v>
      </c>
      <c r="P2428">
        <f>HYPERLINK("https://portalamazonia.com/noticias/cidades/familias-venezuelanas-com-criancas-de-colo-serao-primeiras-a-ir-para-abrigo-em-manaus", "URL")</f>
        <v/>
      </c>
      <c r="Q2428">
        <f>HYPERLINK("https://raw.githubusercontent.com/marcosmapl/dataset_imigrantes/main/materias_filtered/portal_amazonia/venezuelanos/2017/04_mai/html/7898.7898_1586.html", "HTML")</f>
        <v/>
      </c>
      <c r="R2428">
        <f>HYPERLINK("https://raw.githubusercontent.com/marcosmapl/dataset_imigrantes/main/materias_filtered/portal_amazonia/venezuelanos/2017/04_mai/txt/7898.7898_1586.txt", "TXT")</f>
        <v/>
      </c>
    </row>
    <row r="2429">
      <c r="A2429" s="1" t="n">
        <v>2427</v>
      </c>
      <c r="B2429" t="n">
        <v>2017</v>
      </c>
      <c r="C2429" s="2" t="n">
        <v>42884.49791666667</v>
      </c>
      <c r="D2429" t="inlineStr">
        <is>
          <t>PORTAL AMAZONIA</t>
        </is>
      </c>
      <c r="E2429" t="inlineStr">
        <is>
          <t>VENEZUELANOS</t>
        </is>
      </c>
      <c r="F2429" t="inlineStr">
        <is>
          <t>NOTÍCIAS</t>
        </is>
      </c>
      <c r="G2429" t="inlineStr">
        <is>
          <t>REDAÇÃO</t>
        </is>
      </c>
      <c r="H2429" t="inlineStr">
        <is>
          <t>TRANSFERÊNCIA DE VENEZUELANOS PARA PRÉDIO NA ZONA LESTE DE MANAUS AINDA NÃO TEM PREVISÃO</t>
        </is>
      </c>
      <c r="I2429" t="inlineStr">
        <is>
          <t>LOCAL PASSA POR MELHORIAS.</t>
        </is>
      </c>
      <c r="J2429" t="inlineStr"/>
      <c r="K2429" t="n">
        <v>0</v>
      </c>
      <c r="L2429" t="n">
        <v>1</v>
      </c>
      <c r="M2429" t="n">
        <v>0</v>
      </c>
      <c r="N2429" t="n">
        <v>0</v>
      </c>
      <c r="O2429" t="n">
        <v>8</v>
      </c>
      <c r="P2429">
        <f>HYPERLINK("https://portalamazonia.com/noticias/transferencia-de-venezuelanos-para-predio-na-zona-leste-de-manaus-ainda-nao-tem-previsao", "URL")</f>
        <v/>
      </c>
      <c r="Q2429">
        <f>HYPERLINK("https://raw.githubusercontent.com/marcosmapl/dataset_imigrantes/main/materias_filtered/portal_amazonia/venezuelanos/2017/04_mai/html/7896.7896_1491.html", "HTML")</f>
        <v/>
      </c>
      <c r="R2429">
        <f>HYPERLINK("https://raw.githubusercontent.com/marcosmapl/dataset_imigrantes/main/materias_filtered/portal_amazonia/venezuelanos/2017/04_mai/txt/7896.7896_1491.txt", "TXT")</f>
        <v/>
      </c>
    </row>
    <row r="2430">
      <c r="A2430" s="1" t="n">
        <v>2428</v>
      </c>
      <c r="B2430" t="n">
        <v>2017</v>
      </c>
      <c r="C2430" s="2" t="n">
        <v>42883.87284722222</v>
      </c>
      <c r="D2430" t="inlineStr">
        <is>
          <t>A CRITICA</t>
        </is>
      </c>
      <c r="E2430" t="inlineStr">
        <is>
          <t>VENEZUELANOS</t>
        </is>
      </c>
      <c r="F2430" t="inlineStr">
        <is>
          <t>MANAUS</t>
        </is>
      </c>
      <c r="G2430" t="inlineStr">
        <is>
          <t>ACRÍTICA.COM</t>
        </is>
      </c>
      <c r="H2430" t="inlineStr">
        <is>
          <t>VENEZUELANOS COM CRIANÇAS DE COLO SERÃO OS PRIMEIROS TRANSFERIDOS PARA ABRIGO</t>
        </is>
      </c>
      <c r="I2430" t="inlineStr">
        <is>
          <t>OS CRITÉRIOS FORAM DEFINIDOS PELA SEJUSC, QUE ATUA NAS AÇÕES DE ATENDIMENTO ÀS FAMÍLIAS QUE ESTÃO NA RODOVIÁRIA E NO CENTRO DE MANAUS</t>
        </is>
      </c>
      <c r="J2430" t="inlineStr"/>
      <c r="K2430" t="n">
        <v>0</v>
      </c>
      <c r="L2430" t="n">
        <v>1</v>
      </c>
      <c r="M2430" t="n">
        <v>0</v>
      </c>
      <c r="N2430" t="n">
        <v>0</v>
      </c>
      <c r="O2430" t="n">
        <v>0</v>
      </c>
      <c r="P2430">
        <f>HYPERLINK("https://www.acritica.com/manaus/venezuelanos-com-criancas-de-colo-ser-o-os-primeiros-transferidos-para-abrigo-1.86573", "URL")</f>
        <v/>
      </c>
      <c r="Q2430">
        <f>HYPERLINK("https://raw.githubusercontent.com/marcosmapl/dataset_imigrantes/main/materias_filtered/a_critica/venezuelanos/2017/04_mai/html/1.86573_1116.html", "HTML")</f>
        <v/>
      </c>
      <c r="R2430">
        <f>HYPERLINK("https://raw.githubusercontent.com/marcosmapl/dataset_imigrantes/main/materias_filtered/a_critica/venezuelanos/2017/04_mai/txt/1.86573_1116.txt", "TXT")</f>
        <v/>
      </c>
    </row>
    <row r="2431">
      <c r="A2431" s="1" t="n">
        <v>2429</v>
      </c>
      <c r="B2431" t="n">
        <v>2017</v>
      </c>
      <c r="C2431" s="2" t="n">
        <v>42883.56041666667</v>
      </c>
      <c r="D2431" t="inlineStr">
        <is>
          <t>PORTAL AMAZONIA</t>
        </is>
      </c>
      <c r="E2431" t="inlineStr">
        <is>
          <t>VENEZUELANOS</t>
        </is>
      </c>
      <c r="F2431" t="inlineStr">
        <is>
          <t>CIDADES</t>
        </is>
      </c>
      <c r="G2431" t="inlineStr">
        <is>
          <t>REDAÇÃO</t>
        </is>
      </c>
      <c r="H2431" t="inlineStr">
        <is>
          <t>ALOJAMENTO QUE RECEBERÁ INDÍGENAS VENEZUELANOS EM MANAUS SEGUE EM REFORMA</t>
        </is>
      </c>
      <c r="I2431" t="inlineStr">
        <is>
          <t>FOTO: REPRODUÇÃO/REDE AMAZÔNICAUM PRÉDIO NO BAIRRO COROADO, NA ZONA LESTE DE MANAUS, QUE ABRIGARÁ OS INDÍGENAS VENEZUELANOS DA ETNIA WARAO, CONTINUA EM OBRAS. A RECUPERAÇÃO DO ALOJAMENTO JÁ DURA DEZ DIAS E O PRAZO PARA REALOCAÇÃO DOS IMIGRANTES</t>
        </is>
      </c>
      <c r="J2431" t="inlineStr">
        <is>
          <t>AMAZONAS, IMIGRANTES, INDIGENAS VENEZUELANOS, MANAUS, VENEZUELA</t>
        </is>
      </c>
      <c r="K2431" t="n">
        <v>5</v>
      </c>
      <c r="L2431" t="n">
        <v>2</v>
      </c>
      <c r="M2431" t="n">
        <v>0</v>
      </c>
      <c r="N2431" t="n">
        <v>0</v>
      </c>
      <c r="O2431" t="n">
        <v>10</v>
      </c>
      <c r="P2431">
        <f>HYPERLINK("https://portalamazonia.com/noticias/cidades/alojamento-que-recebera-indigenas-venezuelanos-em-manaus-segue-em-reforma", "URL")</f>
        <v/>
      </c>
      <c r="Q2431">
        <f>HYPERLINK("https://raw.githubusercontent.com/marcosmapl/dataset_imigrantes/main/materias_filtered/portal_amazonia/venezuelanos/2017/04_mai/html/7881.7881_1531.html", "HTML")</f>
        <v/>
      </c>
      <c r="R2431">
        <f>HYPERLINK("https://raw.githubusercontent.com/marcosmapl/dataset_imigrantes/main/materias_filtered/portal_amazonia/venezuelanos/2017/04_mai/txt/7881.7881_1531.txt", "TXT")</f>
        <v/>
      </c>
    </row>
    <row r="2432">
      <c r="A2432" s="1" t="n">
        <v>2430</v>
      </c>
      <c r="B2432" t="n">
        <v>2017</v>
      </c>
      <c r="C2432" s="2" t="n">
        <v>42880.9028125</v>
      </c>
      <c r="D2432" t="inlineStr">
        <is>
          <t>A CRITICA</t>
        </is>
      </c>
      <c r="E2432" t="inlineStr">
        <is>
          <t>VENEZUELANOS</t>
        </is>
      </c>
      <c r="F2432" t="inlineStr">
        <is>
          <t>MANAUS</t>
        </is>
      </c>
      <c r="G2432" t="inlineStr">
        <is>
          <t>ACRITICA.COM*</t>
        </is>
      </c>
      <c r="H2432" t="inlineStr">
        <is>
          <t>TRATAMENTO DE INDÍGENAS VENEZUELANOS SERÁ ACOMPANHADO POR LIDERANÇAS XAMÂNICAS</t>
        </is>
      </c>
      <c r="I2432" t="inlineStr">
        <is>
          <t>INDÍGENAS QUE VIVEM EM MANAUS ESTAVAM RESISTINDO AO TRATAMENTO MÉDICO TRADICIONAL POR MOTIVOS RELIGIOSOS, POIS ACREDITAM NA CURA POR MEIO DE SEUS RITUAIS</t>
        </is>
      </c>
      <c r="J2432" t="inlineStr"/>
      <c r="K2432" t="n">
        <v>0</v>
      </c>
      <c r="L2432" t="n">
        <v>1</v>
      </c>
      <c r="M2432" t="n">
        <v>0</v>
      </c>
      <c r="N2432" t="n">
        <v>0</v>
      </c>
      <c r="O2432" t="n">
        <v>0</v>
      </c>
      <c r="P2432">
        <f>HYPERLINK("https://www.acritica.com/manaus/tratamento-de-indigenas-venezuelanos-sera-acompanhado-por-liderancas-xamanicas-1.87365", "URL")</f>
        <v/>
      </c>
      <c r="Q2432">
        <f>HYPERLINK("https://raw.githubusercontent.com/marcosmapl/dataset_imigrantes/main/materias_filtered/a_critica/venezuelanos/2017/04_mai/html/1.87365_303.html", "HTML")</f>
        <v/>
      </c>
      <c r="R2432">
        <f>HYPERLINK("https://raw.githubusercontent.com/marcosmapl/dataset_imigrantes/main/materias_filtered/a_critica/venezuelanos/2017/04_mai/txt/1.87365_303.txt", "TXT")</f>
        <v/>
      </c>
    </row>
    <row r="2433">
      <c r="A2433" s="1" t="n">
        <v>2431</v>
      </c>
      <c r="B2433" t="n">
        <v>2017</v>
      </c>
      <c r="C2433" s="2" t="n">
        <v>42879.88591435185</v>
      </c>
      <c r="D2433" t="inlineStr">
        <is>
          <t>A CRITICA</t>
        </is>
      </c>
      <c r="E2433" t="inlineStr">
        <is>
          <t>AMBOS</t>
        </is>
      </c>
      <c r="F2433" t="inlineStr">
        <is>
          <t>MANAUS</t>
        </is>
      </c>
      <c r="G2433" t="inlineStr">
        <is>
          <t>LÍDIA FERREIRA</t>
        </is>
      </c>
      <c r="H2433" t="inlineStr">
        <is>
          <t>MORADORES FECHAM AVENIDA EM PROTESTO POR ATRASO DO AUXÍLIO ENCHENTE</t>
        </is>
      </c>
      <c r="I2433" t="inlineStr">
        <is>
          <t>POPULARES ATEARAM FOGO EM PEDAÇOS DE MADEIRA, COLCHÕES E OUTROS OBJETOS VELHOS O QUE IMPEDIU O TRÁFEGO NA AVENIDA SÃO JORGE, ZONA OESTE DE MANAUS</t>
        </is>
      </c>
      <c r="J2433" t="inlineStr"/>
      <c r="K2433" t="n">
        <v>0</v>
      </c>
      <c r="L2433" t="n">
        <v>1</v>
      </c>
      <c r="M2433" t="n">
        <v>0</v>
      </c>
      <c r="N2433" t="n">
        <v>0</v>
      </c>
      <c r="O2433" t="n">
        <v>0</v>
      </c>
      <c r="P2433">
        <f>HYPERLINK("https://www.acritica.com/manaus/moradores-fecham-avenida-em-protesto-por-atraso-do-auxilio-enchente-1.87412", "URL")</f>
        <v/>
      </c>
      <c r="Q2433">
        <f>HYPERLINK("https://raw.githubusercontent.com/marcosmapl/dataset_imigrantes/main/materias_filtered/a_critica/ambos/2017/04_mai/html/1.87412_1365.html", "HTML")</f>
        <v/>
      </c>
      <c r="R2433">
        <f>HYPERLINK("https://raw.githubusercontent.com/marcosmapl/dataset_imigrantes/main/materias_filtered/a_critica/ambos/2017/04_mai/txt/1.87412_1365.txt", "TXT")</f>
        <v/>
      </c>
    </row>
    <row r="2434">
      <c r="A2434" s="1" t="n">
        <v>2432</v>
      </c>
      <c r="B2434" t="n">
        <v>2017</v>
      </c>
      <c r="C2434" s="2" t="n">
        <v>42879.51875</v>
      </c>
      <c r="D2434" t="inlineStr">
        <is>
          <t>A CRITICA</t>
        </is>
      </c>
      <c r="E2434" t="inlineStr">
        <is>
          <t>VENEZUELANOS</t>
        </is>
      </c>
      <c r="F2434" t="inlineStr">
        <is>
          <t>MANAUS</t>
        </is>
      </c>
      <c r="G2434" t="inlineStr">
        <is>
          <t>ACRÍTICA.COM</t>
        </is>
      </c>
      <c r="H2434" t="inlineStr">
        <is>
          <t>CRIANÇA VENEZUELANA É INTERNADA EM ESTADO GRAVE COM PNEUMONIA EM MANAUS</t>
        </is>
      </c>
      <c r="I2434" t="inlineStr">
        <is>
          <t>MENINO DA ETNIA WARAO TERIA SIDO LEVADO AO HOSPITAL MESMO COM A RESISTÊNCIA DOS PAIS, QUE ACREDITAM EM OUTROS MÉTODOS DE CURA</t>
        </is>
      </c>
      <c r="J2434" t="inlineStr"/>
      <c r="K2434" t="n">
        <v>0</v>
      </c>
      <c r="L2434" t="n">
        <v>1</v>
      </c>
      <c r="M2434" t="n">
        <v>0</v>
      </c>
      <c r="N2434" t="n">
        <v>0</v>
      </c>
      <c r="O2434" t="n">
        <v>0</v>
      </c>
      <c r="P2434">
        <f>HYPERLINK("https://www.acritica.com/manaus/crianca-venezuelana-e-internada-em-estado-grave-com-pneumonia-em-manaus-1.87463", "URL")</f>
        <v/>
      </c>
      <c r="Q2434">
        <f>HYPERLINK("https://raw.githubusercontent.com/marcosmapl/dataset_imigrantes/main/materias_filtered/a_critica/venezuelanos/2017/04_mai/html/1.87463_732.html", "HTML")</f>
        <v/>
      </c>
      <c r="R2434">
        <f>HYPERLINK("https://raw.githubusercontent.com/marcosmapl/dataset_imigrantes/main/materias_filtered/a_critica/venezuelanos/2017/04_mai/txt/1.87463_732.txt", "TXT")</f>
        <v/>
      </c>
    </row>
    <row r="2435">
      <c r="A2435" s="1" t="n">
        <v>2433</v>
      </c>
      <c r="B2435" t="n">
        <v>2017</v>
      </c>
      <c r="C2435" s="2" t="n">
        <v>42875.76875</v>
      </c>
      <c r="D2435" t="inlineStr">
        <is>
          <t>PORTAL AMAZONIA</t>
        </is>
      </c>
      <c r="E2435" t="inlineStr">
        <is>
          <t>HAITIANOS</t>
        </is>
      </c>
      <c r="F2435" t="inlineStr">
        <is>
          <t>CIDADES</t>
        </is>
      </c>
      <c r="G2435" t="inlineStr">
        <is>
          <t>REDAÇÃO</t>
        </is>
      </c>
      <c r="H2435" t="inlineStr">
        <is>
          <t>TOCANTINS REGISTRA QUEDA DE DESEMPREGO NO 1º TRIMESTRE DE 2017</t>
        </is>
      </c>
      <c r="I2435" t="inlineStr">
        <is>
          <t>O TOCANTINS FOI UM DOS DOIS ESTADOS BRASILEIROS, AO LADO DE RORAIMA, QUE NÃO BATEU RECORDE NO NÚMERO DE DESEMPREGADOS NO PRIMEIRO TRIMESTRE DE 2017, EM COMPARAÇÃO AO ANO ANTERIOR, CONFORME DADOS DA PESQUISA NACIONAL POR AMOSTRA DE DOMICÍLIOS CONTÍNUA</t>
        </is>
      </c>
      <c r="J2435" t="inlineStr">
        <is>
          <t>EMPREGO, OPORTUNIDADE, PALMAS, TOCANTINS</t>
        </is>
      </c>
      <c r="K2435" t="n">
        <v>4</v>
      </c>
      <c r="L2435" t="n">
        <v>2</v>
      </c>
      <c r="M2435" t="n">
        <v>0</v>
      </c>
      <c r="N2435" t="n">
        <v>0</v>
      </c>
      <c r="O2435" t="n">
        <v>9</v>
      </c>
      <c r="P2435">
        <f>HYPERLINK("https://portalamazonia.com/noticias/cidades/tocantins-registra-queda-de-desemprego-no-1-trimestre-de-2017", "URL")</f>
        <v/>
      </c>
      <c r="Q2435">
        <f>HYPERLINK("https://raw.githubusercontent.com/marcosmapl/dataset_imigrantes/main/materias_filtered/portal_amazonia/haitianos/2017/04_mai/html/7746.7746_1559.html", "HTML")</f>
        <v/>
      </c>
      <c r="R2435">
        <f>HYPERLINK("https://raw.githubusercontent.com/marcosmapl/dataset_imigrantes/main/materias_filtered/portal_amazonia/haitianos/2017/04_mai/txt/7746.7746_1559.txt", "TXT")</f>
        <v/>
      </c>
    </row>
    <row r="2436">
      <c r="A2436" s="1" t="n">
        <v>2434</v>
      </c>
      <c r="B2436" t="n">
        <v>2017</v>
      </c>
      <c r="C2436" s="2" t="n">
        <v>42873.8330324074</v>
      </c>
      <c r="D2436" t="inlineStr">
        <is>
          <t>A CRITICA</t>
        </is>
      </c>
      <c r="E2436" t="inlineStr">
        <is>
          <t>VENEZUELANOS</t>
        </is>
      </c>
      <c r="F2436" t="inlineStr"/>
      <c r="G2436" t="inlineStr">
        <is>
          <t>AGÊNCIA REUTERS</t>
        </is>
      </c>
      <c r="H2436" t="inlineStr">
        <is>
          <t>CAOS AUMENTA NA VENEZUELA E FRANÇA PEDE MEDIAÇÃO INTERNACIONAL</t>
        </is>
      </c>
      <c r="I2436" t="inlineStr">
        <is>
          <t>AS SEIS SEMANAS SEGUIDAS DE PROTESTOS CONTRA O GOVERNO JÁ RESULTARAM EM AO MENOS 44 MORTES, E DEIXARAM CENTENAS DE FERIDOS E PRESOS NA PIOR TURBULÊNCIA DO MANDATO DE MADURO</t>
        </is>
      </c>
      <c r="J2436" t="inlineStr"/>
      <c r="K2436" t="n">
        <v>0</v>
      </c>
      <c r="L2436" t="n">
        <v>1</v>
      </c>
      <c r="M2436" t="n">
        <v>0</v>
      </c>
      <c r="N2436" t="n">
        <v>0</v>
      </c>
      <c r="O2436" t="n">
        <v>0</v>
      </c>
      <c r="P2436">
        <f>HYPERLINK("https://www.acritica.com/caos-aumenta-na-venezuela-e-franca-pede-mediac-o-internacional-1.88487", "URL")</f>
        <v/>
      </c>
      <c r="Q2436">
        <f>HYPERLINK("https://raw.githubusercontent.com/marcosmapl/dataset_imigrantes/main/materias_filtered/a_critica/venezuelanos/2017/04_mai/html/1.88487_979.html", "HTML")</f>
        <v/>
      </c>
      <c r="R2436">
        <f>HYPERLINK("https://raw.githubusercontent.com/marcosmapl/dataset_imigrantes/main/materias_filtered/a_critica/venezuelanos/2017/04_mai/txt/1.88487_979.txt", "TXT")</f>
        <v/>
      </c>
    </row>
    <row r="2437">
      <c r="A2437" s="1" t="n">
        <v>2435</v>
      </c>
      <c r="B2437" t="n">
        <v>2017</v>
      </c>
      <c r="C2437" s="2" t="n">
        <v>42873.33333333334</v>
      </c>
      <c r="D2437" t="inlineStr">
        <is>
          <t>A CRITICA</t>
        </is>
      </c>
      <c r="E2437" t="inlineStr">
        <is>
          <t>VENEZUELANOS</t>
        </is>
      </c>
      <c r="F2437" t="inlineStr">
        <is>
          <t>OPINIAO</t>
        </is>
      </c>
      <c r="G2437" t="inlineStr"/>
      <c r="H2437" t="inlineStr">
        <is>
          <t>DEPUTADOS ESTADUAIS ZOAM AUGUSTO FERRAZ EM WHATSAPP</t>
        </is>
      </c>
      <c r="I2437" t="inlineStr"/>
      <c r="J2437" t="inlineStr"/>
      <c r="K2437" t="n">
        <v>0</v>
      </c>
      <c r="L2437" t="n">
        <v>1</v>
      </c>
      <c r="M2437" t="n">
        <v>0</v>
      </c>
      <c r="N2437" t="n">
        <v>0</v>
      </c>
      <c r="O2437" t="n">
        <v>0</v>
      </c>
      <c r="P2437">
        <f>HYPERLINK("https://www.acritica.com/opiniao/deputados-estaduais-zoam-augusto-ferraz-em-whatsapp-1.230986", "URL")</f>
        <v/>
      </c>
      <c r="Q2437">
        <f>HYPERLINK("https://raw.githubusercontent.com/marcosmapl/dataset_imigrantes/main/materias_filtered/a_critica/venezuelanos/2017/04_mai/html/1.230986_966.html", "HTML")</f>
        <v/>
      </c>
      <c r="R2437">
        <f>HYPERLINK("https://raw.githubusercontent.com/marcosmapl/dataset_imigrantes/main/materias_filtered/a_critica/venezuelanos/2017/04_mai/txt/1.230986_966.txt", "TXT")</f>
        <v/>
      </c>
    </row>
    <row r="2438">
      <c r="A2438" s="1" t="n">
        <v>2436</v>
      </c>
      <c r="B2438" t="n">
        <v>2017</v>
      </c>
      <c r="C2438" s="2" t="n">
        <v>42872.70609953703</v>
      </c>
      <c r="D2438" t="inlineStr">
        <is>
          <t>A CRITICA</t>
        </is>
      </c>
      <c r="E2438" t="inlineStr">
        <is>
          <t>VENEZUELANOS</t>
        </is>
      </c>
      <c r="F2438" t="inlineStr"/>
      <c r="G2438" t="inlineStr">
        <is>
          <t>AGÊNCIA EFE</t>
        </is>
      </c>
      <c r="H2438" t="inlineStr">
        <is>
          <t>EUA DEFENDEM NA ONU A RESTAURAÇÃO DA DEMOCRACIA NA VENEZUELA</t>
        </is>
      </c>
      <c r="I2438" t="inlineStr">
        <is>
          <t>A PEDIDO DOS EUA, O CONSELHO DE SEGURANÇA DA ONU ABORDARÁ HOJE, EM UM ENCONTRO A PORTAS FECHADAS, A SITUAÇÃO NA VENEZUELA PELA PRIMEIRA VEZ DESDE O INÍCIO DA CRISE</t>
        </is>
      </c>
      <c r="J2438" t="inlineStr"/>
      <c r="K2438" t="n">
        <v>0</v>
      </c>
      <c r="L2438" t="n">
        <v>1</v>
      </c>
      <c r="M2438" t="n">
        <v>0</v>
      </c>
      <c r="N2438" t="n">
        <v>0</v>
      </c>
      <c r="O2438" t="n">
        <v>0</v>
      </c>
      <c r="P2438">
        <f>HYPERLINK("https://www.acritica.com/eua-defendem-na-onu-a-restaurac-o-da-democracia-na-venezuela-1.88732", "URL")</f>
        <v/>
      </c>
      <c r="Q2438">
        <f>HYPERLINK("https://raw.githubusercontent.com/marcosmapl/dataset_imigrantes/main/materias_filtered/a_critica/venezuelanos/2017/04_mai/html/1.88732_181.html", "HTML")</f>
        <v/>
      </c>
      <c r="R2438">
        <f>HYPERLINK("https://raw.githubusercontent.com/marcosmapl/dataset_imigrantes/main/materias_filtered/a_critica/venezuelanos/2017/04_mai/txt/1.88732_181.txt", "TXT")</f>
        <v/>
      </c>
    </row>
    <row r="2439">
      <c r="A2439" s="1" t="n">
        <v>2437</v>
      </c>
      <c r="B2439" t="n">
        <v>2017</v>
      </c>
      <c r="C2439" s="2" t="n">
        <v>42872.47620370371</v>
      </c>
      <c r="D2439" t="inlineStr">
        <is>
          <t>A CRITICA</t>
        </is>
      </c>
      <c r="E2439" t="inlineStr">
        <is>
          <t>VENEZUELANOS</t>
        </is>
      </c>
      <c r="F2439" t="inlineStr">
        <is>
          <t>MANAUS</t>
        </is>
      </c>
      <c r="G2439" t="inlineStr">
        <is>
          <t>AMANDA GUIMARÃES</t>
        </is>
      </c>
      <c r="H2439" t="inlineStr">
        <is>
          <t>GOVERNO E PREFEITURA ESTUDAM FREAR ENTRADA DE VENEZUELANOS NO AMAZONAS</t>
        </is>
      </c>
      <c r="I2439" t="inlineStr">
        <is>
          <t>GOVERNADOR AFIRMOU QUE EXISTEM DIÁLOGOS COM A PF PARA TENTAR CONTROLAR A CHEGADA DOS IMIGRANTES, E PREFEITO JÁ CITOU POSSIBILIDADE DE BARREIRA EM RORAIMA</t>
        </is>
      </c>
      <c r="J2439" t="inlineStr"/>
      <c r="K2439" t="n">
        <v>0</v>
      </c>
      <c r="L2439" t="n">
        <v>1</v>
      </c>
      <c r="M2439" t="n">
        <v>0</v>
      </c>
      <c r="N2439" t="n">
        <v>0</v>
      </c>
      <c r="O2439" t="n">
        <v>1</v>
      </c>
      <c r="P2439">
        <f>HYPERLINK("https://www.acritica.com/manaus/governo-e-prefeitura-estudam-frear-entrada-de-venezuelanos-no-amazonas-1.88766", "URL")</f>
        <v/>
      </c>
      <c r="Q2439">
        <f>HYPERLINK("https://raw.githubusercontent.com/marcosmapl/dataset_imigrantes/main/materias_filtered/a_critica/venezuelanos/2017/04_mai/html/1.88766_455.html", "HTML")</f>
        <v/>
      </c>
      <c r="R2439">
        <f>HYPERLINK("https://raw.githubusercontent.com/marcosmapl/dataset_imigrantes/main/materias_filtered/a_critica/venezuelanos/2017/04_mai/txt/1.88766_455.txt", "TXT")</f>
        <v/>
      </c>
    </row>
    <row r="2440">
      <c r="A2440" s="1" t="n">
        <v>2438</v>
      </c>
      <c r="B2440" t="n">
        <v>2017</v>
      </c>
      <c r="C2440" s="2" t="n">
        <v>42871.73263888889</v>
      </c>
      <c r="D2440" t="inlineStr">
        <is>
          <t>A CRITICA</t>
        </is>
      </c>
      <c r="E2440" t="inlineStr">
        <is>
          <t>VENEZUELANOS</t>
        </is>
      </c>
      <c r="F2440" t="inlineStr">
        <is>
          <t>MANAUS</t>
        </is>
      </c>
      <c r="G2440" t="inlineStr">
        <is>
          <t>AMANDA GUIMARÃES</t>
        </is>
      </c>
      <c r="H2440" t="inlineStr">
        <is>
          <t>GOVERNO DO AM VAI USAR PRÉDIO COMO ABRIGO E REPASSAR R$ 205 MIL PARA AJUDAR VENEZUELANOS</t>
        </is>
      </c>
      <c r="I2440" t="inlineStr">
        <is>
          <t>VERBA SERÁ CEDIDO PARA CUSTEIO DE ALIMENTAÇÃO, SEGUNDO O GOVERNADOR DAVID ALMEIDA. ANTIGA SEDE DO PROJETO CIDADÃO VAI RECEBER OS IMIGRANTES</t>
        </is>
      </c>
      <c r="J2440" t="inlineStr"/>
      <c r="K2440" t="n">
        <v>0</v>
      </c>
      <c r="L2440" t="n">
        <v>1</v>
      </c>
      <c r="M2440" t="n">
        <v>0</v>
      </c>
      <c r="N2440" t="n">
        <v>0</v>
      </c>
      <c r="O2440" t="n">
        <v>0</v>
      </c>
      <c r="P2440">
        <f>HYPERLINK("https://www.acritica.com/manaus/governo-do-am-vai-usar-predio-como-abrigo-e-repassar-r-205-mil-para-ajudar-venezuelanos-1.202066", "URL")</f>
        <v/>
      </c>
      <c r="Q2440">
        <f>HYPERLINK("https://raw.githubusercontent.com/marcosmapl/dataset_imigrantes/main/materias_filtered/a_critica/venezuelanos/2017/04_mai/html/1.202066_617.html", "HTML")</f>
        <v/>
      </c>
      <c r="R2440">
        <f>HYPERLINK("https://raw.githubusercontent.com/marcosmapl/dataset_imigrantes/main/materias_filtered/a_critica/venezuelanos/2017/04_mai/txt/1.202066_617.txt", "TXT")</f>
        <v/>
      </c>
    </row>
    <row r="2441">
      <c r="A2441" s="1" t="n">
        <v>2439</v>
      </c>
      <c r="B2441" t="n">
        <v>2017</v>
      </c>
      <c r="C2441" s="2" t="n">
        <v>42871.62638888889</v>
      </c>
      <c r="D2441" t="inlineStr">
        <is>
          <t>PORTAL AMAZONIA</t>
        </is>
      </c>
      <c r="E2441" t="inlineStr">
        <is>
          <t>VENEZUELANOS</t>
        </is>
      </c>
      <c r="F2441" t="inlineStr">
        <is>
          <t>EDUCAÇÃO</t>
        </is>
      </c>
      <c r="G2441" t="inlineStr">
        <is>
          <t>REDAÇÃO</t>
        </is>
      </c>
      <c r="H2441" t="inlineStr">
        <is>
          <t>PARÁ É ESTADO DA REGIÃO NORTE COM MAIOR QUANTIDADE DE INSCRITOS NO ENEM, DIZ INEP</t>
        </is>
      </c>
      <c r="I2441" t="inlineStr">
        <is>
          <t>FOTO: ALEXANDRE YURI/G1 PARÁUM BALANÇO DIVULGADO PELO INSTITUTO NACIONAL DE ESTUDOS E PESQUISAS EDUCACIONAIS ANÍSIO TEIXEIRA (INEP) NESTA TERÇA-FEIRA (16), APONTA QUE, DENTRE OS ESTADOS DA REGIÃO NORTE, O PARÁ É O QUE TEM A MAIOR QUANTIDADE DE ESTUDA</t>
        </is>
      </c>
      <c r="J2441" t="inlineStr">
        <is>
          <t>EDUCAÇÃO, ENEM, PARÃ¡, REGIÃ£O NORTE</t>
        </is>
      </c>
      <c r="K2441" t="n">
        <v>4</v>
      </c>
      <c r="L2441" t="n">
        <v>2</v>
      </c>
      <c r="M2441" t="n">
        <v>0</v>
      </c>
      <c r="N2441" t="n">
        <v>0</v>
      </c>
      <c r="O2441" t="n">
        <v>9</v>
      </c>
      <c r="P2441">
        <f>HYPERLINK("https://portalamazonia.com/noticias/educacao/para-e-estado-da-regiao-norte-com-maior-quantidade-de-inscritos-no-enem-diz-inep", "URL")</f>
        <v/>
      </c>
      <c r="Q2441">
        <f>HYPERLINK("https://raw.githubusercontent.com/marcosmapl/dataset_imigrantes/main/materias_filtered/portal_amazonia/venezuelanos/2017/04_mai/html/7682.7682_1465.html", "HTML")</f>
        <v/>
      </c>
      <c r="R2441">
        <f>HYPERLINK("https://raw.githubusercontent.com/marcosmapl/dataset_imigrantes/main/materias_filtered/portal_amazonia/venezuelanos/2017/04_mai/txt/7682.7682_1465.txt", "TXT")</f>
        <v/>
      </c>
    </row>
    <row r="2442">
      <c r="A2442" s="1" t="n">
        <v>2440</v>
      </c>
      <c r="B2442" t="n">
        <v>2017</v>
      </c>
      <c r="C2442" s="2" t="n">
        <v>42871.50555555556</v>
      </c>
      <c r="D2442" t="inlineStr">
        <is>
          <t>PORTAL AMAZONIA</t>
        </is>
      </c>
      <c r="E2442" t="inlineStr">
        <is>
          <t>VENEZUELANOS</t>
        </is>
      </c>
      <c r="F2442" t="inlineStr">
        <is>
          <t>CIDADES</t>
        </is>
      </c>
      <c r="G2442" t="inlineStr">
        <is>
          <t>REDAÇÃO</t>
        </is>
      </c>
      <c r="H2442" t="inlineStr">
        <is>
          <t>MPF REQUISITA PLANO EMERGENCIAL DE SAÚDE APÓS NOVA MORTE DE CRIANÇA VENEZUELANA</t>
        </is>
      </c>
      <c r="I2442" t="inlineStr">
        <is>
          <t>INDÍGENAS VENEZUELANOS NA ESTAÇÃO RODOVIÁRIA EM MANAUS. FOTO: DIEGO OLIVEIRA/PORTAL AMAZÔNIAO MINISTÉRIO PÚBLICO FEDERAL NO AMAZONAS (MPF/AM) REQUISITOU DE SECRETARIAS MUNICIPAIS, ESTADUAIS, DA FUNDAÇÃO ESTADUAL DO ÍNDIO (FEI), DA FUNDAÇÃO NACIONAL D</t>
        </is>
      </c>
      <c r="J2442" t="inlineStr">
        <is>
          <t>AMAZÔNIA INTERNACIONAL, CRISE, IMIGRANTES, INDÍGENAS, MANAUS, REFUGIADOS, VENEZUELA</t>
        </is>
      </c>
      <c r="K2442" t="n">
        <v>7</v>
      </c>
      <c r="L2442" t="n">
        <v>2</v>
      </c>
      <c r="M2442" t="n">
        <v>0</v>
      </c>
      <c r="N2442" t="n">
        <v>0</v>
      </c>
      <c r="O2442" t="n">
        <v>12</v>
      </c>
      <c r="P2442">
        <f>HYPERLINK("https://portalamazonia.com/noticias/cidades/mpf-requisita-plano-emergencial-de-saude-apos-nova-morte-de-crianca-venezuelana", "URL")</f>
        <v/>
      </c>
      <c r="Q2442">
        <f>HYPERLINK("https://raw.githubusercontent.com/marcosmapl/dataset_imigrantes/main/materias_filtered/portal_amazonia/venezuelanos/2017/04_mai/html/7666.7666_1391.html", "HTML")</f>
        <v/>
      </c>
      <c r="R2442">
        <f>HYPERLINK("https://raw.githubusercontent.com/marcosmapl/dataset_imigrantes/main/materias_filtered/portal_amazonia/venezuelanos/2017/04_mai/txt/7666.7666_1391.txt", "TXT")</f>
        <v/>
      </c>
    </row>
    <row r="2443">
      <c r="A2443" s="1" t="n">
        <v>2441</v>
      </c>
      <c r="B2443" t="n">
        <v>2017</v>
      </c>
      <c r="C2443" s="2" t="n">
        <v>42871.02369212963</v>
      </c>
      <c r="D2443" t="inlineStr">
        <is>
          <t>A CRITICA</t>
        </is>
      </c>
      <c r="E2443" t="inlineStr">
        <is>
          <t>VENEZUELANOS</t>
        </is>
      </c>
      <c r="F2443" t="inlineStr">
        <is>
          <t>OPINIAO</t>
        </is>
      </c>
      <c r="G2443" t="inlineStr"/>
      <c r="H2443" t="inlineStr">
        <is>
          <t>VENEZUELANOS NO BRASIL: SOLIDARIEDADE NÃO TEM HORA</t>
        </is>
      </c>
      <c r="I2443" t="inlineStr"/>
      <c r="J2443" t="inlineStr"/>
      <c r="K2443" t="n">
        <v>0</v>
      </c>
      <c r="L2443" t="n">
        <v>1</v>
      </c>
      <c r="M2443" t="n">
        <v>0</v>
      </c>
      <c r="N2443" t="n">
        <v>0</v>
      </c>
      <c r="O2443" t="n">
        <v>0</v>
      </c>
      <c r="P2443">
        <f>HYPERLINK("https://www.acritica.com/opiniao/venezuelanos-no-brasil-solidariedade-n-o-tem-hora-1.230996", "URL")</f>
        <v/>
      </c>
      <c r="Q2443">
        <f>HYPERLINK("https://raw.githubusercontent.com/marcosmapl/dataset_imigrantes/main/materias_filtered/a_critica/venezuelanos/2017/04_mai/html/1.230996_916.html", "HTML")</f>
        <v/>
      </c>
      <c r="R2443">
        <f>HYPERLINK("https://raw.githubusercontent.com/marcosmapl/dataset_imigrantes/main/materias_filtered/a_critica/venezuelanos/2017/04_mai/txt/1.230996_916.txt", "TXT")</f>
        <v/>
      </c>
    </row>
    <row r="2444">
      <c r="A2444" s="1" t="n">
        <v>2442</v>
      </c>
      <c r="B2444" t="n">
        <v>2017</v>
      </c>
      <c r="C2444" s="2" t="n">
        <v>42870.86421296297</v>
      </c>
      <c r="D2444" t="inlineStr">
        <is>
          <t>A CRITICA</t>
        </is>
      </c>
      <c r="E2444" t="inlineStr">
        <is>
          <t>VENEZUELANOS</t>
        </is>
      </c>
      <c r="F2444" t="inlineStr">
        <is>
          <t>MANAUS</t>
        </is>
      </c>
      <c r="G2444" t="inlineStr">
        <is>
          <t>ACRÍTICA.COM</t>
        </is>
      </c>
      <c r="H2444" t="inlineStr">
        <is>
          <t>MPF REQUISITA PLANO EMERGENCIAL DE SAÚDE APÓS NOVA MORTE DE CRIANÇA INDÍGENA WARAO</t>
        </is>
      </c>
      <c r="I2444" t="inlineStr">
        <is>
          <t>ÓRGÃOS MUNICIPAIS, ESTADUAIS E FEDERAIS DEVEM RESPONDER À REQUISIÇÃO DO MPF EM ATÉ 48 HORAS; MAIS DE 400 INDÍGENAS VENEZUELANOS WARAO ESTÃO EM MANAUS, EM SITUAÇÃO DE VULNERABILIDADE SOCIAL</t>
        </is>
      </c>
      <c r="J2444" t="inlineStr"/>
      <c r="K2444" t="n">
        <v>0</v>
      </c>
      <c r="L2444" t="n">
        <v>1</v>
      </c>
      <c r="M2444" t="n">
        <v>0</v>
      </c>
      <c r="N2444" t="n">
        <v>0</v>
      </c>
      <c r="O2444" t="n">
        <v>1</v>
      </c>
      <c r="P2444">
        <f>HYPERLINK("https://www.acritica.com/manaus/mpf-requisita-plano-emergencial-de-saude-apos-nova-morte-de-crianca-indigena-warao-1.202163", "URL")</f>
        <v/>
      </c>
      <c r="Q2444">
        <f>HYPERLINK("https://raw.githubusercontent.com/marcosmapl/dataset_imigrantes/main/materias_filtered/a_critica/venezuelanos/2017/04_mai/html/1.202163_1187.html", "HTML")</f>
        <v/>
      </c>
      <c r="R2444">
        <f>HYPERLINK("https://raw.githubusercontent.com/marcosmapl/dataset_imigrantes/main/materias_filtered/a_critica/venezuelanos/2017/04_mai/txt/1.202163_1187.txt", "TXT")</f>
        <v/>
      </c>
    </row>
    <row r="2445">
      <c r="A2445" s="1" t="n">
        <v>2443</v>
      </c>
      <c r="B2445" t="n">
        <v>2017</v>
      </c>
      <c r="C2445" s="2" t="n">
        <v>42870.81180555555</v>
      </c>
      <c r="D2445" t="inlineStr">
        <is>
          <t>A CRITICA</t>
        </is>
      </c>
      <c r="E2445" t="inlineStr">
        <is>
          <t>VENEZUELANOS</t>
        </is>
      </c>
      <c r="F2445" t="inlineStr">
        <is>
          <t>MANAUS</t>
        </is>
      </c>
      <c r="G2445" t="inlineStr">
        <is>
          <t>AMANDA GUIMARÃES</t>
        </is>
      </c>
      <c r="H2445" t="inlineStr">
        <is>
          <t>PAIS DE BEBÊ VENEZUELANA QUEREM VOLTAR PARA SUA TERRA NATAL APÓS MORTE DA CRIANÇA</t>
        </is>
      </c>
      <c r="I2445" t="inlineStr">
        <is>
          <t>A CRIANÇA, INDÍGENA E DO SEXO FEMININO, MORREU EM DECORRÊNCIA DE PNEUMONIA  NA MADRUGADA DE DOMINGO (14). ELA ESTAVA INTERNADA NO HOSPITAL E PRONTO-SOCORRO PLATÃO ARAÚJO</t>
        </is>
      </c>
      <c r="J2445" t="inlineStr"/>
      <c r="K2445" t="n">
        <v>0</v>
      </c>
      <c r="L2445" t="n">
        <v>1</v>
      </c>
      <c r="M2445" t="n">
        <v>0</v>
      </c>
      <c r="N2445" t="n">
        <v>0</v>
      </c>
      <c r="O2445" t="n">
        <v>1</v>
      </c>
      <c r="P2445">
        <f>HYPERLINK("https://www.acritica.com/manaus/pais-de-bebe-venezuelana-querem-voltar-para-sua-terra-natal-apos-morte-da-crianca-1.202198", "URL")</f>
        <v/>
      </c>
      <c r="Q2445">
        <f>HYPERLINK("https://raw.githubusercontent.com/marcosmapl/dataset_imigrantes/main/materias_filtered/a_critica/venezuelanos/2017/04_mai/html/1.202198_601.html", "HTML")</f>
        <v/>
      </c>
      <c r="R2445">
        <f>HYPERLINK("https://raw.githubusercontent.com/marcosmapl/dataset_imigrantes/main/materias_filtered/a_critica/venezuelanos/2017/04_mai/txt/1.202198_601.txt", "TXT")</f>
        <v/>
      </c>
    </row>
    <row r="2446">
      <c r="A2446" s="1" t="n">
        <v>2444</v>
      </c>
      <c r="B2446" t="n">
        <v>2017</v>
      </c>
      <c r="C2446" s="2" t="n">
        <v>42870.76666666667</v>
      </c>
      <c r="D2446" t="inlineStr">
        <is>
          <t>A CRITICA</t>
        </is>
      </c>
      <c r="E2446" t="inlineStr">
        <is>
          <t>VENEZUELANOS</t>
        </is>
      </c>
      <c r="F2446" t="inlineStr">
        <is>
          <t>MANAUS</t>
        </is>
      </c>
      <c r="G2446" t="inlineStr">
        <is>
          <t>VINICIUS LEAL</t>
        </is>
      </c>
      <c r="H2446" t="inlineStr">
        <is>
          <t>BEBÊ VENEZUELANA DE 11 MESES MORRE DE PNEUMONIA EM HOSPITAL DE MANAUS</t>
        </is>
      </c>
      <c r="I2446" t="inlineStr">
        <is>
          <t>A CRIANÇA, INDÍGENA E DO SEXO FEMININO, FALECEU NA MADRUGADA DE DOMINGO (14). ELA ESTAVA INTERNADA NO HOSPITAL E PRONTO-SOCORRO PLATÃO ARAÚJO</t>
        </is>
      </c>
      <c r="J2446" t="inlineStr"/>
      <c r="K2446" t="n">
        <v>0</v>
      </c>
      <c r="L2446" t="n">
        <v>1</v>
      </c>
      <c r="M2446" t="n">
        <v>0</v>
      </c>
      <c r="N2446" t="n">
        <v>0</v>
      </c>
      <c r="O2446" t="n">
        <v>0</v>
      </c>
      <c r="P2446">
        <f>HYPERLINK("https://www.acritica.com/manaus/bebe-venezuelana-de-11-meses-morre-de-pneumonia-em-hospital-de-manaus-1.202216", "URL")</f>
        <v/>
      </c>
      <c r="Q2446">
        <f>HYPERLINK("https://raw.githubusercontent.com/marcosmapl/dataset_imigrantes/main/materias_filtered/a_critica/venezuelanos/2017/04_mai/html/1.202216_1344.html", "HTML")</f>
        <v/>
      </c>
      <c r="R2446">
        <f>HYPERLINK("https://raw.githubusercontent.com/marcosmapl/dataset_imigrantes/main/materias_filtered/a_critica/venezuelanos/2017/04_mai/txt/1.202216_1344.txt", "TXT")</f>
        <v/>
      </c>
    </row>
    <row r="2447">
      <c r="A2447" s="1" t="n">
        <v>2445</v>
      </c>
      <c r="B2447" t="n">
        <v>2017</v>
      </c>
      <c r="C2447" s="2" t="n">
        <v>42870.75069444445</v>
      </c>
      <c r="D2447" t="inlineStr">
        <is>
          <t>A CRITICA</t>
        </is>
      </c>
      <c r="E2447" t="inlineStr">
        <is>
          <t>VENEZUELANOS</t>
        </is>
      </c>
      <c r="F2447" t="inlineStr">
        <is>
          <t>ENTRETENIMENTO</t>
        </is>
      </c>
      <c r="G2447" t="inlineStr">
        <is>
          <t>ACRÍTICA.COM</t>
        </is>
      </c>
      <c r="H2447" t="inlineStr">
        <is>
          <t>OS DESTINOS LATINO-AMERICANOS POUCO EXPLORADOS PRÓXIMOS A MANAUS</t>
        </is>
      </c>
      <c r="I2447" t="inlineStr">
        <is>
          <t>CERCADA POR OITO PAÍSES, CAPITAL AMAZONENSE É ROTA PARA PRAIAS CARIBENHAS, CAPITAIS HISTÓRICAS E ATÉ CIDADES COM NEVE</t>
        </is>
      </c>
      <c r="J2447" t="inlineStr"/>
      <c r="K2447" t="n">
        <v>0</v>
      </c>
      <c r="L2447" t="n">
        <v>1</v>
      </c>
      <c r="M2447" t="n">
        <v>0</v>
      </c>
      <c r="N2447" t="n">
        <v>0</v>
      </c>
      <c r="O2447" t="n">
        <v>1</v>
      </c>
      <c r="P2447">
        <f>HYPERLINK("https://www.acritica.com/entretenimento/os-destinos-latino-americanos-pouco-explorados-proximos-a-manaus-1.202219", "URL")</f>
        <v/>
      </c>
      <c r="Q2447">
        <f>HYPERLINK("https://raw.githubusercontent.com/marcosmapl/dataset_imigrantes/main/materias_filtered/a_critica/venezuelanos/2017/04_mai/html/1.202219_772.html", "HTML")</f>
        <v/>
      </c>
      <c r="R2447">
        <f>HYPERLINK("https://raw.githubusercontent.com/marcosmapl/dataset_imigrantes/main/materias_filtered/a_critica/venezuelanos/2017/04_mai/txt/1.202219_772.txt", "TXT")</f>
        <v/>
      </c>
    </row>
    <row r="2448">
      <c r="A2448" s="1" t="n">
        <v>2446</v>
      </c>
      <c r="B2448" t="n">
        <v>2017</v>
      </c>
      <c r="C2448" s="2" t="n">
        <v>42869.5745949074</v>
      </c>
      <c r="D2448" t="inlineStr">
        <is>
          <t>A CRITICA</t>
        </is>
      </c>
      <c r="E2448" t="inlineStr">
        <is>
          <t>VENEZUELANOS</t>
        </is>
      </c>
      <c r="F2448" t="inlineStr">
        <is>
          <t>MANAUS</t>
        </is>
      </c>
      <c r="G2448" t="inlineStr">
        <is>
          <t>SILANE SOUZA</t>
        </is>
      </c>
      <c r="H2448" t="inlineStr">
        <is>
          <t>MÃES VENEZUELANAS RECEBEM HOMENAGENS E DOAÇÕES, EM MANAUS</t>
        </is>
      </c>
      <c r="I2448" t="inlineStr">
        <is>
          <t>AS AÇÕES FORAM PROMOVIDAS POR VOLUNTÁRIOS DA IGREJA ADVENTISTA DO 7° DIA, NO ENTORNO DA RODOVIÁRIA, ZONA CENTRO-SUL</t>
        </is>
      </c>
      <c r="J2448" t="inlineStr"/>
      <c r="K2448" t="n">
        <v>0</v>
      </c>
      <c r="L2448" t="n">
        <v>1</v>
      </c>
      <c r="M2448" t="n">
        <v>0</v>
      </c>
      <c r="N2448" t="n">
        <v>0</v>
      </c>
      <c r="O2448" t="n">
        <v>0</v>
      </c>
      <c r="P2448">
        <f>HYPERLINK("https://www.acritica.com/manaus/m-es-venezuelanas-recebem-homenagens-e-doac-es-em-manaus-1.202407", "URL")</f>
        <v/>
      </c>
      <c r="Q2448">
        <f>HYPERLINK("https://raw.githubusercontent.com/marcosmapl/dataset_imigrantes/main/materias_filtered/a_critica/venezuelanos/2017/04_mai/html/1.202407_81.html", "HTML")</f>
        <v/>
      </c>
      <c r="R2448">
        <f>HYPERLINK("https://raw.githubusercontent.com/marcosmapl/dataset_imigrantes/main/materias_filtered/a_critica/venezuelanos/2017/04_mai/txt/1.202407_81.txt", "TXT")</f>
        <v/>
      </c>
    </row>
    <row r="2449">
      <c r="A2449" s="1" t="n">
        <v>2447</v>
      </c>
      <c r="B2449" t="n">
        <v>2017</v>
      </c>
      <c r="C2449" s="2" t="n">
        <v>42867.86319444444</v>
      </c>
      <c r="D2449" t="inlineStr">
        <is>
          <t>PORTAL AMAZONIA</t>
        </is>
      </c>
      <c r="E2449" t="inlineStr">
        <is>
          <t>VENEZUELANOS</t>
        </is>
      </c>
      <c r="F2449" t="inlineStr">
        <is>
          <t>CIDADES</t>
        </is>
      </c>
      <c r="G2449" t="inlineStr">
        <is>
          <t>REDAÇÃO</t>
        </is>
      </c>
      <c r="H2449" t="inlineStr">
        <is>
          <t>GOVERNO DO AMAZONAS VAI LIBERAR RECURSOS PARA AJUDAR VENEZUELANOS</t>
        </is>
      </c>
      <c r="I2449" t="inlineStr">
        <is>
          <t>O GOVERNADOR DAVID ALMEIDA ANUNCIOU, NESSA SEXTA-FEIRA (12) QUE O GOVERNO DO AMAZONAS VAI LIBERAR RECURSOS DA ORDEM DE R$ 300 MIL PARA AJUDAR A MINIMIZAR OS PROBLEMAS ENFRENTADOS PELOS IMIGRANTES VENEZUELANOS RECÉM CHEGADOS À MANAUS.DAVID ALMEID</t>
        </is>
      </c>
      <c r="J2449" t="inlineStr">
        <is>
          <t>AMAZONAS, DAVID ALMEIDA, GOVERNADOR INTERINO, MANAUS, VENEZUELANOS</t>
        </is>
      </c>
      <c r="K2449" t="n">
        <v>5</v>
      </c>
      <c r="L2449" t="n">
        <v>2</v>
      </c>
      <c r="M2449" t="n">
        <v>0</v>
      </c>
      <c r="N2449" t="n">
        <v>0</v>
      </c>
      <c r="O2449" t="n">
        <v>10</v>
      </c>
      <c r="P2449">
        <f>HYPERLINK("https://portalamazonia.com/noticias/cidades/governo-do-amazonas-vai-liberar-recursos-para-ajudar-venezuelanos", "URL")</f>
        <v/>
      </c>
      <c r="Q2449">
        <f>HYPERLINK("https://raw.githubusercontent.com/marcosmapl/dataset_imigrantes/main/materias_filtered/portal_amazonia/venezuelanos/2017/04_mai/html/7601.7601_1581.html", "HTML")</f>
        <v/>
      </c>
      <c r="R2449">
        <f>HYPERLINK("https://raw.githubusercontent.com/marcosmapl/dataset_imigrantes/main/materias_filtered/portal_amazonia/venezuelanos/2017/04_mai/txt/7601.7601_1581.txt", "TXT")</f>
        <v/>
      </c>
    </row>
    <row r="2450">
      <c r="A2450" s="1" t="n">
        <v>2448</v>
      </c>
      <c r="B2450" t="n">
        <v>2017</v>
      </c>
      <c r="C2450" s="2" t="n">
        <v>42867.7875</v>
      </c>
      <c r="D2450" t="inlineStr">
        <is>
          <t>A CRITICA</t>
        </is>
      </c>
      <c r="E2450" t="inlineStr">
        <is>
          <t>VENEZUELANOS</t>
        </is>
      </c>
      <c r="F2450" t="inlineStr">
        <is>
          <t>MANAUS</t>
        </is>
      </c>
      <c r="G2450" t="inlineStr">
        <is>
          <t>ACRÍTICA.COM</t>
        </is>
      </c>
      <c r="H2450" t="inlineStr">
        <is>
          <t>GOVERNO DO AMAZONAS VAI LIBERAR RECURSOS PARA AJUDAR VENEZUELANOS, EM MANAUS</t>
        </is>
      </c>
      <c r="I2450" t="inlineStr">
        <is>
          <t>POR CONTA DA CRISE ECONÔMICA QUE AFETA DA VENEZUELA VÁRIOS ÍNDIOS DEIXARAM O PAÍS. MAIS DE 400 VENEZUELANOS ESTÃO NA CAPITAL AMAZONENSE</t>
        </is>
      </c>
      <c r="J2450" t="inlineStr"/>
      <c r="K2450" t="n">
        <v>0</v>
      </c>
      <c r="L2450" t="n">
        <v>1</v>
      </c>
      <c r="M2450" t="n">
        <v>0</v>
      </c>
      <c r="N2450" t="n">
        <v>0</v>
      </c>
      <c r="O2450" t="n">
        <v>0</v>
      </c>
      <c r="P2450">
        <f>HYPERLINK("https://www.acritica.com/manaus/governo-do-amazonas-vai-liberar-recursos-para-ajudar-venezuelanos-em-manaus-1.202533", "URL")</f>
        <v/>
      </c>
      <c r="Q2450">
        <f>HYPERLINK("https://raw.githubusercontent.com/marcosmapl/dataset_imigrantes/main/materias_filtered/a_critica/venezuelanos/2017/04_mai/html/1.202533_585.html", "HTML")</f>
        <v/>
      </c>
      <c r="R2450">
        <f>HYPERLINK("https://raw.githubusercontent.com/marcosmapl/dataset_imigrantes/main/materias_filtered/a_critica/venezuelanos/2017/04_mai/txt/1.202533_585.txt", "TXT")</f>
        <v/>
      </c>
    </row>
    <row r="2451">
      <c r="A2451" s="1" t="n">
        <v>2449</v>
      </c>
      <c r="B2451" t="n">
        <v>2017</v>
      </c>
      <c r="C2451" s="2" t="n">
        <v>42866.76869212963</v>
      </c>
      <c r="D2451" t="inlineStr">
        <is>
          <t>A CRITICA</t>
        </is>
      </c>
      <c r="E2451" t="inlineStr">
        <is>
          <t>VENEZUELANOS</t>
        </is>
      </c>
      <c r="F2451" t="inlineStr">
        <is>
          <t>MANAUS</t>
        </is>
      </c>
      <c r="G2451" t="inlineStr">
        <is>
          <t>ACRÍTICA.COM</t>
        </is>
      </c>
      <c r="H2451" t="inlineStr">
        <is>
          <t>MPF/AM RECOMENDA MEDIDAS SOBRE IMIGRANTES VENEZUELANOS EM MANAUS</t>
        </is>
      </c>
      <c r="I2451" t="inlineStr">
        <is>
          <t>DOCUMENTO PEDE QUE ÓRGÃOS PRESTEM AÇÕES COORDENADAS DE ASSISTÊNCIA HUMANITÁRIA AOS ESTRANGEIROS, QUE ATUALMENTE VIVEM EM CONDIÇÕES PRECÁRIAS EM VÁRIOS PONTOS DA CAPITAL</t>
        </is>
      </c>
      <c r="J2451" t="inlineStr"/>
      <c r="K2451" t="n">
        <v>0</v>
      </c>
      <c r="L2451" t="n">
        <v>1</v>
      </c>
      <c r="M2451" t="n">
        <v>0</v>
      </c>
      <c r="N2451" t="n">
        <v>0</v>
      </c>
      <c r="O2451" t="n">
        <v>0</v>
      </c>
      <c r="P2451">
        <f>HYPERLINK("https://www.acritica.com/manaus/mpf-am-recomenda-medidas-sobre-imigrantes-venezuelanos-em-manaus-1.202630", "URL")</f>
        <v/>
      </c>
      <c r="Q2451">
        <f>HYPERLINK("https://raw.githubusercontent.com/marcosmapl/dataset_imigrantes/main/materias_filtered/a_critica/venezuelanos/2017/04_mai/html/1.202630_571.html", "HTML")</f>
        <v/>
      </c>
      <c r="R2451">
        <f>HYPERLINK("https://raw.githubusercontent.com/marcosmapl/dataset_imigrantes/main/materias_filtered/a_critica/venezuelanos/2017/04_mai/txt/1.202630_571.txt", "TXT")</f>
        <v/>
      </c>
    </row>
    <row r="2452">
      <c r="A2452" s="1" t="n">
        <v>2450</v>
      </c>
      <c r="B2452" t="n">
        <v>2017</v>
      </c>
      <c r="C2452" s="2" t="n">
        <v>42866.33333333334</v>
      </c>
      <c r="D2452" t="inlineStr">
        <is>
          <t>A CRITICA</t>
        </is>
      </c>
      <c r="E2452" t="inlineStr">
        <is>
          <t>AMBOS</t>
        </is>
      </c>
      <c r="F2452" t="inlineStr">
        <is>
          <t>OPINIAO</t>
        </is>
      </c>
      <c r="G2452" t="inlineStr"/>
      <c r="H2452" t="inlineStr">
        <is>
          <t>ENQUANTO OS DESVALIDOS AGUARDAM</t>
        </is>
      </c>
      <c r="I2452" t="inlineStr"/>
      <c r="J2452" t="inlineStr"/>
      <c r="K2452" t="n">
        <v>0</v>
      </c>
      <c r="L2452" t="n">
        <v>1</v>
      </c>
      <c r="M2452" t="n">
        <v>0</v>
      </c>
      <c r="N2452" t="n">
        <v>0</v>
      </c>
      <c r="O2452" t="n">
        <v>0</v>
      </c>
      <c r="P2452">
        <f>HYPERLINK("https://www.acritica.com/opiniao/enquanto-os-desvalidos-aguardam-1.231018", "URL")</f>
        <v/>
      </c>
      <c r="Q2452">
        <f>HYPERLINK("https://raw.githubusercontent.com/marcosmapl/dataset_imigrantes/main/materias_filtered/a_critica/ambos/2017/04_mai/html/1.231018_576.html", "HTML")</f>
        <v/>
      </c>
      <c r="R2452">
        <f>HYPERLINK("https://raw.githubusercontent.com/marcosmapl/dataset_imigrantes/main/materias_filtered/a_critica/ambos/2017/04_mai/txt/1.231018_576.txt", "TXT")</f>
        <v/>
      </c>
    </row>
    <row r="2453">
      <c r="A2453" s="1" t="n">
        <v>2451</v>
      </c>
      <c r="B2453" t="n">
        <v>2017</v>
      </c>
      <c r="C2453" s="2" t="n">
        <v>42865.67013888889</v>
      </c>
      <c r="D2453" t="inlineStr">
        <is>
          <t>PORTAL AMAZONIA</t>
        </is>
      </c>
      <c r="E2453" t="inlineStr">
        <is>
          <t>VENEZUELANOS</t>
        </is>
      </c>
      <c r="F2453" t="inlineStr">
        <is>
          <t>CIDADES</t>
        </is>
      </c>
      <c r="G2453" t="inlineStr">
        <is>
          <t>REDAÇÃO</t>
        </is>
      </c>
      <c r="H2453" t="inlineStr">
        <is>
          <t>INDÍGENAS KULINAS SÃO FLAGRADOS RECOLHENDO LIXO E OBJETOS EM LIXÃO NO ACRE</t>
        </is>
      </c>
      <c r="I2453" t="inlineStr">
        <is>
          <t>O MÉDICO ROSALDO AGUIAR DENUNCIOU, NO ÚLTIMO SÁBADO (6), A SITUAÇÃO DE ÍNDIOS DA ETNIA KULINA QUE ESTAVAM EM UM LIXÃO CATANDO RESTOS DE ALIMENTOS E LATINHAS DE REFRIGERANTE E CERVEJA PARA VENDEREM NO MUNICÍPIO DE FEIJÓ, DISTANTE 350 KM DA CAPITAL RIO</t>
        </is>
      </c>
      <c r="J2453" t="inlineStr">
        <is>
          <t>ACRE, INDÍGENAS</t>
        </is>
      </c>
      <c r="K2453" t="n">
        <v>2</v>
      </c>
      <c r="L2453" t="n">
        <v>2</v>
      </c>
      <c r="M2453" t="n">
        <v>0</v>
      </c>
      <c r="N2453" t="n">
        <v>0</v>
      </c>
      <c r="O2453" t="n">
        <v>7</v>
      </c>
      <c r="P2453">
        <f>HYPERLINK("https://portalamazonia.com/noticias/cidades/indigenas-kulinas-sao-flagrados-recolhendo-lixo-e-objetos-em-lixao-no-acre", "URL")</f>
        <v/>
      </c>
      <c r="Q2453">
        <f>HYPERLINK("https://raw.githubusercontent.com/marcosmapl/dataset_imigrantes/main/materias_filtered/portal_amazonia/venezuelanos/2017/04_mai/html/7520.7520_1428.html", "HTML")</f>
        <v/>
      </c>
      <c r="R2453">
        <f>HYPERLINK("https://raw.githubusercontent.com/marcosmapl/dataset_imigrantes/main/materias_filtered/portal_amazonia/venezuelanos/2017/04_mai/txt/7520.7520_1428.txt", "TXT")</f>
        <v/>
      </c>
    </row>
    <row r="2454">
      <c r="A2454" s="1" t="n">
        <v>2452</v>
      </c>
      <c r="B2454" t="n">
        <v>2017</v>
      </c>
      <c r="C2454" s="2" t="n">
        <v>42865.00833333333</v>
      </c>
      <c r="D2454" t="inlineStr">
        <is>
          <t>A CRITICA</t>
        </is>
      </c>
      <c r="E2454" t="inlineStr">
        <is>
          <t>VENEZUELANOS</t>
        </is>
      </c>
      <c r="F2454" t="inlineStr">
        <is>
          <t>MANAUS</t>
        </is>
      </c>
      <c r="G2454" t="inlineStr">
        <is>
          <t>RAFAEL SEIXAS</t>
        </is>
      </c>
      <c r="H2454" t="inlineStr">
        <is>
          <t>CASOS DE TUBERCULOSE SÃO REGISTRADOS EM CRIANÇAS INDÍGENAS VENEZUELANAS, EM MANAUS</t>
        </is>
      </c>
      <c r="I2454" t="inlineStr">
        <is>
          <t>UM MENINO DE 4 ANOS E UM BEBÊ RECÉM-NASCIDO FORAM DIAGNOSTICADOS NESTA TERÇA-FEIRA (09) COM A DOENÇA. A PRIORI, OS PAIS DOS MENORES FORAM RELUTANTES QUANTO AO TRATAMENTO</t>
        </is>
      </c>
      <c r="J2454" t="inlineStr"/>
      <c r="K2454" t="n">
        <v>0</v>
      </c>
      <c r="L2454" t="n">
        <v>1</v>
      </c>
      <c r="M2454" t="n">
        <v>0</v>
      </c>
      <c r="N2454" t="n">
        <v>0</v>
      </c>
      <c r="O2454" t="n">
        <v>0</v>
      </c>
      <c r="P2454">
        <f>HYPERLINK("https://www.acritica.com/manaus/casos-de-tuberculose-s-o-registrados-em-criancas-indigenas-venezuelanas-em-manaus-1.202665", "URL")</f>
        <v/>
      </c>
      <c r="Q2454">
        <f>HYPERLINK("https://raw.githubusercontent.com/marcosmapl/dataset_imigrantes/main/materias_filtered/a_critica/venezuelanos/2017/04_mai/html/1.202665_573.html", "HTML")</f>
        <v/>
      </c>
      <c r="R2454">
        <f>HYPERLINK("https://raw.githubusercontent.com/marcosmapl/dataset_imigrantes/main/materias_filtered/a_critica/venezuelanos/2017/04_mai/txt/1.202665_573.txt", "TXT")</f>
        <v/>
      </c>
    </row>
    <row r="2455">
      <c r="A2455" s="1" t="n">
        <v>2453</v>
      </c>
      <c r="B2455" t="n">
        <v>2017</v>
      </c>
      <c r="C2455" s="2" t="n">
        <v>42864.81944444445</v>
      </c>
      <c r="D2455" t="inlineStr">
        <is>
          <t>A CRITICA</t>
        </is>
      </c>
      <c r="E2455" t="inlineStr">
        <is>
          <t>VENEZUELANOS</t>
        </is>
      </c>
      <c r="F2455" t="inlineStr">
        <is>
          <t>ESPORTES</t>
        </is>
      </c>
      <c r="G2455" t="inlineStr">
        <is>
          <t>ACRÍTICA.COM</t>
        </is>
      </c>
      <c r="H2455" t="inlineStr">
        <is>
          <t>AMAZONENSE QUEBRA JEJUM BRASILEIRO E GARANTE PRATA NO PAN-AMERICANO DE WRESTLING</t>
        </is>
      </c>
      <c r="I2455" t="inlineStr">
        <is>
          <t>DAVID MOREIRA FATUROU A MEDALHA NA CATEGORIA ATÉ 61 KG DO ESTILO LIVRE EM COMPETIÇÃO EM LAURO DE FREITAS, NA BAHIA</t>
        </is>
      </c>
      <c r="J2455" t="inlineStr"/>
      <c r="K2455" t="n">
        <v>0</v>
      </c>
      <c r="L2455" t="n">
        <v>1</v>
      </c>
      <c r="M2455" t="n">
        <v>0</v>
      </c>
      <c r="N2455" t="n">
        <v>0</v>
      </c>
      <c r="O2455" t="n">
        <v>0</v>
      </c>
      <c r="P2455">
        <f>HYPERLINK("https://www.acritica.com/esportes/amazonense-quebra-jejum-brasileiro-e-garante-prata-no-pan-americano-de-wrestling-1.202739", "URL")</f>
        <v/>
      </c>
      <c r="Q2455">
        <f>HYPERLINK("https://raw.githubusercontent.com/marcosmapl/dataset_imigrantes/main/materias_filtered/a_critica/venezuelanos/2017/04_mai/html/1.202739_888.html", "HTML")</f>
        <v/>
      </c>
      <c r="R2455">
        <f>HYPERLINK("https://raw.githubusercontent.com/marcosmapl/dataset_imigrantes/main/materias_filtered/a_critica/venezuelanos/2017/04_mai/txt/1.202739_888.txt", "TXT")</f>
        <v/>
      </c>
    </row>
    <row r="2456">
      <c r="A2456" s="1" t="n">
        <v>2454</v>
      </c>
      <c r="B2456" t="n">
        <v>2017</v>
      </c>
      <c r="C2456" s="2" t="n">
        <v>42864.58876157407</v>
      </c>
      <c r="D2456" t="inlineStr">
        <is>
          <t>A CRITICA</t>
        </is>
      </c>
      <c r="E2456" t="inlineStr">
        <is>
          <t>VENEZUELANOS</t>
        </is>
      </c>
      <c r="F2456" t="inlineStr">
        <is>
          <t>MANAUS</t>
        </is>
      </c>
      <c r="G2456" t="inlineStr">
        <is>
          <t>ANTÔNIO PAULO</t>
        </is>
      </c>
      <c r="H2456" t="inlineStr">
        <is>
          <t>ITAMARATY FARÁ DIAGNÓSTICO SOBRE INDÍGENAS VENEZUELANOS QUE VIVEM EM MANAUS</t>
        </is>
      </c>
      <c r="I2456" t="inlineStr">
        <is>
          <t>MINISTÉRIO DAS RELAÇÕES EXTERIORES LEVANTARÁ SITUAÇÃO DE ÍNDIOS VENEZUELANOS QUE ESTÃO ACAMPADOS PRÓXIMO À RODOVIÁRIA DE MANAUS</t>
        </is>
      </c>
      <c r="J2456" t="inlineStr"/>
      <c r="K2456" t="n">
        <v>0</v>
      </c>
      <c r="L2456" t="n">
        <v>1</v>
      </c>
      <c r="M2456" t="n">
        <v>0</v>
      </c>
      <c r="N2456" t="n">
        <v>0</v>
      </c>
      <c r="O2456" t="n">
        <v>0</v>
      </c>
      <c r="P2456">
        <f>HYPERLINK("https://www.acritica.com/manaus/itamaraty-fara-diagnostico-sobre-indigenas-venezuelanos-que-vivem-em-manaus-1.87639", "URL")</f>
        <v/>
      </c>
      <c r="Q2456">
        <f>HYPERLINK("https://raw.githubusercontent.com/marcosmapl/dataset_imigrantes/main/materias_filtered/a_critica/venezuelanos/2017/04_mai/html/1.87639_1050.html", "HTML")</f>
        <v/>
      </c>
      <c r="R2456">
        <f>HYPERLINK("https://raw.githubusercontent.com/marcosmapl/dataset_imigrantes/main/materias_filtered/a_critica/venezuelanos/2017/04_mai/txt/1.87639_1050.txt", "TXT")</f>
        <v/>
      </c>
    </row>
    <row r="2457">
      <c r="A2457" s="1" t="n">
        <v>2455</v>
      </c>
      <c r="B2457" t="n">
        <v>2017</v>
      </c>
      <c r="C2457" s="2" t="n">
        <v>42864.03111111111</v>
      </c>
      <c r="D2457" t="inlineStr">
        <is>
          <t>A CRITICA</t>
        </is>
      </c>
      <c r="E2457" t="inlineStr">
        <is>
          <t>VENEZUELANOS</t>
        </is>
      </c>
      <c r="F2457" t="inlineStr">
        <is>
          <t>OPINIAO</t>
        </is>
      </c>
      <c r="G2457" t="inlineStr"/>
      <c r="H2457" t="inlineStr">
        <is>
          <t>INDÍGENAS VENEZUELANOS</t>
        </is>
      </c>
      <c r="I2457" t="inlineStr"/>
      <c r="J2457" t="inlineStr"/>
      <c r="K2457" t="n">
        <v>0</v>
      </c>
      <c r="L2457" t="n">
        <v>1</v>
      </c>
      <c r="M2457" t="n">
        <v>0</v>
      </c>
      <c r="N2457" t="n">
        <v>0</v>
      </c>
      <c r="O2457" t="n">
        <v>0</v>
      </c>
      <c r="P2457">
        <f>HYPERLINK("https://www.acritica.com/opiniao/indigenas-venezuelanos-1.231026", "URL")</f>
        <v/>
      </c>
      <c r="Q2457">
        <f>HYPERLINK("https://raw.githubusercontent.com/marcosmapl/dataset_imigrantes/main/materias_filtered/a_critica/venezuelanos/2017/04_mai/html/1.231026_485.html", "HTML")</f>
        <v/>
      </c>
      <c r="R2457">
        <f>HYPERLINK("https://raw.githubusercontent.com/marcosmapl/dataset_imigrantes/main/materias_filtered/a_critica/venezuelanos/2017/04_mai/txt/1.231026_485.txt", "TXT")</f>
        <v/>
      </c>
    </row>
    <row r="2458">
      <c r="A2458" s="1" t="n">
        <v>2456</v>
      </c>
      <c r="B2458" t="n">
        <v>2017</v>
      </c>
      <c r="C2458" s="2" t="n">
        <v>42863.86041666667</v>
      </c>
      <c r="D2458" t="inlineStr">
        <is>
          <t>PORTAL AMAZONIA</t>
        </is>
      </c>
      <c r="E2458" t="inlineStr">
        <is>
          <t>VENEZUELANOS</t>
        </is>
      </c>
      <c r="F2458" t="inlineStr">
        <is>
          <t>CIDADES</t>
        </is>
      </c>
      <c r="G2458" t="inlineStr">
        <is>
          <t>REDAÇÃO</t>
        </is>
      </c>
      <c r="H2458" t="inlineStr">
        <is>
          <t>MANAUS QUER AJUDA FEDERAL PARA LIDAR COM MIGRAÇÃO DE VENEZUELANOS</t>
        </is>
      </c>
      <c r="I2458" t="inlineStr">
        <is>
          <t>A PREFEITURA DE MANAUS VAI COMUNICAR O MINISTÉRIO DO DESENVOLVIMENTO SOCIAL E AGRÁRIO AINDA NESTA SEGUNDA-FEIRA (8) SOBRE O DECRETO MUNICIPAL DE EMERGÊNCIA SOCIAL DEVIDO AO INTENSO PROCESSO MIGRATÓRIO DE VENEZUELANOS NA CIDADE E ESPERA RECEBER A</t>
        </is>
      </c>
      <c r="J2458" t="inlineStr">
        <is>
          <t>CRISE, INDIGENAS VENEZUELANOS, MANAUS, MIGRACAO, VENEZUELA, VENEZUELANOS</t>
        </is>
      </c>
      <c r="K2458" t="n">
        <v>6</v>
      </c>
      <c r="L2458" t="n">
        <v>2</v>
      </c>
      <c r="M2458" t="n">
        <v>0</v>
      </c>
      <c r="N2458" t="n">
        <v>0</v>
      </c>
      <c r="O2458" t="n">
        <v>11</v>
      </c>
      <c r="P2458">
        <f>HYPERLINK("https://portalamazonia.com/noticias/cidades/manaus-quer-ajuda-federal-para-lidar-com-migracao-de-venezuelanos", "URL")</f>
        <v/>
      </c>
      <c r="Q2458">
        <f>HYPERLINK("https://raw.githubusercontent.com/marcosmapl/dataset_imigrantes/main/materias_filtered/portal_amazonia/venezuelanos/2017/04_mai/html/7450.7450_1476.html", "HTML")</f>
        <v/>
      </c>
      <c r="R2458">
        <f>HYPERLINK("https://raw.githubusercontent.com/marcosmapl/dataset_imigrantes/main/materias_filtered/portal_amazonia/venezuelanos/2017/04_mai/txt/7450.7450_1476.txt", "TXT")</f>
        <v/>
      </c>
    </row>
    <row r="2459">
      <c r="A2459" s="1" t="n">
        <v>2457</v>
      </c>
      <c r="B2459" t="n">
        <v>2017</v>
      </c>
      <c r="C2459" s="2" t="n">
        <v>42860.94861111111</v>
      </c>
      <c r="D2459" t="inlineStr">
        <is>
          <t>A CRITICA</t>
        </is>
      </c>
      <c r="E2459" t="inlineStr">
        <is>
          <t>VENEZUELANOS</t>
        </is>
      </c>
      <c r="F2459" t="inlineStr">
        <is>
          <t>ESPORTES</t>
        </is>
      </c>
      <c r="G2459" t="inlineStr">
        <is>
          <t>JÉSSICA SANTOS</t>
        </is>
      </c>
      <c r="H2459" t="inlineStr">
        <is>
          <t>9º DESAFIO INTERNACIONAL DE TEPEQUÉM ACONTECE NESTE FIM DE SEMANA, EM RORAIMA</t>
        </is>
      </c>
      <c r="I2459" t="inlineStr">
        <is>
          <t>DESAFIO EXIGE SUPERAÇÃO DOS ATLETAS, QUE PRECISAM SUBIR A SERRA DE TEPEQUÉM, COM INCLINAÇÃO DE ATÉ 28%</t>
        </is>
      </c>
      <c r="J2459" t="inlineStr"/>
      <c r="K2459" t="n">
        <v>0</v>
      </c>
      <c r="L2459" t="n">
        <v>1</v>
      </c>
      <c r="M2459" t="n">
        <v>0</v>
      </c>
      <c r="N2459" t="n">
        <v>0</v>
      </c>
      <c r="O2459" t="n">
        <v>0</v>
      </c>
      <c r="P2459">
        <f>HYPERLINK("https://www.acritica.com/esportes/9-desafio-internacional-de-tepequem-acontece-neste-fim-de-semana-em-roraima-1.188725", "URL")</f>
        <v/>
      </c>
      <c r="Q2459">
        <f>HYPERLINK("https://raw.githubusercontent.com/marcosmapl/dataset_imigrantes/main/materias_filtered/a_critica/venezuelanos/2017/04_mai/html/1.188725_372.html", "HTML")</f>
        <v/>
      </c>
      <c r="R2459">
        <f>HYPERLINK("https://raw.githubusercontent.com/marcosmapl/dataset_imigrantes/main/materias_filtered/a_critica/venezuelanos/2017/04_mai/txt/1.188725_372.txt", "TXT")</f>
        <v/>
      </c>
    </row>
    <row r="2460">
      <c r="A2460" s="1" t="n">
        <v>2458</v>
      </c>
      <c r="B2460" t="n">
        <v>2017</v>
      </c>
      <c r="C2460" s="2" t="n">
        <v>42859.87569444445</v>
      </c>
      <c r="D2460" t="inlineStr">
        <is>
          <t>G1</t>
        </is>
      </c>
      <c r="E2460" t="inlineStr">
        <is>
          <t>VENEZUELANOS</t>
        </is>
      </c>
      <c r="F2460" t="inlineStr"/>
      <c r="G2460" t="inlineStr"/>
      <c r="H2460" t="inlineStr">
        <is>
          <t>PF PRENDE SUSPEITOS DE EXPLORAÇÃO SEXUAL DE VENEZUELANAS EM RORAIMA</t>
        </is>
      </c>
      <c r="I2460" t="inlineStr"/>
      <c r="J2460" t="inlineStr">
        <is>
          <t>POLÍCIA FEDERAL, RORAIMA, BOA VISTA</t>
        </is>
      </c>
      <c r="K2460" t="n">
        <v>3</v>
      </c>
      <c r="L2460" t="n">
        <v>4</v>
      </c>
      <c r="M2460" t="n">
        <v>0</v>
      </c>
      <c r="N2460" t="n">
        <v>0</v>
      </c>
      <c r="O2460" t="n">
        <v>15</v>
      </c>
      <c r="P2460">
        <f>HYPERLINK("http://g1.globo.com/jornal-nacional/noticia/2017/05/pf-prende-suspeitos-de-exploracao-sexual-de-venezuelanas-em-roraima.html", "URL")</f>
        <v/>
      </c>
      <c r="Q2460">
        <f>HYPERLINK("https://raw.githubusercontent.com/marcosmapl/dataset_imigrantes/main/materias_filtered/g1/venezuelanos/2017/04_mai/html/g1_60c8d56a-232a-11ed-b24f-6dbe51e79fca_4175.html", "HTML")</f>
        <v/>
      </c>
      <c r="R2460">
        <f>HYPERLINK("https://raw.githubusercontent.com/marcosmapl/dataset_imigrantes/main/materias_filtered/g1/venezuelanos/2017/04_mai/txt/g1_60c8d56a-232a-11ed-b24f-6dbe51e79fca_4175.txt", "TXT")</f>
        <v/>
      </c>
    </row>
    <row r="2461">
      <c r="A2461" s="1" t="n">
        <v>2459</v>
      </c>
      <c r="B2461" t="n">
        <v>2017</v>
      </c>
      <c r="C2461" s="2" t="n">
        <v>42856.89673611111</v>
      </c>
      <c r="D2461" t="inlineStr">
        <is>
          <t>A CRITICA</t>
        </is>
      </c>
      <c r="E2461" t="inlineStr">
        <is>
          <t>VENEZUELANOS</t>
        </is>
      </c>
      <c r="F2461" t="inlineStr">
        <is>
          <t>ESPORTES</t>
        </is>
      </c>
      <c r="G2461" t="inlineStr">
        <is>
          <t>A CRITICA.COM*</t>
        </is>
      </c>
      <c r="H2461" t="inlineStr">
        <is>
          <t>AMAZONAS LEVARÁ CINCO ATLETAS PARA O PAN-AMERICANO SÊNIOR DE WRESTLING, NA BAHIA</t>
        </is>
      </c>
      <c r="I2461" t="inlineStr">
        <is>
          <t>É A MAIOR DELEGAÇÃO DO AMAZONAS ATÉ HOJE NO PAN-AMERICANO SÊNIOR DE WRESTLING</t>
        </is>
      </c>
      <c r="J2461" t="inlineStr"/>
      <c r="K2461" t="n">
        <v>0</v>
      </c>
      <c r="L2461" t="n">
        <v>1</v>
      </c>
      <c r="M2461" t="n">
        <v>0</v>
      </c>
      <c r="N2461" t="n">
        <v>0</v>
      </c>
      <c r="O2461" t="n">
        <v>0</v>
      </c>
      <c r="P2461">
        <f>HYPERLINK("https://www.acritica.com/esportes/amazonas-levara-cinco-atletas-para-o-pan-americano-senior-de-wrestling-na-bahia-1.188415", "URL")</f>
        <v/>
      </c>
      <c r="Q2461">
        <f>HYPERLINK("https://raw.githubusercontent.com/marcosmapl/dataset_imigrantes/main/materias_filtered/a_critica/venezuelanos/2017/04_mai/html/1.188415_1119.html", "HTML")</f>
        <v/>
      </c>
      <c r="R2461">
        <f>HYPERLINK("https://raw.githubusercontent.com/marcosmapl/dataset_imigrantes/main/materias_filtered/a_critica/venezuelanos/2017/04_mai/txt/1.188415_1119.txt", "TXT")</f>
        <v/>
      </c>
    </row>
    <row r="2462">
      <c r="A2462" s="1" t="n">
        <v>2460</v>
      </c>
      <c r="B2462" t="n">
        <v>2017</v>
      </c>
      <c r="C2462" s="2" t="n">
        <v>42851.81934027778</v>
      </c>
      <c r="D2462" t="inlineStr">
        <is>
          <t>A CRITICA</t>
        </is>
      </c>
      <c r="E2462" t="inlineStr">
        <is>
          <t>VENEZUELANOS</t>
        </is>
      </c>
      <c r="F2462" t="inlineStr">
        <is>
          <t>ESPORTES</t>
        </is>
      </c>
      <c r="G2462" t="inlineStr">
        <is>
          <t>DENIR SIMPLÍCIO</t>
        </is>
      </c>
      <c r="H2462" t="inlineStr">
        <is>
          <t>CONHEÇA A HISTÓRIA DO COLECIONADOR QUE TEM MAIS DE 500 CAMISAS DE GOLEIRO</t>
        </is>
      </c>
      <c r="I2462" t="inlineStr">
        <is>
          <t>SÉRGIO SÁ, 49, É COLECIONADOR DE CAMISAS DE CLUBES DE FUTEBOL, MAS ESPECIFICAMENTE DE UNIFORMES DOS GUARDIÕES DO GOL</t>
        </is>
      </c>
      <c r="J2462" t="inlineStr"/>
      <c r="K2462" t="n">
        <v>0</v>
      </c>
      <c r="L2462" t="n">
        <v>1</v>
      </c>
      <c r="M2462" t="n">
        <v>0</v>
      </c>
      <c r="N2462" t="n">
        <v>0</v>
      </c>
      <c r="O2462" t="n">
        <v>0</v>
      </c>
      <c r="P2462">
        <f>HYPERLINK("https://www.acritica.com/esportes/conheca-a-historia-do-colecionador-que-tem-mais-de-500-camisas-de-goleiro-1.188179", "URL")</f>
        <v/>
      </c>
      <c r="Q2462">
        <f>HYPERLINK("https://raw.githubusercontent.com/marcosmapl/dataset_imigrantes/main/materias_filtered/a_critica/venezuelanos/2017/03_abr/html/1.188179_108.html", "HTML")</f>
        <v/>
      </c>
      <c r="R2462">
        <f>HYPERLINK("https://raw.githubusercontent.com/marcosmapl/dataset_imigrantes/main/materias_filtered/a_critica/venezuelanos/2017/03_abr/txt/1.188179_108.txt", "TXT")</f>
        <v/>
      </c>
    </row>
    <row r="2463">
      <c r="A2463" s="1" t="n">
        <v>2461</v>
      </c>
      <c r="B2463" t="n">
        <v>2017</v>
      </c>
      <c r="C2463" s="2" t="n">
        <v>42849.6</v>
      </c>
      <c r="D2463" t="inlineStr">
        <is>
          <t>PORTAL AMAZONIA</t>
        </is>
      </c>
      <c r="E2463" t="inlineStr">
        <is>
          <t>VENEZUELANOS</t>
        </is>
      </c>
      <c r="F2463" t="inlineStr">
        <is>
          <t>EDUCAÇÃO</t>
        </is>
      </c>
      <c r="G2463" t="inlineStr">
        <is>
          <t>REDAÇÃO</t>
        </is>
      </c>
      <c r="H2463" t="inlineStr">
        <is>
          <t>UNIVERSIDADE VIRTUAL DE RORAIMA ABRE SELEÇÃO PARA CADASTRO DE RESERVA DE PROFESSOR</t>
        </is>
      </c>
      <c r="I2463" t="inlineStr">
        <is>
          <t>VAGAS SÃO PARA 11 ÁREAS. FOTO: REPRODUÇÃO/SHUTTERSTOCKAS INSCRIÇÕES GRATUITAS PARA A FORMAÇÃO DE CADASTRO DE RESERVA DE PROFESSORES DA UNIVERSIDADE VIRTUAL DE RORAIMA (UNIVIRR) INICIAM NESTA SEGUNDA-FEIRA (24) E SEGUEM ATÉ SEXTA-FEIRA (28). SÃO</t>
        </is>
      </c>
      <c r="J2463" t="inlineStr">
        <is>
          <t>PROCESSO SELETIVO, PROFESSOR, RORAIMA</t>
        </is>
      </c>
      <c r="K2463" t="n">
        <v>3</v>
      </c>
      <c r="L2463" t="n">
        <v>2</v>
      </c>
      <c r="M2463" t="n">
        <v>0</v>
      </c>
      <c r="N2463" t="n">
        <v>0</v>
      </c>
      <c r="O2463" t="n">
        <v>8</v>
      </c>
      <c r="P2463">
        <f>HYPERLINK("https://portalamazonia.com/noticias/educacao/universidade-virtual-de-roraima-abre-selecao-para-cadastro-de-reserva-de-professor", "URL")</f>
        <v/>
      </c>
      <c r="Q2463">
        <f>HYPERLINK("https://raw.githubusercontent.com/marcosmapl/dataset_imigrantes/main/materias_filtered/portal_amazonia/venezuelanos/2017/03_abr/html/6986.6986_1509.html", "HTML")</f>
        <v/>
      </c>
      <c r="R2463">
        <f>HYPERLINK("https://raw.githubusercontent.com/marcosmapl/dataset_imigrantes/main/materias_filtered/portal_amazonia/venezuelanos/2017/03_abr/txt/6986.6986_1509.txt", "TXT")</f>
        <v/>
      </c>
    </row>
    <row r="2464">
      <c r="A2464" s="1" t="n">
        <v>2462</v>
      </c>
      <c r="B2464" t="n">
        <v>2017</v>
      </c>
      <c r="C2464" s="2" t="n">
        <v>42849.475</v>
      </c>
      <c r="D2464" t="inlineStr">
        <is>
          <t>PORTAL AMAZONIA</t>
        </is>
      </c>
      <c r="E2464" t="inlineStr">
        <is>
          <t>VENEZUELANOS</t>
        </is>
      </c>
      <c r="F2464" t="inlineStr">
        <is>
          <t>EDUCAÇÃO</t>
        </is>
      </c>
      <c r="G2464" t="inlineStr">
        <is>
          <t>REDAÇÃO</t>
        </is>
      </c>
      <c r="H2464" t="inlineStr">
        <is>
          <t>PROFESSOR AMAZONENSE LANÇA DICIONÁRIO DE EDUCAÇÃO FÍSICA EM LIBRAS</t>
        </is>
      </c>
      <c r="I2464" t="inlineStr">
        <is>
          <t>AUXILIAR OS ALUNOS SURDOS NAS AULAS DE EDUCAÇÃO FÍSICA. ESSE ERA O OBJETIVO DO PROJETO DE PESQUISA DO PROFESSOR DE EDUCAÇÃO FÍSICA, KEEGAN BEZERRA PONCE. O PROFESSOR ENTÃO CRIOU UM DICIONÁRIO DE EDUCAÇÃO FÍSICA EM LIBRAS, PARA QUE OS ALUNOS POSSAM PR</t>
        </is>
      </c>
      <c r="J2464" t="inlineStr">
        <is>
          <t>AMAZONAS, LIBRAS, MANAUS</t>
        </is>
      </c>
      <c r="K2464" t="n">
        <v>3</v>
      </c>
      <c r="L2464" t="n">
        <v>3</v>
      </c>
      <c r="M2464" t="n">
        <v>0</v>
      </c>
      <c r="N2464" t="n">
        <v>0</v>
      </c>
      <c r="O2464" t="n">
        <v>8</v>
      </c>
      <c r="P2464">
        <f>HYPERLINK("https://portalamazonia.com/noticias/educacao/professor-amazonense-lanca-dicionario-de-educacao-fisica-em-libras", "URL")</f>
        <v/>
      </c>
      <c r="Q2464">
        <f>HYPERLINK("https://raw.githubusercontent.com/marcosmapl/dataset_imigrantes/main/materias_filtered/portal_amazonia/venezuelanos/2017/03_abr/html/6965.6965_1566.html", "HTML")</f>
        <v/>
      </c>
      <c r="R2464">
        <f>HYPERLINK("https://raw.githubusercontent.com/marcosmapl/dataset_imigrantes/main/materias_filtered/portal_amazonia/venezuelanos/2017/03_abr/txt/6965.6965_1566.txt", "TXT")</f>
        <v/>
      </c>
    </row>
    <row r="2465">
      <c r="A2465" s="1" t="n">
        <v>2463</v>
      </c>
      <c r="B2465" t="n">
        <v>2017</v>
      </c>
      <c r="C2465" s="2" t="n">
        <v>42846.73263888889</v>
      </c>
      <c r="D2465" t="inlineStr">
        <is>
          <t>A CRITICA</t>
        </is>
      </c>
      <c r="E2465" t="inlineStr">
        <is>
          <t>VENEZUELANOS</t>
        </is>
      </c>
      <c r="F2465" t="inlineStr"/>
      <c r="G2465" t="inlineStr">
        <is>
          <t>PEDRO PEDUZZI - REPÓRTER DA AGÊNCIA BRASIL</t>
        </is>
      </c>
      <c r="H2465" t="inlineStr">
        <is>
          <t>GOVERNOS DA AMÉRICA LATINA CRITICAM INTENSA ONDA DE VIOLÊNCIA NA VENEZUELA</t>
        </is>
      </c>
      <c r="I2465" t="inlineStr">
        <is>
          <t>ESTA SEMANA, TRÊS PESSOAS MORRERAM E MAIS DE 60 FICARAM FERIDAS EM PROTESTOS EM CARACAS E CIDADES DE 14 ESTADOS DO PAÍS. ONDA SE AGRAVOU EM MEIO À POLARIZAÇÃO POLÍTICA NO PAÍS</t>
        </is>
      </c>
      <c r="J2465" t="inlineStr"/>
      <c r="K2465" t="n">
        <v>0</v>
      </c>
      <c r="L2465" t="n">
        <v>1</v>
      </c>
      <c r="M2465" t="n">
        <v>0</v>
      </c>
      <c r="N2465" t="n">
        <v>0</v>
      </c>
      <c r="O2465" t="n">
        <v>0</v>
      </c>
      <c r="P2465">
        <f>HYPERLINK("https://www.acritica.com/governos-da-america-latina-criticam-intensa-onda-de-violencia-na-venezuela-1.187348", "URL")</f>
        <v/>
      </c>
      <c r="Q2465">
        <f>HYPERLINK("https://raw.githubusercontent.com/marcosmapl/dataset_imigrantes/main/materias_filtered/a_critica/venezuelanos/2017/03_abr/html/1.187348_659.html", "HTML")</f>
        <v/>
      </c>
      <c r="R2465">
        <f>HYPERLINK("https://raw.githubusercontent.com/marcosmapl/dataset_imigrantes/main/materias_filtered/a_critica/venezuelanos/2017/03_abr/txt/1.187348_659.txt", "TXT")</f>
        <v/>
      </c>
    </row>
    <row r="2466">
      <c r="A2466" s="1" t="n">
        <v>2464</v>
      </c>
      <c r="B2466" t="n">
        <v>2017</v>
      </c>
      <c r="C2466" s="2" t="n">
        <v>42845.63472222222</v>
      </c>
      <c r="D2466" t="inlineStr">
        <is>
          <t>PORTAL AMAZONIA</t>
        </is>
      </c>
      <c r="E2466" t="inlineStr">
        <is>
          <t>VENEZUELANOS</t>
        </is>
      </c>
      <c r="F2466" t="inlineStr">
        <is>
          <t>EDUCAÇÃO</t>
        </is>
      </c>
      <c r="G2466" t="inlineStr">
        <is>
          <t>REDAÇÃO</t>
        </is>
      </c>
      <c r="H2466" t="inlineStr">
        <is>
          <t>ADAPTAÇÃO: ESCOLAS MUNICIPAIS DE BOA VISTA MUDAM ROTINA PARA ATENDER ALUNOS VENEZUELANOS</t>
        </is>
      </c>
      <c r="I2466" t="inlineStr">
        <is>
          <t>PROFESSORES, DIRETORES, COORDENADORES E ALUNOS DE 53 ESCOLAS MUNICIPAIS DE BOA VISTA TIVERAM QUE MUDAR A ROTINA COM O INÍCIO DO ANO LETIVO DE 2017 PARA RECEBER 408 ALUNOS VENEZUELANOS MATRICULADOS NA REDE PÚBLICA. NA ESCOLA MUNICIPAL JÂNIO DA SILVA Q</t>
        </is>
      </c>
      <c r="J2466" t="inlineStr">
        <is>
          <t>ESCOLAS, RORAIMA, VENEZUELANOS</t>
        </is>
      </c>
      <c r="K2466" t="n">
        <v>3</v>
      </c>
      <c r="L2466" t="n">
        <v>3</v>
      </c>
      <c r="M2466" t="n">
        <v>0</v>
      </c>
      <c r="N2466" t="n">
        <v>0</v>
      </c>
      <c r="O2466" t="n">
        <v>8</v>
      </c>
      <c r="P2466">
        <f>HYPERLINK("https://portalamazonia.com/noticias/educacao/adaptacao-escolas-municipais-de-boa-vista-mudam-rotina-para-atender-alunos-venezuelanos", "URL")</f>
        <v/>
      </c>
      <c r="Q2466">
        <f>HYPERLINK("https://raw.githubusercontent.com/marcosmapl/dataset_imigrantes/main/materias_filtered/portal_amazonia/venezuelanos/2017/03_abr/html/6898.6898_1434.html", "HTML")</f>
        <v/>
      </c>
      <c r="R2466">
        <f>HYPERLINK("https://raw.githubusercontent.com/marcosmapl/dataset_imigrantes/main/materias_filtered/portal_amazonia/venezuelanos/2017/03_abr/txt/6898.6898_1434.txt", "TXT")</f>
        <v/>
      </c>
    </row>
    <row r="2467">
      <c r="A2467" s="1" t="n">
        <v>2465</v>
      </c>
      <c r="B2467" t="n">
        <v>2017</v>
      </c>
      <c r="C2467" s="2" t="n">
        <v>42845.49375</v>
      </c>
      <c r="D2467" t="inlineStr">
        <is>
          <t>PORTAL AMAZONIA</t>
        </is>
      </c>
      <c r="E2467" t="inlineStr">
        <is>
          <t>VENEZUELANOS</t>
        </is>
      </c>
      <c r="F2467" t="inlineStr">
        <is>
          <t>CIDADES</t>
        </is>
      </c>
      <c r="G2467" t="inlineStr">
        <is>
          <t>REDAÇÃO</t>
        </is>
      </c>
      <c r="H2467" t="inlineStr">
        <is>
          <t>EXÉRCITO BRASILEIRO: BRAÇO FORTE E MÃO AMIGA NA AMAZÔNIA</t>
        </is>
      </c>
      <c r="I2467" t="inlineStr">
        <is>
          <t>O EXÉRCITO BRASILEIRO NÃO SÓ PARTICIPA DA VIDA DA POPULAÇÃO POR MEIO DE ATRIBUIÇÕES CONSTITUCIONAIS, COMO TAMBÉM POR DESENVOLVER UMA IMPORTANTE MISSÃO DE CUNHO SOCIAL. ATRAVÉS DAS MUITAS UNIDADES MILITARES IMPLANTADAS POR TODO O T</t>
        </is>
      </c>
      <c r="J2467" t="inlineStr">
        <is>
          <t>AMAZONIA, ATENDIMENTO, EXERCITO DO BRASIL</t>
        </is>
      </c>
      <c r="K2467" t="n">
        <v>3</v>
      </c>
      <c r="L2467" t="n">
        <v>3</v>
      </c>
      <c r="M2467" t="n">
        <v>0</v>
      </c>
      <c r="N2467" t="n">
        <v>0</v>
      </c>
      <c r="O2467" t="n">
        <v>8</v>
      </c>
      <c r="P2467">
        <f>HYPERLINK("https://portalamazonia.com/noticias/cidades/exercito-brasileiro-braco-forte-e-mao-amiga-na-amazonia", "URL")</f>
        <v/>
      </c>
      <c r="Q2467">
        <f>HYPERLINK("https://raw.githubusercontent.com/marcosmapl/dataset_imigrantes/main/materias_filtered/portal_amazonia/venezuelanos/2017/03_abr/html/6877.6877_1498.html", "HTML")</f>
        <v/>
      </c>
      <c r="R2467">
        <f>HYPERLINK("https://raw.githubusercontent.com/marcosmapl/dataset_imigrantes/main/materias_filtered/portal_amazonia/venezuelanos/2017/03_abr/txt/6877.6877_1498.txt", "TXT")</f>
        <v/>
      </c>
    </row>
    <row r="2468">
      <c r="A2468" s="1" t="n">
        <v>2466</v>
      </c>
      <c r="B2468" t="n">
        <v>2017</v>
      </c>
      <c r="C2468" s="2" t="n">
        <v>42844.33333333334</v>
      </c>
      <c r="D2468" t="inlineStr">
        <is>
          <t>A CRITICA</t>
        </is>
      </c>
      <c r="E2468" t="inlineStr">
        <is>
          <t>VENEZUELANOS</t>
        </is>
      </c>
      <c r="F2468" t="inlineStr"/>
      <c r="G2468" t="inlineStr"/>
      <c r="H2468" t="inlineStr">
        <is>
          <t>‘SOS  LIMPEZA’ DE R$ 1 MILHÃO NA POLÍCIA CIVIL</t>
        </is>
      </c>
      <c r="I2468" t="inlineStr"/>
      <c r="J2468" t="inlineStr"/>
      <c r="K2468" t="n">
        <v>0</v>
      </c>
      <c r="L2468" t="n">
        <v>1</v>
      </c>
      <c r="M2468" t="n">
        <v>0</v>
      </c>
      <c r="N2468" t="n">
        <v>0</v>
      </c>
      <c r="O2468" t="n">
        <v>0</v>
      </c>
      <c r="P2468">
        <f>HYPERLINK("https://www.acritica.com/sos-limpeza-de-r-1-milh-o-na-policia-civil-1.231120", "URL")</f>
        <v/>
      </c>
      <c r="Q2468">
        <f>HYPERLINK("https://raw.githubusercontent.com/marcosmapl/dataset_imigrantes/main/materias_filtered/a_critica/venezuelanos/2017/03_abr/html/1.231120_43.html", "HTML")</f>
        <v/>
      </c>
      <c r="R2468">
        <f>HYPERLINK("https://raw.githubusercontent.com/marcosmapl/dataset_imigrantes/main/materias_filtered/a_critica/venezuelanos/2017/03_abr/txt/1.231120_43.txt", "TXT")</f>
        <v/>
      </c>
    </row>
    <row r="2469">
      <c r="A2469" s="1" t="n">
        <v>2467</v>
      </c>
      <c r="B2469" t="n">
        <v>2017</v>
      </c>
      <c r="C2469" s="2" t="n">
        <v>42843.91180555556</v>
      </c>
      <c r="D2469" t="inlineStr">
        <is>
          <t>PORTAL AMAZONIA</t>
        </is>
      </c>
      <c r="E2469" t="inlineStr">
        <is>
          <t>VENEZUELANOS</t>
        </is>
      </c>
      <c r="F2469" t="inlineStr">
        <is>
          <t>CIDADES</t>
        </is>
      </c>
      <c r="G2469" t="inlineStr">
        <is>
          <t>REDAÇÃO</t>
        </is>
      </c>
      <c r="H2469" t="inlineStr">
        <is>
          <t>MIGRAÇÃO VENEZUELANA AO BRASIL QUINTUPLICOU EM 2016, DIZ ONG</t>
        </is>
      </c>
      <c r="I2469" t="inlineStr">
        <is>
          <t>O NÚMERO DE VENEZUELANOS QUE INGRESSARAM E PERMANECERAM NO BRASIL DEVE AUMENTOU MAIS DE CINCO VEZES ENTRE 2014 E O ANO PASSADO. ESTA FOI A CONCLUSÃO DE UM RELATÓRIO DIVULGADO NESTA TERÇA-FEIRA (18) PELA ONG HUMAN RIGHTS WATCH (HRW). DE ACORDO COM O D</t>
        </is>
      </c>
      <c r="J2469" t="inlineStr">
        <is>
          <t>CRISE ECONÔMICA, CRISE POLÍTICA, DIREITOS HUMANOS, NICOLÃ¡S MADURO, REFUGIADOS, VENEZUELA</t>
        </is>
      </c>
      <c r="K2469" t="n">
        <v>6</v>
      </c>
      <c r="L2469" t="n">
        <v>4</v>
      </c>
      <c r="M2469" t="n">
        <v>0</v>
      </c>
      <c r="N2469" t="n">
        <v>0</v>
      </c>
      <c r="O2469" t="n">
        <v>11</v>
      </c>
      <c r="P2469">
        <f>HYPERLINK("https://portalamazonia.com/noticias/cidades/migracao-venezuelana-ao-brasil-quintuplicou-em-2016-diz-ong", "URL")</f>
        <v/>
      </c>
      <c r="Q2469">
        <f>HYPERLINK("https://raw.githubusercontent.com/marcosmapl/dataset_imigrantes/main/materias_filtered/portal_amazonia/venezuelanos/2017/03_abr/html/6824.6824_1456.html", "HTML")</f>
        <v/>
      </c>
      <c r="R2469">
        <f>HYPERLINK("https://raw.githubusercontent.com/marcosmapl/dataset_imigrantes/main/materias_filtered/portal_amazonia/venezuelanos/2017/03_abr/txt/6824.6824_1456.txt", "TXT")</f>
        <v/>
      </c>
    </row>
    <row r="2470">
      <c r="A2470" s="1" t="n">
        <v>2468</v>
      </c>
      <c r="B2470" t="n">
        <v>2017</v>
      </c>
      <c r="C2470" s="2" t="n">
        <v>42843.90486111111</v>
      </c>
      <c r="D2470" t="inlineStr">
        <is>
          <t>PORTAL AMAZONIA</t>
        </is>
      </c>
      <c r="E2470" t="inlineStr">
        <is>
          <t>VENEZUELANOS</t>
        </is>
      </c>
      <c r="F2470" t="inlineStr">
        <is>
          <t>CIDADES</t>
        </is>
      </c>
      <c r="G2470" t="inlineStr">
        <is>
          <t>REDAÇÃO</t>
        </is>
      </c>
      <c r="H2470" t="inlineStr">
        <is>
          <t>MORANDO NAS RUAS, ÍNDIOS VENEZUELANOS CONTAM COM AJUDA DE MANAUARAS</t>
        </is>
      </c>
      <c r="I2470" t="inlineStr">
        <is>
          <t>CERCA DE 40 INDÍGENAS VENEZUELANOS, ENTRE CRIANÇAS E ADULTOS, ESTÃO VIVENDO HÁ MAIS DE UM MÊS DEBAIXO DE UM VIADUTO NA AVENIDA CONSTANTINO NERY, AO LADO DA ESTAÇÃO RODOVIÁRIA MUNICIPAL. UM GRUPO DA ETNIA WARAO RECEBEU A EQUIPE DE REPORTAGEM DO PORTAL</t>
        </is>
      </c>
      <c r="J2470" t="inlineStr">
        <is>
          <t>AMAZONAS, INDÍGENAS, INDIGENAS VENEZUELANOS, MANAUS, VENEZUELA</t>
        </is>
      </c>
      <c r="K2470" t="n">
        <v>5</v>
      </c>
      <c r="L2470" t="n">
        <v>15</v>
      </c>
      <c r="M2470" t="n">
        <v>0</v>
      </c>
      <c r="N2470" t="n">
        <v>0</v>
      </c>
      <c r="O2470" t="n">
        <v>10</v>
      </c>
      <c r="P2470">
        <f>HYPERLINK("https://portalamazonia.com/noticias/cidades/morando-nas-ruas-indios-venezuelanos-contam-com-ajuda-de-manauaras", "URL")</f>
        <v/>
      </c>
      <c r="Q2470">
        <f>HYPERLINK("https://raw.githubusercontent.com/marcosmapl/dataset_imigrantes/main/materias_filtered/portal_amazonia/venezuelanos/2017/03_abr/html/6825.6825_1385.html", "HTML")</f>
        <v/>
      </c>
      <c r="R2470">
        <f>HYPERLINK("https://raw.githubusercontent.com/marcosmapl/dataset_imigrantes/main/materias_filtered/portal_amazonia/venezuelanos/2017/03_abr/txt/6825.6825_1385.txt", "TXT")</f>
        <v/>
      </c>
    </row>
    <row r="2471">
      <c r="A2471" s="1" t="n">
        <v>2469</v>
      </c>
      <c r="B2471" t="n">
        <v>2017</v>
      </c>
      <c r="C2471" s="2" t="n">
        <v>42841.88194444445</v>
      </c>
      <c r="D2471" t="inlineStr">
        <is>
          <t>G1</t>
        </is>
      </c>
      <c r="E2471" t="inlineStr">
        <is>
          <t>VENEZUELANOS</t>
        </is>
      </c>
      <c r="F2471" t="inlineStr"/>
      <c r="G2471" t="inlineStr"/>
      <c r="H2471" t="inlineStr">
        <is>
          <t>SOLIDARIEDADE BRASILEIRA MANTÉM CORAÇÃO DE VENEZUELANA BATENDO</t>
        </is>
      </c>
      <c r="I2471" t="inlineStr"/>
      <c r="J2471" t="inlineStr"/>
      <c r="K2471" t="n">
        <v>0</v>
      </c>
      <c r="L2471" t="n">
        <v>0</v>
      </c>
      <c r="M2471" t="n">
        <v>0</v>
      </c>
      <c r="N2471" t="n">
        <v>0</v>
      </c>
      <c r="O2471" t="n">
        <v>8</v>
      </c>
      <c r="P2471">
        <f>HYPERLINK("http://g1.globo.com/fantastico/noticia/2017/04/solidariedade-brasileira-mantem-coracao-de-venezuelana-batendo.html", "URL")</f>
        <v/>
      </c>
      <c r="Q2471">
        <f>HYPERLINK("https://raw.githubusercontent.com/marcosmapl/dataset_imigrantes/main/materias_filtered/g1/venezuelanos/2017/03_abr/html/g1_74886734-231e-11ed-b24f-6dbe51e79fca_3562.html", "HTML")</f>
        <v/>
      </c>
      <c r="R2471">
        <f>HYPERLINK("https://raw.githubusercontent.com/marcosmapl/dataset_imigrantes/main/materias_filtered/g1/venezuelanos/2017/03_abr/txt/g1_74886734-231e-11ed-b24f-6dbe51e79fca_3562.txt", "TXT")</f>
        <v/>
      </c>
    </row>
    <row r="2472">
      <c r="A2472" s="1" t="n">
        <v>2470</v>
      </c>
      <c r="B2472" t="n">
        <v>2017</v>
      </c>
      <c r="C2472" s="2" t="n">
        <v>42838.86597222222</v>
      </c>
      <c r="D2472" t="inlineStr">
        <is>
          <t>PORTAL AMAZONIA</t>
        </is>
      </c>
      <c r="E2472" t="inlineStr">
        <is>
          <t>VENEZUELANOS</t>
        </is>
      </c>
      <c r="F2472" t="inlineStr">
        <is>
          <t>NOTÍCIAS</t>
        </is>
      </c>
      <c r="G2472" t="inlineStr">
        <is>
          <t>REDAÇÃO</t>
        </is>
      </c>
      <c r="H2472" t="inlineStr">
        <is>
          <t>PROJETO &amp;#039;ARTE E SOLIDARIEDADE&amp;#039; ARRECADA DOAÇÕES PARA FAMÍLIAS VENEZUELANAS NO AM</t>
        </is>
      </c>
      <c r="I2472" t="inlineStr">
        <is>
          <t>MANAUS - O PROJETO ARTE E SOLIDARIEDADE VAI ARRECADAR, NESTA QUINTA-FEIRA (13), ÀS 19H, DOAÇÕES PARA FAMÍLIAS VENEZUELANAS QUE ESTÃO MORANDO EM MANAUS. AS DOAÇÕES PODERÃO SER ENTREGUES NA CONFRARIA DO CIPRIANO, LOCALIZADA NA AVENIDA FERREIRA PENA,</t>
        </is>
      </c>
      <c r="J2472" t="inlineStr">
        <is>
          <t>AMAZONAS, MANAUS, NOTÍCIAS</t>
        </is>
      </c>
      <c r="K2472" t="n">
        <v>3</v>
      </c>
      <c r="L2472" t="n">
        <v>1</v>
      </c>
      <c r="M2472" t="n">
        <v>0</v>
      </c>
      <c r="N2472" t="n">
        <v>1</v>
      </c>
      <c r="O2472" t="n">
        <v>10</v>
      </c>
      <c r="P2472">
        <f>HYPERLINK("https://portalamazonia.com/noticias/projeto-arte-e-solidariedade-arrecada-doacoes-para-familias-venezuelanas-no-am", "URL")</f>
        <v/>
      </c>
      <c r="Q2472">
        <f>HYPERLINK("https://raw.githubusercontent.com/marcosmapl/dataset_imigrantes/main/materias_filtered/portal_amazonia/venezuelanos/2017/03_abr/html/6687.28639_1541.html", "HTML")</f>
        <v/>
      </c>
      <c r="R2472">
        <f>HYPERLINK("https://raw.githubusercontent.com/marcosmapl/dataset_imigrantes/main/materias_filtered/portal_amazonia/venezuelanos/2017/03_abr/txt/6687.28639_1541.txt", "TXT")</f>
        <v/>
      </c>
    </row>
    <row r="2473">
      <c r="A2473" s="1" t="n">
        <v>2471</v>
      </c>
      <c r="B2473" t="n">
        <v>2017</v>
      </c>
      <c r="C2473" s="2" t="n">
        <v>42838.86527777778</v>
      </c>
      <c r="D2473" t="inlineStr">
        <is>
          <t>PORTAL AMAZONIA</t>
        </is>
      </c>
      <c r="E2473" t="inlineStr">
        <is>
          <t>VENEZUELANOS</t>
        </is>
      </c>
      <c r="F2473" t="inlineStr">
        <is>
          <t>CIDADES</t>
        </is>
      </c>
      <c r="G2473" t="inlineStr">
        <is>
          <t>REDAÇÃO</t>
        </is>
      </c>
      <c r="H2473" t="inlineStr">
        <is>
          <t>RORAIMA CONTINUARÁ OFERECENDO ABRIGO A VENEZUELANOS</t>
        </is>
      </c>
      <c r="I2473" t="inlineStr">
        <is>
          <t>TERMINA NESTE SÁBADO (15) O PRAZO DE FUNCIONAMENTO DO GABINETE INTEGRADO DE GESTÃO MIGRATÓRIA, CRIADO PARA DAR APOIO AOS VENEZUELANOS REFUGIADO EM RORAIMA, CONFORME PREVISTO NO DECRETO Nº 21.871-E. MAS, SEGUNDO O GOVERNO DO ESTADO, O CENTRO VAI CONTI</t>
        </is>
      </c>
      <c r="J2473" t="inlineStr">
        <is>
          <t>DEFESA CIVIL, IMIGRANTES, INDÍGENAS, RORAIMA, VENEZUELANOS</t>
        </is>
      </c>
      <c r="K2473" t="n">
        <v>5</v>
      </c>
      <c r="L2473" t="n">
        <v>2</v>
      </c>
      <c r="M2473" t="n">
        <v>0</v>
      </c>
      <c r="N2473" t="n">
        <v>0</v>
      </c>
      <c r="O2473" t="n">
        <v>10</v>
      </c>
      <c r="P2473">
        <f>HYPERLINK("https://portalamazonia.com/noticias/cidades/roraima-continuara-oferecendo-abrigo-a-venezuelanos", "URL")</f>
        <v/>
      </c>
      <c r="Q2473">
        <f>HYPERLINK("https://raw.githubusercontent.com/marcosmapl/dataset_imigrantes/main/materias_filtered/portal_amazonia/venezuelanos/2017/03_abr/html/6685.6685_1553.html", "HTML")</f>
        <v/>
      </c>
      <c r="R2473">
        <f>HYPERLINK("https://raw.githubusercontent.com/marcosmapl/dataset_imigrantes/main/materias_filtered/portal_amazonia/venezuelanos/2017/03_abr/txt/6685.6685_1553.txt", "TXT")</f>
        <v/>
      </c>
    </row>
    <row r="2474">
      <c r="A2474" s="1" t="n">
        <v>2472</v>
      </c>
      <c r="B2474" t="n">
        <v>2017</v>
      </c>
      <c r="C2474" s="2" t="n">
        <v>42837.86944444444</v>
      </c>
      <c r="D2474" t="inlineStr">
        <is>
          <t>A CRITICA</t>
        </is>
      </c>
      <c r="E2474" t="inlineStr">
        <is>
          <t>VENEZUELANOS</t>
        </is>
      </c>
      <c r="F2474" t="inlineStr"/>
      <c r="G2474" t="inlineStr">
        <is>
          <t>REUTERS</t>
        </is>
      </c>
      <c r="H2474" t="inlineStr">
        <is>
          <t>PROTESTOS NA VENEZUELA SE ESPALHAM POR ÁREAS POBRES E DEIXAM MAIS 2 MORTOS</t>
        </is>
      </c>
      <c r="I2474" t="inlineStr">
        <is>
          <t>TESTEMUNHAS DISSERAM QUE MORADORES DE VÁRIOS BAIRROS DA CLASSE TRABALHADORA DE CARACAS INTERDITARAM RUAS COM LIXO OU DESTROÇOS EM CHAMAS</t>
        </is>
      </c>
      <c r="J2474" t="inlineStr"/>
      <c r="K2474" t="n">
        <v>0</v>
      </c>
      <c r="L2474" t="n">
        <v>1</v>
      </c>
      <c r="M2474" t="n">
        <v>0</v>
      </c>
      <c r="N2474" t="n">
        <v>0</v>
      </c>
      <c r="O2474" t="n">
        <v>0</v>
      </c>
      <c r="P2474">
        <f>HYPERLINK("https://www.acritica.com/protestos-na-venezuela-se-espalham-por-areas-pobres-e-deixam-mais-2-mortos-1.186105", "URL")</f>
        <v/>
      </c>
      <c r="Q2474">
        <f>HYPERLINK("https://raw.githubusercontent.com/marcosmapl/dataset_imigrantes/main/materias_filtered/a_critica/venezuelanos/2017/03_abr/html/1.186105_1037.html", "HTML")</f>
        <v/>
      </c>
      <c r="R2474">
        <f>HYPERLINK("https://raw.githubusercontent.com/marcosmapl/dataset_imigrantes/main/materias_filtered/a_critica/venezuelanos/2017/03_abr/txt/1.186105_1037.txt", "TXT")</f>
        <v/>
      </c>
    </row>
    <row r="2475">
      <c r="A2475" s="1" t="n">
        <v>2473</v>
      </c>
      <c r="B2475" t="n">
        <v>2017</v>
      </c>
      <c r="C2475" s="2" t="n">
        <v>42837.6125</v>
      </c>
      <c r="D2475" t="inlineStr">
        <is>
          <t>A CRITICA</t>
        </is>
      </c>
      <c r="E2475" t="inlineStr">
        <is>
          <t>VENEZUELANOS</t>
        </is>
      </c>
      <c r="F2475" t="inlineStr">
        <is>
          <t>ENTRETENIMENTO</t>
        </is>
      </c>
      <c r="G2475" t="inlineStr">
        <is>
          <t>ACRÍTICA.COM</t>
        </is>
      </c>
      <c r="H2475" t="inlineStr">
        <is>
          <t>EXPOSIÇÃO GRATUITA EM BAR VAI ARRECADAR DONATIVOS PARA FAMÍLIAS VENEZUELANAS</t>
        </is>
      </c>
      <c r="I2475" t="inlineStr">
        <is>
          <t>A AÇÃO SERÁ REALIZADA  POR MEIO DO PROJETO "ARTE E SOLIDARIEDADE", NA  CONFRARIA DO CIPRIANO, NA PRÓXIMA QUINTA-FEIRA (13), A PARTIR DAS 19H</t>
        </is>
      </c>
      <c r="J2475" t="inlineStr"/>
      <c r="K2475" t="n">
        <v>0</v>
      </c>
      <c r="L2475" t="n">
        <v>1</v>
      </c>
      <c r="M2475" t="n">
        <v>0</v>
      </c>
      <c r="N2475" t="n">
        <v>0</v>
      </c>
      <c r="O2475" t="n">
        <v>0</v>
      </c>
      <c r="P2475">
        <f>HYPERLINK("https://www.acritica.com/entretenimento/exposic-o-gratuita-em-bar-vai-arrecadar-donativos-para-familias-venezuelanas-1.88573", "URL")</f>
        <v/>
      </c>
      <c r="Q2475">
        <f>HYPERLINK("https://raw.githubusercontent.com/marcosmapl/dataset_imigrantes/main/materias_filtered/a_critica/venezuelanos/2017/03_abr/html/1.88573_1113.html", "HTML")</f>
        <v/>
      </c>
      <c r="R2475">
        <f>HYPERLINK("https://raw.githubusercontent.com/marcosmapl/dataset_imigrantes/main/materias_filtered/a_critica/venezuelanos/2017/03_abr/txt/1.88573_1113.txt", "TXT")</f>
        <v/>
      </c>
    </row>
    <row r="2476">
      <c r="A2476" s="1" t="n">
        <v>2474</v>
      </c>
      <c r="B2476" t="n">
        <v>2017</v>
      </c>
      <c r="C2476" s="2" t="n">
        <v>42837.56570601852</v>
      </c>
      <c r="D2476" t="inlineStr">
        <is>
          <t>A CRITICA</t>
        </is>
      </c>
      <c r="E2476" t="inlineStr">
        <is>
          <t>VENEZUELANOS</t>
        </is>
      </c>
      <c r="F2476" t="inlineStr"/>
      <c r="G2476" t="inlineStr">
        <is>
          <t>AGÊNCIA EFE</t>
        </is>
      </c>
      <c r="H2476" t="inlineStr">
        <is>
          <t>MADURO É VAIADO E ATACADO COM OBJETOS APÓS DESFILE MILITAR NA VENEZUELA</t>
        </is>
      </c>
      <c r="I2476" t="inlineStr">
        <is>
          <t>MADURO CUMPRIMENTAVA OS PARTICIPANTES APÓS O TÉRMINO DO DESFILE, QUANDO ALGUMAS PESSOAS NA PLATÉIA COMEÇARAM A ATIRAR OBJETOS CONTRA ELE</t>
        </is>
      </c>
      <c r="J2476" t="inlineStr"/>
      <c r="K2476" t="n">
        <v>0</v>
      </c>
      <c r="L2476" t="n">
        <v>1</v>
      </c>
      <c r="M2476" t="n">
        <v>0</v>
      </c>
      <c r="N2476" t="n">
        <v>0</v>
      </c>
      <c r="O2476" t="n">
        <v>0</v>
      </c>
      <c r="P2476">
        <f>HYPERLINK("https://www.acritica.com/maduro-e-vaiado-e-atacado-com-objetos-apos-desfile-militar-na-venezuela-1.88581", "URL")</f>
        <v/>
      </c>
      <c r="Q2476">
        <f>HYPERLINK("https://raw.githubusercontent.com/marcosmapl/dataset_imigrantes/main/materias_filtered/a_critica/venezuelanos/2017/03_abr/html/1.88581_1188.html", "HTML")</f>
        <v/>
      </c>
      <c r="R2476">
        <f>HYPERLINK("https://raw.githubusercontent.com/marcosmapl/dataset_imigrantes/main/materias_filtered/a_critica/venezuelanos/2017/03_abr/txt/1.88581_1188.txt", "TXT")</f>
        <v/>
      </c>
    </row>
    <row r="2477">
      <c r="A2477" s="1" t="n">
        <v>2475</v>
      </c>
      <c r="B2477" t="n">
        <v>2017</v>
      </c>
      <c r="C2477" s="2" t="n">
        <v>42837.33333333334</v>
      </c>
      <c r="D2477" t="inlineStr">
        <is>
          <t>A CRITICA</t>
        </is>
      </c>
      <c r="E2477" t="inlineStr">
        <is>
          <t>VENEZUELANOS</t>
        </is>
      </c>
      <c r="F2477" t="inlineStr">
        <is>
          <t>MANAUS</t>
        </is>
      </c>
      <c r="G2477" t="inlineStr">
        <is>
          <t>AMANDA GUIMARÃES</t>
        </is>
      </c>
      <c r="H2477" t="inlineStr">
        <is>
          <t>INDÍGENAS VENEZUELANOS OCUPAM CENTRO DE MANAUS EM BUSCA DE RENDA</t>
        </is>
      </c>
      <c r="I2477" t="inlineStr">
        <is>
          <t>OS GRUPOS DE VENEZUELANOS CONTINUAM ESPALHADOS NA RODOVIÁRIA, PETRÓPOLIS E CIDADE NOVA, MAS SE ENCAMINHAM AO CENTRO DA CIDADE PARA PEDIR DINHEIRO OU TRABALHAR</t>
        </is>
      </c>
      <c r="J2477" t="inlineStr"/>
      <c r="K2477" t="n">
        <v>0</v>
      </c>
      <c r="L2477" t="n">
        <v>1</v>
      </c>
      <c r="M2477" t="n">
        <v>0</v>
      </c>
      <c r="N2477" t="n">
        <v>0</v>
      </c>
      <c r="O2477" t="n">
        <v>0</v>
      </c>
      <c r="P2477">
        <f>HYPERLINK("https://www.acritica.com/manaus/indigenas-venezuelanos-ocupam-centro-de-manaus-em-busca-de-renda-1.185018", "URL")</f>
        <v/>
      </c>
      <c r="Q2477">
        <f>HYPERLINK("https://raw.githubusercontent.com/marcosmapl/dataset_imigrantes/main/materias_filtered/a_critica/venezuelanos/2017/03_abr/html/1.185018_1219.html", "HTML")</f>
        <v/>
      </c>
      <c r="R2477">
        <f>HYPERLINK("https://raw.githubusercontent.com/marcosmapl/dataset_imigrantes/main/materias_filtered/a_critica/venezuelanos/2017/03_abr/txt/1.185018_1219.txt", "TXT")</f>
        <v/>
      </c>
    </row>
    <row r="2478">
      <c r="A2478" s="1" t="n">
        <v>2476</v>
      </c>
      <c r="B2478" t="n">
        <v>2017</v>
      </c>
      <c r="C2478" s="2" t="n">
        <v>42834.82361111111</v>
      </c>
      <c r="D2478" t="inlineStr">
        <is>
          <t>A CRITICA</t>
        </is>
      </c>
      <c r="E2478" t="inlineStr">
        <is>
          <t>VENEZUELANOS</t>
        </is>
      </c>
      <c r="F2478" t="inlineStr">
        <is>
          <t>MANAUS</t>
        </is>
      </c>
      <c r="G2478" t="inlineStr">
        <is>
          <t>PAULO ANDRÉ NUNES</t>
        </is>
      </c>
      <c r="H2478" t="inlineStr">
        <is>
          <t>DEMANDA AUMENTA E COZINHAS COMUNITÁRIAS DA CIDADE DE MANAUS PRECISAM DE DOAÇÕES</t>
        </is>
      </c>
      <c r="I2478" t="inlineStr">
        <is>
          <t>UMA DAS COZINHAS QUE ESTÃO RECEBENDO DOAÇÕES É DO BAIRRO COLÔNIA ANTONIO ALEIXO. DE SEGUNDA A SEXTA-FEIRA SÃO SERVIDOS 200 PRATOS DE COMIDA, MAIS UMA FRUTA E SUCO PARA PESSOAS DE BAIXA RENDA NESTE LOCAL</t>
        </is>
      </c>
      <c r="J2478" t="inlineStr"/>
      <c r="K2478" t="n">
        <v>0</v>
      </c>
      <c r="L2478" t="n">
        <v>1</v>
      </c>
      <c r="M2478" t="n">
        <v>0</v>
      </c>
      <c r="N2478" t="n">
        <v>0</v>
      </c>
      <c r="O2478" t="n">
        <v>0</v>
      </c>
      <c r="P2478">
        <f>HYPERLINK("https://www.acritica.com/manaus/demanda-aumenta-e-cozinhas-comunitarias-da-cidade-de-manaus-precisam-de-doac-es-1.91068", "URL")</f>
        <v/>
      </c>
      <c r="Q2478">
        <f>HYPERLINK("https://raw.githubusercontent.com/marcosmapl/dataset_imigrantes/main/materias_filtered/a_critica/venezuelanos/2017/03_abr/html/1.91068_798.html", "HTML")</f>
        <v/>
      </c>
      <c r="R2478">
        <f>HYPERLINK("https://raw.githubusercontent.com/marcosmapl/dataset_imigrantes/main/materias_filtered/a_critica/venezuelanos/2017/03_abr/txt/1.91068_798.txt", "TXT")</f>
        <v/>
      </c>
    </row>
    <row r="2479">
      <c r="A2479" s="1" t="n">
        <v>2477</v>
      </c>
      <c r="B2479" t="n">
        <v>2017</v>
      </c>
      <c r="C2479" s="2" t="n">
        <v>42832.47638888889</v>
      </c>
      <c r="D2479" t="inlineStr">
        <is>
          <t>G1</t>
        </is>
      </c>
      <c r="E2479" t="inlineStr">
        <is>
          <t>HAITIANOS</t>
        </is>
      </c>
      <c r="F2479" t="inlineStr"/>
      <c r="G2479" t="inlineStr">
        <is>
          <t>1 SUL DE MINAS</t>
        </is>
      </c>
      <c r="H2479" t="inlineStr">
        <is>
          <t>HAITIANOS MORREM APÓS BATIDA ENTRE DOIS VEÍCULOS NA BR-381, EM CAMBUÍ</t>
        </is>
      </c>
      <c r="I2479" t="inlineStr"/>
      <c r="J2479" t="inlineStr">
        <is>
          <t>CAMBUÍ, ELÓI MENDES, POUSO ALEGRE</t>
        </is>
      </c>
      <c r="K2479" t="n">
        <v>3</v>
      </c>
      <c r="L2479" t="n">
        <v>4</v>
      </c>
      <c r="M2479" t="n">
        <v>0</v>
      </c>
      <c r="N2479" t="n">
        <v>0</v>
      </c>
      <c r="O2479" t="n">
        <v>14</v>
      </c>
      <c r="P2479">
        <f>HYPERLINK("http://g1.globo.com/mg/sul-de-minas/noticia/2017/04/haitianos-morrem-apos-batida-entre-dois-veiculos-na-br-381-em-cambui.html", "URL")</f>
        <v/>
      </c>
      <c r="Q2479">
        <f>HYPERLINK("https://raw.githubusercontent.com/marcosmapl/dataset_imigrantes/main/materias_filtered/g1/haitianos/2017/03_abr/html/g1_fb2df5d6-22f3-11ed-b24f-6dbe51e79fca_1868.html", "HTML")</f>
        <v/>
      </c>
      <c r="R2479">
        <f>HYPERLINK("https://raw.githubusercontent.com/marcosmapl/dataset_imigrantes/main/materias_filtered/g1/haitianos/2017/03_abr/txt/g1_fb2df5d6-22f3-11ed-b24f-6dbe51e79fca_1868.txt", "TXT")</f>
        <v/>
      </c>
    </row>
    <row r="2480">
      <c r="A2480" s="1" t="n">
        <v>2478</v>
      </c>
      <c r="B2480" t="n">
        <v>2017</v>
      </c>
      <c r="C2480" s="2" t="n">
        <v>42832.33333333334</v>
      </c>
      <c r="D2480" t="inlineStr">
        <is>
          <t>A CRITICA</t>
        </is>
      </c>
      <c r="E2480" t="inlineStr">
        <is>
          <t>HAITIANOS</t>
        </is>
      </c>
      <c r="F2480" t="inlineStr">
        <is>
          <t>MANAUS</t>
        </is>
      </c>
      <c r="G2480" t="inlineStr">
        <is>
          <t>ACRÍTICA.COM</t>
        </is>
      </c>
      <c r="H2480" t="inlineStr">
        <is>
          <t>SABINO CASTELO BRANCO PEDE PROTEÇÃO DA POLÍCIA APÓS SOFRER AMEAÇA DE MORTE</t>
        </is>
      </c>
      <c r="I2480" t="inlineStr">
        <is>
          <t>DE ACORDO COM O PARLAMENTAR, ESTA NÃO FOI A PRIMEIRA VEZ QUE ELE FOI “CAÇADO” POR PESSOAS ENVOLVIDAS COM O CRIME ORGANIZADO</t>
        </is>
      </c>
      <c r="J2480" t="inlineStr"/>
      <c r="K2480" t="n">
        <v>0</v>
      </c>
      <c r="L2480" t="n">
        <v>1</v>
      </c>
      <c r="M2480" t="n">
        <v>0</v>
      </c>
      <c r="N2480" t="n">
        <v>0</v>
      </c>
      <c r="O2480" t="n">
        <v>0</v>
      </c>
      <c r="P2480">
        <f>HYPERLINK("https://www.acritica.com/manaus/sabino-castelo-branco-pede-protec-o-da-policia-apos-sofrer-ameaca-de-morte-1.91823", "URL")</f>
        <v/>
      </c>
      <c r="Q2480">
        <f>HYPERLINK("https://raw.githubusercontent.com/marcosmapl/dataset_imigrantes/main/materias_filtered/a_critica/haitianos/2017/03_abr/html/1.91823_515.html", "HTML")</f>
        <v/>
      </c>
      <c r="R2480">
        <f>HYPERLINK("https://raw.githubusercontent.com/marcosmapl/dataset_imigrantes/main/materias_filtered/a_critica/haitianos/2017/03_abr/txt/1.91823_515.txt", "TXT")</f>
        <v/>
      </c>
    </row>
    <row r="2481">
      <c r="A2481" s="1" t="n">
        <v>2479</v>
      </c>
      <c r="B2481" t="n">
        <v>2017</v>
      </c>
      <c r="C2481" s="2" t="n">
        <v>42829.78263888889</v>
      </c>
      <c r="D2481" t="inlineStr">
        <is>
          <t>A CRITICA</t>
        </is>
      </c>
      <c r="E2481" t="inlineStr">
        <is>
          <t>VENEZUELANOS</t>
        </is>
      </c>
      <c r="F2481" t="inlineStr">
        <is>
          <t>MANAUS</t>
        </is>
      </c>
      <c r="G2481" t="inlineStr">
        <is>
          <t>ISABELLE VALOIS</t>
        </is>
      </c>
      <c r="H2481" t="inlineStr">
        <is>
          <t>INDÍGENAS VENEZUELANOS QUE VIVEM EM MANAUS SEGUEM SEM PREVISÃO DE RETORNO</t>
        </is>
      </c>
      <c r="I2481" t="inlineStr">
        <is>
          <t>SEJUSC ESPERA RESPOSTA DA PRESIDÊNCIA DA REPÚBLICA PARA O TRANSPORTE DOS IMIGRANTES A SUAS TERRAS DE ORIGEM</t>
        </is>
      </c>
      <c r="J2481" t="inlineStr"/>
      <c r="K2481" t="n">
        <v>0</v>
      </c>
      <c r="L2481" t="n">
        <v>1</v>
      </c>
      <c r="M2481" t="n">
        <v>0</v>
      </c>
      <c r="N2481" t="n">
        <v>0</v>
      </c>
      <c r="O2481" t="n">
        <v>0</v>
      </c>
      <c r="P2481">
        <f>HYPERLINK("https://www.acritica.com/manaus/indigenas-venezuelanos-que-vivem-em-manaus-seguem-sem-previs-o-de-retorno-1.184636", "URL")</f>
        <v/>
      </c>
      <c r="Q2481">
        <f>HYPERLINK("https://raw.githubusercontent.com/marcosmapl/dataset_imigrantes/main/materias_filtered/a_critica/venezuelanos/2017/03_abr/html/1.184636_305.html", "HTML")</f>
        <v/>
      </c>
      <c r="R2481">
        <f>HYPERLINK("https://raw.githubusercontent.com/marcosmapl/dataset_imigrantes/main/materias_filtered/a_critica/venezuelanos/2017/03_abr/txt/1.184636_305.txt", "TXT")</f>
        <v/>
      </c>
    </row>
    <row r="2482">
      <c r="A2482" s="1" t="n">
        <v>2480</v>
      </c>
      <c r="B2482" t="n">
        <v>2017</v>
      </c>
      <c r="C2482" s="2" t="n">
        <v>42829.33333333334</v>
      </c>
      <c r="D2482" t="inlineStr">
        <is>
          <t>A CRITICA</t>
        </is>
      </c>
      <c r="E2482" t="inlineStr">
        <is>
          <t>VENEZUELANOS</t>
        </is>
      </c>
      <c r="F2482" t="inlineStr">
        <is>
          <t>MANAUS</t>
        </is>
      </c>
      <c r="G2482" t="inlineStr">
        <is>
          <t>PAULO ANDRÉ NUNES</t>
        </is>
      </c>
      <c r="H2482" t="inlineStr">
        <is>
          <t>IRMÃOS VENEZUELANOS IMPROVISAM UM SALÃO DE CORTE DE CABELO DE FRENTE PARA O RIO NEGRO</t>
        </is>
      </c>
      <c r="I2482" t="inlineStr">
        <is>
          <t>AMBOS FUGIRAM DA CRISE EM SEU PAÍS NATAL PARA TENTAR A SORTE COM SUAS FAMÍLIAS EM MANAUS; NO LOCAL, IMPROVISADO, O CORTE DE CABELO CUSTA R$ 5, BEM MENOS QUE A MÉDIA NORMAL QUE OSCILA ENTRE R$ 10 A R$ 20 EM SALÕES POPULARES</t>
        </is>
      </c>
      <c r="J2482" t="inlineStr"/>
      <c r="K2482" t="n">
        <v>0</v>
      </c>
      <c r="L2482" t="n">
        <v>1</v>
      </c>
      <c r="M2482" t="n">
        <v>0</v>
      </c>
      <c r="N2482" t="n">
        <v>0</v>
      </c>
      <c r="O2482" t="n">
        <v>0</v>
      </c>
      <c r="P2482">
        <f>HYPERLINK("https://www.acritica.com/manaus/irm-os-venezuelanos-improvisam-um-sal-o-de-corte-de-cabelo-de-frente-para-o-rio-negro-1.184651", "URL")</f>
        <v/>
      </c>
      <c r="Q2482">
        <f>HYPERLINK("https://raw.githubusercontent.com/marcosmapl/dataset_imigrantes/main/materias_filtered/a_critica/venezuelanos/2017/03_abr/html/1.184651_641.html", "HTML")</f>
        <v/>
      </c>
      <c r="R2482">
        <f>HYPERLINK("https://raw.githubusercontent.com/marcosmapl/dataset_imigrantes/main/materias_filtered/a_critica/venezuelanos/2017/03_abr/txt/1.184651_641.txt", "TXT")</f>
        <v/>
      </c>
    </row>
    <row r="2483">
      <c r="A2483" s="1" t="n">
        <v>2481</v>
      </c>
      <c r="B2483" t="n">
        <v>2017</v>
      </c>
      <c r="C2483" s="2" t="n">
        <v>42829.33333333334</v>
      </c>
      <c r="D2483" t="inlineStr">
        <is>
          <t>A CRITICA</t>
        </is>
      </c>
      <c r="E2483" t="inlineStr">
        <is>
          <t>HAITIANOS</t>
        </is>
      </c>
      <c r="F2483" t="inlineStr">
        <is>
          <t>MANAUS</t>
        </is>
      </c>
      <c r="G2483" t="inlineStr">
        <is>
          <t>PAULO ANDRÉ NUNES</t>
        </is>
      </c>
      <c r="H2483" t="inlineStr">
        <is>
          <t>ABERTURA DA 6ª SEMANA SAÚDE NA ESCOLA MOSTRA ALUNOS CONSCIENTES CONTRA DOENÇAS</t>
        </is>
      </c>
      <c r="I2483" t="inlineStr">
        <is>
          <t>ABERTURA FOI MARCADA POR ESTUDANTES MOSTRANDO QUE ESTÃO ENGAJADOS LITERALMENTE NA GUERRA CONTRA O MOSQUITO AEDES AEGYPTI</t>
        </is>
      </c>
      <c r="J2483" t="inlineStr"/>
      <c r="K2483" t="n">
        <v>0</v>
      </c>
      <c r="L2483" t="n">
        <v>1</v>
      </c>
      <c r="M2483" t="n">
        <v>0</v>
      </c>
      <c r="N2483" t="n">
        <v>0</v>
      </c>
      <c r="O2483" t="n">
        <v>0</v>
      </c>
      <c r="P2483">
        <f>HYPERLINK("https://www.acritica.com/manaus/abertura-da-6-semana-saude-na-escola-mostra-alunos-conscientes-contra-doencas-1.184665", "URL")</f>
        <v/>
      </c>
      <c r="Q2483">
        <f>HYPERLINK("https://raw.githubusercontent.com/marcosmapl/dataset_imigrantes/main/materias_filtered/a_critica/haitianos/2017/03_abr/html/1.184665_957.html", "HTML")</f>
        <v/>
      </c>
      <c r="R2483">
        <f>HYPERLINK("https://raw.githubusercontent.com/marcosmapl/dataset_imigrantes/main/materias_filtered/a_critica/haitianos/2017/03_abr/txt/1.184665_957.txt", "TXT")</f>
        <v/>
      </c>
    </row>
    <row r="2484">
      <c r="A2484" s="1" t="n">
        <v>2482</v>
      </c>
      <c r="B2484" t="n">
        <v>2017</v>
      </c>
      <c r="C2484" s="2" t="n">
        <v>42828.49478009259</v>
      </c>
      <c r="D2484" t="inlineStr">
        <is>
          <t>A CRITICA</t>
        </is>
      </c>
      <c r="E2484" t="inlineStr">
        <is>
          <t>VENEZUELANOS</t>
        </is>
      </c>
      <c r="F2484" t="inlineStr">
        <is>
          <t>MANAUS</t>
        </is>
      </c>
      <c r="G2484" t="inlineStr">
        <is>
          <t>KELLY MELO</t>
        </is>
      </c>
      <c r="H2484" t="inlineStr">
        <is>
          <t>MISSIONÁRIOS REALIZAM PARTIDAS DE FUTEBOL PARA AJUDAR VENEZUELANOS EM CRISE</t>
        </is>
      </c>
      <c r="I2484" t="inlineStr">
        <is>
          <t>MEMBROS DE IGREJAS CATÓLICAS E EVANGÉLICAS PROMOVEM AÇÃO ONDE CADA PARTICIPANTE COLABORA COM APENAS R$ 1. ARRECADAÇÃO É ENVIADA PARA COMUNIDADE NA VENEZUELA, QUE SOFRE COM RECESSÃO ECONÔMICA</t>
        </is>
      </c>
      <c r="J2484" t="inlineStr"/>
      <c r="K2484" t="n">
        <v>0</v>
      </c>
      <c r="L2484" t="n">
        <v>1</v>
      </c>
      <c r="M2484" t="n">
        <v>0</v>
      </c>
      <c r="N2484" t="n">
        <v>0</v>
      </c>
      <c r="O2484" t="n">
        <v>0</v>
      </c>
      <c r="P2484">
        <f>HYPERLINK("https://www.acritica.com/manaus/missionarios-realizam-partidas-de-futebol-para-ajudar-venezuelanos-em-crise-1.92254", "URL")</f>
        <v/>
      </c>
      <c r="Q2484">
        <f>HYPERLINK("https://raw.githubusercontent.com/marcosmapl/dataset_imigrantes/main/materias_filtered/a_critica/venezuelanos/2017/03_abr/html/1.92254_719.html", "HTML")</f>
        <v/>
      </c>
      <c r="R2484">
        <f>HYPERLINK("https://raw.githubusercontent.com/marcosmapl/dataset_imigrantes/main/materias_filtered/a_critica/venezuelanos/2017/03_abr/txt/1.92254_719.txt", "TXT")</f>
        <v/>
      </c>
    </row>
    <row r="2485">
      <c r="A2485" s="1" t="n">
        <v>2483</v>
      </c>
      <c r="B2485" t="n">
        <v>2017</v>
      </c>
      <c r="C2485" s="2" t="n">
        <v>42826.64121527778</v>
      </c>
      <c r="D2485" t="inlineStr">
        <is>
          <t>A CRITICA</t>
        </is>
      </c>
      <c r="E2485" t="inlineStr">
        <is>
          <t>VENEZUELANOS</t>
        </is>
      </c>
      <c r="F2485" t="inlineStr"/>
      <c r="G2485" t="inlineStr">
        <is>
          <t>AGÊNCIA BRASIL</t>
        </is>
      </c>
      <c r="H2485" t="inlineStr">
        <is>
          <t>TRIBUNAL DA VENEZUELA REVOGA DECISÃO DE ASSUMIR AS FUNÇÕES DO PARLAMENTO</t>
        </is>
      </c>
      <c r="I2485" t="inlineStr">
        <is>
          <t>DECISÃO OCORREU APÓS O PRESIDENTE DO CONSELHO DE DEFESA, NICOLÁS MADURO, PEDIR AO TRIBUNAL PARA REVER A MEDIDA. A DIREÇÃO DA ASSEMBLEIA NACIONAL DA VENEZUELA QUALIFICOU DE GOLPE DE ESTADO A DECISÃO DO TRIBUNAL</t>
        </is>
      </c>
      <c r="J2485" t="inlineStr"/>
      <c r="K2485" t="n">
        <v>0</v>
      </c>
      <c r="L2485" t="n">
        <v>1</v>
      </c>
      <c r="M2485" t="n">
        <v>0</v>
      </c>
      <c r="N2485" t="n">
        <v>0</v>
      </c>
      <c r="O2485" t="n">
        <v>0</v>
      </c>
      <c r="P2485">
        <f>HYPERLINK("https://www.acritica.com/tribunal-da-venezuela-revoga-decis-o-de-assumir-as-func-es-do-parlamento-1.92377", "URL")</f>
        <v/>
      </c>
      <c r="Q2485">
        <f>HYPERLINK("https://raw.githubusercontent.com/marcosmapl/dataset_imigrantes/main/materias_filtered/a_critica/venezuelanos/2017/03_abr/html/1.92377_1308.html", "HTML")</f>
        <v/>
      </c>
      <c r="R2485">
        <f>HYPERLINK("https://raw.githubusercontent.com/marcosmapl/dataset_imigrantes/main/materias_filtered/a_critica/venezuelanos/2017/03_abr/txt/1.92377_1308.txt", "TXT")</f>
        <v/>
      </c>
    </row>
    <row r="2486">
      <c r="A2486" s="1" t="n">
        <v>2484</v>
      </c>
      <c r="B2486" t="n">
        <v>2017</v>
      </c>
      <c r="C2486" s="2" t="n">
        <v>42822.59791666667</v>
      </c>
      <c r="D2486" t="inlineStr">
        <is>
          <t>PORTAL AMAZONIA</t>
        </is>
      </c>
      <c r="E2486" t="inlineStr">
        <is>
          <t>VENEZUELANOS</t>
        </is>
      </c>
      <c r="F2486" t="inlineStr">
        <is>
          <t>CIDADES</t>
        </is>
      </c>
      <c r="G2486" t="inlineStr">
        <is>
          <t>REDAÇÃO</t>
        </is>
      </c>
      <c r="H2486" t="inlineStr">
        <is>
          <t>TRANSPORTE GRATUITO A PESSOAS COM DEFICIÊNCIA NO MARANHÃO É GARANTIDO POR MEIO DE ACORDO</t>
        </is>
      </c>
      <c r="I2486" t="inlineStr">
        <is>
          <t>UM ACORDO ENTRE O MINISTÉRIO PÚBLICO DO MARANHÃO (MP-MA) COM O GOVERNO DO ESTADO DO MARANHÃO E A AGÊNCIA ESTADUAL DE TRANSPORTE E MOBILIDADE URBANA (MOB) VAI GARANTIR O ACESSO LIVRE A PESSOAS COM DEFICIÊNCIA EM TRANSPORTE AQUAVIÁRIO, RODOVIÁRIO E FER</t>
        </is>
      </c>
      <c r="J2486" t="inlineStr">
        <is>
          <t>MARANHÃ£O, MOBILIDADE, PESSOA COM DEFICIÊNCIA</t>
        </is>
      </c>
      <c r="K2486" t="n">
        <v>3</v>
      </c>
      <c r="L2486" t="n">
        <v>2</v>
      </c>
      <c r="M2486" t="n">
        <v>0</v>
      </c>
      <c r="N2486" t="n">
        <v>0</v>
      </c>
      <c r="O2486" t="n">
        <v>8</v>
      </c>
      <c r="P2486">
        <f>HYPERLINK("https://portalamazonia.com/noticias/cidades/transporte-gratuito-a-pessoas-com-deficiencia-no-maranhao-e-garantido-por-meio-de-acordo", "URL")</f>
        <v/>
      </c>
      <c r="Q2486">
        <f>HYPERLINK("https://raw.githubusercontent.com/marcosmapl/dataset_imigrantes/main/materias_filtered/portal_amazonia/venezuelanos/2017/02_mar/html/21266.21266_1471.html", "HTML")</f>
        <v/>
      </c>
      <c r="R2486">
        <f>HYPERLINK("https://raw.githubusercontent.com/marcosmapl/dataset_imigrantes/main/materias_filtered/portal_amazonia/venezuelanos/2017/02_mar/txt/21266.21266_1471.txt", "TXT")</f>
        <v/>
      </c>
    </row>
    <row r="2487">
      <c r="A2487" s="1" t="n">
        <v>2485</v>
      </c>
      <c r="B2487" t="n">
        <v>2017</v>
      </c>
      <c r="C2487" s="2" t="n">
        <v>42822.53819444445</v>
      </c>
      <c r="D2487" t="inlineStr">
        <is>
          <t>PORTAL AMAZONIA</t>
        </is>
      </c>
      <c r="E2487" t="inlineStr">
        <is>
          <t>VENEZUELANOS</t>
        </is>
      </c>
      <c r="F2487" t="inlineStr">
        <is>
          <t>CIDADES</t>
        </is>
      </c>
      <c r="G2487" t="inlineStr">
        <is>
          <t>REDAÇÃO</t>
        </is>
      </c>
      <c r="H2487" t="inlineStr">
        <is>
          <t>CADASTRAMENTO BIOMÉTRICO TEM INÍCIO EM 45 MUNICÍPIOS DO AMAZONAS</t>
        </is>
      </c>
      <c r="I2487" t="inlineStr">
        <is>
          <t>FOTO: DIVULGAÇÃO/TRE-AMO CADASTRAMENTO BIOMÉTRICO DE ELEITORES FOI INICIADO PELO TRIBUNAL REGIONAL ELEITORAL DO AMAZONAS (TRE-AM) EM 45 MUNICÍPIOS. ATÉ ABRIL, OUTRAS SETE CIDADES TERÃO ATENDIMENTO DE COLETA DE BIOMETRIA INICIADO. O COMPARECIMENT</t>
        </is>
      </c>
      <c r="J2487" t="inlineStr">
        <is>
          <t>AMAZONAS, BIOMETRIA, TRE</t>
        </is>
      </c>
      <c r="K2487" t="n">
        <v>3</v>
      </c>
      <c r="L2487" t="n">
        <v>2</v>
      </c>
      <c r="M2487" t="n">
        <v>0</v>
      </c>
      <c r="N2487" t="n">
        <v>0</v>
      </c>
      <c r="O2487" t="n">
        <v>8</v>
      </c>
      <c r="P2487">
        <f>HYPERLINK("https://portalamazonia.com/noticias/cidades/cadastramento-biometrico-tem-inicio-em-45-municipios-do-amazonas", "URL")</f>
        <v/>
      </c>
      <c r="Q2487">
        <f>HYPERLINK("https://raw.githubusercontent.com/marcosmapl/dataset_imigrantes/main/materias_filtered/portal_amazonia/venezuelanos/2017/02_mar/html/21253.21253_1487.html", "HTML")</f>
        <v/>
      </c>
      <c r="R2487">
        <f>HYPERLINK("https://raw.githubusercontent.com/marcosmapl/dataset_imigrantes/main/materias_filtered/portal_amazonia/venezuelanos/2017/02_mar/txt/21253.21253_1487.txt", "TXT")</f>
        <v/>
      </c>
    </row>
    <row r="2488">
      <c r="A2488" s="1" t="n">
        <v>2486</v>
      </c>
      <c r="B2488" t="n">
        <v>2017</v>
      </c>
      <c r="C2488" s="2" t="n">
        <v>42822.47777777778</v>
      </c>
      <c r="D2488" t="inlineStr">
        <is>
          <t>PORTAL AMAZONIA</t>
        </is>
      </c>
      <c r="E2488" t="inlineStr">
        <is>
          <t>VENEZUELANOS</t>
        </is>
      </c>
      <c r="F2488" t="inlineStr">
        <is>
          <t>CIDADES</t>
        </is>
      </c>
      <c r="G2488" t="inlineStr">
        <is>
          <t>REDAÇÃO</t>
        </is>
      </c>
      <c r="H2488" t="inlineStr">
        <is>
          <t>FUNAI EXTINGUE 347 CARGOS COMISSIONADOS APÓS MUDANÇA EM ESTATUTO</t>
        </is>
      </c>
      <c r="I2488" t="inlineStr">
        <is>
          <t>DECRETO ASSINADO PELO PRESIDENTE MICHEL TEMER E PELOS MINISTROS DA JUSTIÇA, OSMAR SERRAGLIO, E DO PLANEJAMENTO, DYOGO OLIVEIRA, PUBLICADO NA SEXTA-FEIRA (24) NO DIÁRIO OFICIAL DA UNIÃO, ALTERA O ESTATUTO DA FUNDAÇÃO NACIONAL DO ÍNDIO (FUNAI). AS MUDA</t>
        </is>
      </c>
      <c r="J2488" t="inlineStr">
        <is>
          <t>AMAZONIA, DECRETO, FUNAI</t>
        </is>
      </c>
      <c r="K2488" t="n">
        <v>3</v>
      </c>
      <c r="L2488" t="n">
        <v>3</v>
      </c>
      <c r="M2488" t="n">
        <v>0</v>
      </c>
      <c r="N2488" t="n">
        <v>0</v>
      </c>
      <c r="O2488" t="n">
        <v>8</v>
      </c>
      <c r="P2488">
        <f>HYPERLINK("https://portalamazonia.com/noticias/cidades/funai-extingue-347-cargos-comissionados-apos-mudanca-em-estatuto", "URL")</f>
        <v/>
      </c>
      <c r="Q2488">
        <f>HYPERLINK("https://raw.githubusercontent.com/marcosmapl/dataset_imigrantes/main/materias_filtered/portal_amazonia/venezuelanos/2017/02_mar/html/21248.21248_1477.html", "HTML")</f>
        <v/>
      </c>
      <c r="R2488">
        <f>HYPERLINK("https://raw.githubusercontent.com/marcosmapl/dataset_imigrantes/main/materias_filtered/portal_amazonia/venezuelanos/2017/02_mar/txt/21248.21248_1477.txt", "TXT")</f>
        <v/>
      </c>
    </row>
    <row r="2489">
      <c r="A2489" s="1" t="n">
        <v>2487</v>
      </c>
      <c r="B2489" t="n">
        <v>2017</v>
      </c>
      <c r="C2489" s="2" t="n">
        <v>42821.57083333333</v>
      </c>
      <c r="D2489" t="inlineStr">
        <is>
          <t>PORTAL AMAZONIA</t>
        </is>
      </c>
      <c r="E2489" t="inlineStr">
        <is>
          <t>VENEZUELANOS</t>
        </is>
      </c>
      <c r="F2489" t="inlineStr">
        <is>
          <t>CIDADES</t>
        </is>
      </c>
      <c r="G2489" t="inlineStr">
        <is>
          <t>REDAÇÃO</t>
        </is>
      </c>
      <c r="H2489" t="inlineStr">
        <is>
          <t>INDÍGENAS VENEZUELANOS EM MANAUS VOLTARÃO A SEU PAÍS DE ORIGEM EM ABRIL</t>
        </is>
      </c>
      <c r="I2489" t="inlineStr">
        <is>
          <t>FOTO: REPRODUÇÃO/AGÊNCIA BRASILESTÁ MARCADO PARA ESTE DOMINGO (2) O RETORNO DE 88 INDÍGENAS DA ETNIA WARAO PARA A VENEZUELA. NO INÍCIO DE FEVEREIRO, 117 IMIGRANTES, ENTRE INDÍGENAS E NÃO INDÍGENAS, CHEGARAM A MANAUS FUGINDO DA CRISE POLÍTICA E E</t>
        </is>
      </c>
      <c r="J2489" t="inlineStr">
        <is>
          <t>AMAZONAS, AMAZÔNIA INTERNACIONAL, INDÍGENAS, MANAUS, VENEZUELA</t>
        </is>
      </c>
      <c r="K2489" t="n">
        <v>5</v>
      </c>
      <c r="L2489" t="n">
        <v>2</v>
      </c>
      <c r="M2489" t="n">
        <v>0</v>
      </c>
      <c r="N2489" t="n">
        <v>0</v>
      </c>
      <c r="O2489" t="n">
        <v>10</v>
      </c>
      <c r="P2489">
        <f>HYPERLINK("https://portalamazonia.com/noticias/cidades/indigenas-venezuelanos-em-manaus-voltarao-a-seu-pais-de-origem-em-abril", "URL")</f>
        <v/>
      </c>
      <c r="Q2489">
        <f>HYPERLINK("https://raw.githubusercontent.com/marcosmapl/dataset_imigrantes/main/materias_filtered/portal_amazonia/venezuelanos/2017/02_mar/html/21227.21227_1504.html", "HTML")</f>
        <v/>
      </c>
      <c r="R2489">
        <f>HYPERLINK("https://raw.githubusercontent.com/marcosmapl/dataset_imigrantes/main/materias_filtered/portal_amazonia/venezuelanos/2017/02_mar/txt/21227.21227_1504.txt", "TXT")</f>
        <v/>
      </c>
    </row>
    <row r="2490">
      <c r="A2490" s="1" t="n">
        <v>2488</v>
      </c>
      <c r="B2490" t="n">
        <v>2017</v>
      </c>
      <c r="C2490" s="2" t="n">
        <v>42821.53055555555</v>
      </c>
      <c r="D2490" t="inlineStr">
        <is>
          <t>PORTAL AMAZONIA</t>
        </is>
      </c>
      <c r="E2490" t="inlineStr">
        <is>
          <t>VENEZUELANOS</t>
        </is>
      </c>
      <c r="F2490" t="inlineStr">
        <is>
          <t>NOTÍCIAS</t>
        </is>
      </c>
      <c r="G2490" t="inlineStr">
        <is>
          <t>REDAÇÃO</t>
        </is>
      </c>
      <c r="H2490" t="inlineStr">
        <is>
          <t>DOIS ÔNIBUS IRÃO TRANSPORTAR VENEZUELANOS DE MANAUS PARA PAÍS DE ORIGEM</t>
        </is>
      </c>
      <c r="I2490" t="inlineStr">
        <is>
          <t>MANAUS - O GOVERNO DO AMAZONAS E A PREFEITURA DE MANAUS VÃO DISPONIBILIZAR DOIS ÔNIBUS PARA CERCA DE 70 VENEZUELANOS VOLTAREM AO PAÍS DE ORIGEM. NA PRÓXIMA SEGUNDA-FEIRA (2), OS VENEZUELANOS SERÃO LEVADOS ATÉ O MUNICÍPIO DE PACARAIMA, EM RORAIMA, QUE</t>
        </is>
      </c>
      <c r="J2490" t="inlineStr">
        <is>
          <t>AMAZONAS, CIDADES, MANAUS, NOTÍCIAS</t>
        </is>
      </c>
      <c r="K2490" t="n">
        <v>4</v>
      </c>
      <c r="L2490" t="n">
        <v>1</v>
      </c>
      <c r="M2490" t="n">
        <v>0</v>
      </c>
      <c r="N2490" t="n">
        <v>1</v>
      </c>
      <c r="O2490" t="n">
        <v>12</v>
      </c>
      <c r="P2490">
        <f>HYPERLINK("https://portalamazonia.com/noticias/dois-onibus-irao-transportar-venezuelanos-de-manaus-para-pais-de-origem", "URL")</f>
        <v/>
      </c>
      <c r="Q2490">
        <f>HYPERLINK("https://raw.githubusercontent.com/marcosmapl/dataset_imigrantes/main/materias_filtered/portal_amazonia/venezuelanos/2017/02_mar/html/21214.27785_1518.html", "HTML")</f>
        <v/>
      </c>
      <c r="R2490">
        <f>HYPERLINK("https://raw.githubusercontent.com/marcosmapl/dataset_imigrantes/main/materias_filtered/portal_amazonia/venezuelanos/2017/02_mar/txt/21214.27785_1518.txt", "TXT")</f>
        <v/>
      </c>
    </row>
    <row r="2491">
      <c r="A2491" s="1" t="n">
        <v>2489</v>
      </c>
      <c r="B2491" t="n">
        <v>2017</v>
      </c>
      <c r="C2491" s="2" t="n">
        <v>42820.82356481482</v>
      </c>
      <c r="D2491" t="inlineStr">
        <is>
          <t>A CRITICA</t>
        </is>
      </c>
      <c r="E2491" t="inlineStr">
        <is>
          <t>VENEZUELANOS</t>
        </is>
      </c>
      <c r="F2491" t="inlineStr">
        <is>
          <t>MANAUS</t>
        </is>
      </c>
      <c r="G2491" t="inlineStr">
        <is>
          <t>BIANCA PAIVA –  AGÊNCIA BRASIL</t>
        </is>
      </c>
      <c r="H2491" t="inlineStr">
        <is>
          <t>INDÍGENAS VENEZUELANOS EM MANAUS VOLTARÃO A SEU PAÍS DE ORIGEM EM ABRIL</t>
        </is>
      </c>
      <c r="I2491" t="inlineStr">
        <is>
          <t>NO INÍCIO DE FEVEREIRO, 117 IMIGRANTES, ENTRE INDÍGENAS E NÃO INDÍGENAS, CHEGARAM A MANAUS FUGINDO DA CRISE POLÍTICA E ECONÔMICA NA NAÇÃO VIZINHA</t>
        </is>
      </c>
      <c r="J2491" t="inlineStr"/>
      <c r="K2491" t="n">
        <v>0</v>
      </c>
      <c r="L2491" t="n">
        <v>1</v>
      </c>
      <c r="M2491" t="n">
        <v>0</v>
      </c>
      <c r="N2491" t="n">
        <v>0</v>
      </c>
      <c r="O2491" t="n">
        <v>0</v>
      </c>
      <c r="P2491">
        <f>HYPERLINK("https://www.acritica.com/manaus/indigenas-venezuelanos-em-manaus-voltar-o-a-seu-pais-de-origem-em-abril-1.204493", "URL")</f>
        <v/>
      </c>
      <c r="Q2491">
        <f>HYPERLINK("https://raw.githubusercontent.com/marcosmapl/dataset_imigrantes/main/materias_filtered/a_critica/venezuelanos/2017/02_mar/html/1.204493_725.html", "HTML")</f>
        <v/>
      </c>
      <c r="R2491">
        <f>HYPERLINK("https://raw.githubusercontent.com/marcosmapl/dataset_imigrantes/main/materias_filtered/a_critica/venezuelanos/2017/02_mar/txt/1.204493_725.txt", "TXT")</f>
        <v/>
      </c>
    </row>
    <row r="2492">
      <c r="A2492" s="1" t="n">
        <v>2490</v>
      </c>
      <c r="B2492" t="n">
        <v>2017</v>
      </c>
      <c r="C2492" s="2" t="n">
        <v>42810.60069444445</v>
      </c>
      <c r="D2492" t="inlineStr">
        <is>
          <t>A CRITICA</t>
        </is>
      </c>
      <c r="E2492" t="inlineStr">
        <is>
          <t>VENEZUELANOS</t>
        </is>
      </c>
      <c r="F2492" t="inlineStr"/>
      <c r="G2492" t="inlineStr">
        <is>
          <t>ACRÍTICA.COM</t>
        </is>
      </c>
      <c r="H2492" t="inlineStr">
        <is>
          <t>MPF INSTAURA INQUÉRITO PARA ACOMPANHAR MEDIDAS DE APOIO A ÍNDIOS VENEZUELANOS</t>
        </is>
      </c>
      <c r="I2492" t="inlineStr">
        <is>
          <t>INDÍGENAS DA ETNIA WARAO ESTÃO ACAMPADOS NA RODOVIÁRIA DA CAPITAL AMAZONENSE HÁ SEMANAS, FUGINDO DA CRISE ECONÔMICA DO PAÍS DE ORIGEM</t>
        </is>
      </c>
      <c r="J2492" t="inlineStr"/>
      <c r="K2492" t="n">
        <v>0</v>
      </c>
      <c r="L2492" t="n">
        <v>1</v>
      </c>
      <c r="M2492" t="n">
        <v>0</v>
      </c>
      <c r="N2492" t="n">
        <v>0</v>
      </c>
      <c r="O2492" t="n">
        <v>0</v>
      </c>
      <c r="P2492">
        <f>HYPERLINK("https://www.acritica.com/mpf-instaura-inquerito-para-acompanhar-medidas-de-apoio-a-indios-venezuelanos-1.183711", "URL")</f>
        <v/>
      </c>
      <c r="Q2492">
        <f>HYPERLINK("https://raw.githubusercontent.com/marcosmapl/dataset_imigrantes/main/materias_filtered/a_critica/venezuelanos/2017/02_mar/html/1.183711_805.html", "HTML")</f>
        <v/>
      </c>
      <c r="R2492">
        <f>HYPERLINK("https://raw.githubusercontent.com/marcosmapl/dataset_imigrantes/main/materias_filtered/a_critica/venezuelanos/2017/02_mar/txt/1.183711_805.txt", "TXT")</f>
        <v/>
      </c>
    </row>
    <row r="2493">
      <c r="A2493" s="1" t="n">
        <v>2491</v>
      </c>
      <c r="B2493" t="n">
        <v>2017</v>
      </c>
      <c r="C2493" s="2" t="n">
        <v>42808.23263888889</v>
      </c>
      <c r="D2493" t="inlineStr">
        <is>
          <t>G1</t>
        </is>
      </c>
      <c r="E2493" t="inlineStr">
        <is>
          <t>VENEZUELANOS</t>
        </is>
      </c>
      <c r="F2493" t="inlineStr"/>
      <c r="G2493" t="inlineStr">
        <is>
          <t>ANA NASCIMENTORIO DE JANEIRO, RJ</t>
        </is>
      </c>
      <c r="H2493" t="inlineStr">
        <is>
          <t>POLÍCIA APREENDE R$ 12 MILHÕES EM MOEDA VENEZUELANA EM FAVELA NO RJ</t>
        </is>
      </c>
      <c r="I2493" t="inlineStr"/>
      <c r="J2493" t="inlineStr"/>
      <c r="K2493" t="n">
        <v>0</v>
      </c>
      <c r="L2493" t="n">
        <v>0</v>
      </c>
      <c r="M2493" t="n">
        <v>0</v>
      </c>
      <c r="N2493" t="n">
        <v>0</v>
      </c>
      <c r="O2493" t="n">
        <v>9</v>
      </c>
      <c r="P2493">
        <f>HYPERLINK("http://g1.globo.com/hora1/noticia/2017/03/policia-apreende-r-12-milhoes-em-moeda-venezuelana-em-favela-no-rj.html", "URL")</f>
        <v/>
      </c>
      <c r="Q2493">
        <f>HYPERLINK("https://raw.githubusercontent.com/marcosmapl/dataset_imigrantes/main/materias_filtered/g1/venezuelanos/2017/02_mar/html/g1_8b281554-2321-11ed-b24f-6dbe51e79fca_3707.html", "HTML")</f>
        <v/>
      </c>
      <c r="R2493">
        <f>HYPERLINK("https://raw.githubusercontent.com/marcosmapl/dataset_imigrantes/main/materias_filtered/g1/venezuelanos/2017/02_mar/txt/g1_8b281554-2321-11ed-b24f-6dbe51e79fca_3707.txt", "TXT")</f>
        <v/>
      </c>
    </row>
    <row r="2494">
      <c r="A2494" s="1" t="n">
        <v>2492</v>
      </c>
      <c r="B2494" t="n">
        <v>2017</v>
      </c>
      <c r="C2494" s="2" t="n">
        <v>42807.63923611111</v>
      </c>
      <c r="D2494" t="inlineStr">
        <is>
          <t>A CRITICA</t>
        </is>
      </c>
      <c r="E2494" t="inlineStr">
        <is>
          <t>VENEZUELANOS</t>
        </is>
      </c>
      <c r="F2494" t="inlineStr">
        <is>
          <t>MANAUS</t>
        </is>
      </c>
      <c r="G2494" t="inlineStr">
        <is>
          <t>PAULO ANDRÉ NUNES</t>
        </is>
      </c>
      <c r="H2494" t="inlineStr">
        <is>
          <t>ÓRGÃOS PEDEM APOIO DA PF E MP PARA AJUDAR FAMÍLIAS VENEZUELANAS EM MANAUS</t>
        </is>
      </c>
      <c r="I2494" t="inlineStr">
        <is>
          <t>EM TODA A CIDADE, DE ACORDO COM DADOS DA SECRETARIA MUNICIPAL DE ASSISTÊNCIA SOCIAL (SEMASDH) EXISTEM CERCA DE 120 FAMÍLIAS VENEZUELAS, A MAIORIA EM SITUAÇÃO DE MENDICÂNCIA</t>
        </is>
      </c>
      <c r="J2494" t="inlineStr"/>
      <c r="K2494" t="n">
        <v>0</v>
      </c>
      <c r="L2494" t="n">
        <v>1</v>
      </c>
      <c r="M2494" t="n">
        <v>0</v>
      </c>
      <c r="N2494" t="n">
        <v>0</v>
      </c>
      <c r="O2494" t="n">
        <v>0</v>
      </c>
      <c r="P2494">
        <f>HYPERLINK("https://www.acritica.com/manaus/org-os-pedem-apoio-da-pf-e-mp-para-ajudar-familias-venezuelanas-em-manaus-1.182980", "URL")</f>
        <v/>
      </c>
      <c r="Q2494">
        <f>HYPERLINK("https://raw.githubusercontent.com/marcosmapl/dataset_imigrantes/main/materias_filtered/a_critica/venezuelanos/2017/02_mar/html/1.182980_1226.html", "HTML")</f>
        <v/>
      </c>
      <c r="R2494">
        <f>HYPERLINK("https://raw.githubusercontent.com/marcosmapl/dataset_imigrantes/main/materias_filtered/a_critica/venezuelanos/2017/02_mar/txt/1.182980_1226.txt", "TXT")</f>
        <v/>
      </c>
    </row>
    <row r="2495">
      <c r="A2495" s="1" t="n">
        <v>2493</v>
      </c>
      <c r="B2495" t="n">
        <v>2017</v>
      </c>
      <c r="C2495" s="2" t="n">
        <v>42807.53108796296</v>
      </c>
      <c r="D2495" t="inlineStr">
        <is>
          <t>A CRITICA</t>
        </is>
      </c>
      <c r="E2495" t="inlineStr">
        <is>
          <t>VENEZUELANOS</t>
        </is>
      </c>
      <c r="F2495" t="inlineStr">
        <is>
          <t>MANAUS</t>
        </is>
      </c>
      <c r="G2495" t="inlineStr">
        <is>
          <t>ISABELLE VALOIS</t>
        </is>
      </c>
      <c r="H2495" t="inlineStr">
        <is>
          <t>AÇÃO INICIADA POR CONSELHEIROS TUTELARES BUSCA ALTERNATIVA PARA RETIRAR CRIANÇAS DA RODOVIÁRIA</t>
        </is>
      </c>
      <c r="I2495" t="inlineStr">
        <is>
          <t>A PROMOTORA INFORMOU AO CONSELHEIRO TUTELAR DA ZONA CENTRO-SUL, MARCELO MEDEIROS, RESPONSÁVEL PELA AÇÃO, QUE IRÁ CONVOCAR AS SECRETARIAS MUNICIPAIS E ESTADUAIS QUE ATUEM NA ÁREA PARA UMA REUNIÃO NESTA SEMANA, PARA BUSCAR SOLUÇÕES</t>
        </is>
      </c>
      <c r="J2495" t="inlineStr"/>
      <c r="K2495" t="n">
        <v>0</v>
      </c>
      <c r="L2495" t="n">
        <v>1</v>
      </c>
      <c r="M2495" t="n">
        <v>0</v>
      </c>
      <c r="N2495" t="n">
        <v>0</v>
      </c>
      <c r="O2495" t="n">
        <v>0</v>
      </c>
      <c r="P2495">
        <f>HYPERLINK("https://www.acritica.com/manaus/ac-o-iniciada-por-conselheiros-tutelares-busca-alternativa-para-retirar-criancas-da-rodoviaria-1.183046", "URL")</f>
        <v/>
      </c>
      <c r="Q2495">
        <f>HYPERLINK("https://raw.githubusercontent.com/marcosmapl/dataset_imigrantes/main/materias_filtered/a_critica/venezuelanos/2017/02_mar/html/1.183046_1377.html", "HTML")</f>
        <v/>
      </c>
      <c r="R2495">
        <f>HYPERLINK("https://raw.githubusercontent.com/marcosmapl/dataset_imigrantes/main/materias_filtered/a_critica/venezuelanos/2017/02_mar/txt/1.183046_1377.txt", "TXT")</f>
        <v/>
      </c>
    </row>
    <row r="2496">
      <c r="A2496" s="1" t="n">
        <v>2494</v>
      </c>
      <c r="B2496" t="n">
        <v>2017</v>
      </c>
      <c r="C2496" s="2" t="n">
        <v>42805.92777777778</v>
      </c>
      <c r="D2496" t="inlineStr">
        <is>
          <t>A CRITICA</t>
        </is>
      </c>
      <c r="E2496" t="inlineStr">
        <is>
          <t>VENEZUELANOS</t>
        </is>
      </c>
      <c r="F2496" t="inlineStr">
        <is>
          <t>MANAUS</t>
        </is>
      </c>
      <c r="G2496" t="inlineStr">
        <is>
          <t>ISABELLE VALOIS</t>
        </is>
      </c>
      <c r="H2496" t="inlineStr">
        <is>
          <t>CONSELHEIROS TUTELARES TENTAM RECOLHER CRIANÇAS INDÍGENAS DA RODOVIÁRIA</t>
        </is>
      </c>
      <c r="I2496" t="inlineStr">
        <is>
          <t>DURANTE A VISTORIA, UMA EQUIPE DA SECRETARIA MUNICIPAL DA MULHER, ASSISTÊNCIA SOCIAL E DIREITOS HUMANOS (SEMMASDH), SE FEZ PRESENTE E FOI TOTALMENTE CONTRA A AÇÃO DOS CONSELHEIROS</t>
        </is>
      </c>
      <c r="J2496" t="inlineStr"/>
      <c r="K2496" t="n">
        <v>0</v>
      </c>
      <c r="L2496" t="n">
        <v>1</v>
      </c>
      <c r="M2496" t="n">
        <v>0</v>
      </c>
      <c r="N2496" t="n">
        <v>0</v>
      </c>
      <c r="O2496" t="n">
        <v>0</v>
      </c>
      <c r="P2496">
        <f>HYPERLINK("https://www.acritica.com/manaus/conselheiros-tutelares-tentam-recolher-criancas-indigenas-da-rodoviaria-1.182850", "URL")</f>
        <v/>
      </c>
      <c r="Q2496">
        <f>HYPERLINK("https://raw.githubusercontent.com/marcosmapl/dataset_imigrantes/main/materias_filtered/a_critica/venezuelanos/2017/02_mar/html/1.182850_664.html", "HTML")</f>
        <v/>
      </c>
      <c r="R2496">
        <f>HYPERLINK("https://raw.githubusercontent.com/marcosmapl/dataset_imigrantes/main/materias_filtered/a_critica/venezuelanos/2017/02_mar/txt/1.182850_664.txt", "TXT")</f>
        <v/>
      </c>
    </row>
    <row r="2497">
      <c r="A2497" s="1" t="n">
        <v>2495</v>
      </c>
      <c r="B2497" t="n">
        <v>2017</v>
      </c>
      <c r="C2497" s="2" t="n">
        <v>42804.73125</v>
      </c>
      <c r="D2497" t="inlineStr">
        <is>
          <t>A CRITICA</t>
        </is>
      </c>
      <c r="E2497" t="inlineStr">
        <is>
          <t>VENEZUELANOS</t>
        </is>
      </c>
      <c r="F2497" t="inlineStr">
        <is>
          <t>MANAUS</t>
        </is>
      </c>
      <c r="G2497" t="inlineStr">
        <is>
          <t>ACRÍTICA.COM</t>
        </is>
      </c>
      <c r="H2497" t="inlineStr">
        <is>
          <t>MOVIMENTO ‘ATOS DE MISERICÓRDIA’ REALIZA AÇÃO EM PROL DOS INDÍGENAS E VENEZUELANOS</t>
        </is>
      </c>
      <c r="I2497" t="inlineStr">
        <is>
          <t>O GRUPO “POR AMOR” VAI OFERECER REFEIÇÕES NOTURNAS, DOAÇÕES DE ROUPAS E PRODUTOS DE HIGIENE PESSOAL NA NOITE DE HOJE (10) NA RODOVIÁRIA DE MANAUS</t>
        </is>
      </c>
      <c r="J2497" t="inlineStr"/>
      <c r="K2497" t="n">
        <v>0</v>
      </c>
      <c r="L2497" t="n">
        <v>1</v>
      </c>
      <c r="M2497" t="n">
        <v>0</v>
      </c>
      <c r="N2497" t="n">
        <v>0</v>
      </c>
      <c r="O2497" t="n">
        <v>0</v>
      </c>
      <c r="P2497">
        <f>HYPERLINK("https://www.acritica.com/manaus/movimento-atos-de-misericordia-realiza-ac-o-em-prol-dos-indigenas-e-venezuelanos-1.182574", "URL")</f>
        <v/>
      </c>
      <c r="Q2497">
        <f>HYPERLINK("https://raw.githubusercontent.com/marcosmapl/dataset_imigrantes/main/materias_filtered/a_critica/venezuelanos/2017/02_mar/html/1.182574_937.html", "HTML")</f>
        <v/>
      </c>
      <c r="R2497">
        <f>HYPERLINK("https://raw.githubusercontent.com/marcosmapl/dataset_imigrantes/main/materias_filtered/a_critica/venezuelanos/2017/02_mar/txt/1.182574_937.txt", "TXT")</f>
        <v/>
      </c>
    </row>
    <row r="2498">
      <c r="A2498" s="1" t="n">
        <v>2496</v>
      </c>
      <c r="B2498" t="n">
        <v>2017</v>
      </c>
      <c r="C2498" s="2" t="n">
        <v>42800.84513888889</v>
      </c>
      <c r="D2498" t="inlineStr">
        <is>
          <t>PORTAL AMAZONIA</t>
        </is>
      </c>
      <c r="E2498" t="inlineStr">
        <is>
          <t>HAITIANOS</t>
        </is>
      </c>
      <c r="F2498" t="inlineStr">
        <is>
          <t>CIDADES</t>
        </is>
      </c>
      <c r="G2498" t="inlineStr">
        <is>
          <t>REDAÇÃO</t>
        </is>
      </c>
      <c r="H2498" t="inlineStr">
        <is>
          <t>INTERDIÇÃO DO AERÓDROMO DE HUMAITÁ, NO AMAZONAS, É DEBATIDA EM AUDIÊNCIA PÚBLICA</t>
        </is>
      </c>
      <c r="I2498" t="inlineStr">
        <is>
          <t>AERÓDROMO DO MUNICÍPIO AMAZONENSE ESTÁ INTERDITADO DESDE DEZEMBRO DE 2016. FOTO: REPRODUÇÃO/PREFEITURA DE HUMAITÁA INTERDIÇÃO DO AERÓDROMO DO MUNICÍPIO DE HUMAITÁ, NO SUL DO AMAZONAS, SERÁ TEMA DE AUDIÊNCIA PÚBLICA NO PRÓXIMO DIA 24 DE MARÇO, NA CÂMA</t>
        </is>
      </c>
      <c r="J2498" t="inlineStr">
        <is>
          <t>AEROPORTO, AMAZONAS, AUDIÊNCIA PÚBLICA, HUMAITÃ¡</t>
        </is>
      </c>
      <c r="K2498" t="n">
        <v>4</v>
      </c>
      <c r="L2498" t="n">
        <v>2</v>
      </c>
      <c r="M2498" t="n">
        <v>0</v>
      </c>
      <c r="N2498" t="n">
        <v>0</v>
      </c>
      <c r="O2498" t="n">
        <v>9</v>
      </c>
      <c r="P2498">
        <f>HYPERLINK("https://portalamazonia.com/noticias/cidades/interdicao-do-aerodromo-de-humaita-no-amazonas-e-debatida-em-audiencia-publica", "URL")</f>
        <v/>
      </c>
      <c r="Q2498">
        <f>HYPERLINK("https://raw.githubusercontent.com/marcosmapl/dataset_imigrantes/main/materias_filtered/portal_amazonia/haitianos/2017/02_mar/html/20554.20554_1615.html", "HTML")</f>
        <v/>
      </c>
      <c r="R2498">
        <f>HYPERLINK("https://raw.githubusercontent.com/marcosmapl/dataset_imigrantes/main/materias_filtered/portal_amazonia/haitianos/2017/02_mar/txt/20554.20554_1615.txt", "TXT")</f>
        <v/>
      </c>
    </row>
    <row r="2499">
      <c r="A2499" s="1" t="n">
        <v>2497</v>
      </c>
      <c r="B2499" t="n">
        <v>2017</v>
      </c>
      <c r="C2499" s="2" t="n">
        <v>42797.8375</v>
      </c>
      <c r="D2499" t="inlineStr">
        <is>
          <t>PORTAL AMAZONIA</t>
        </is>
      </c>
      <c r="E2499" t="inlineStr">
        <is>
          <t>HAITIANOS</t>
        </is>
      </c>
      <c r="F2499" t="inlineStr">
        <is>
          <t>CIDADES</t>
        </is>
      </c>
      <c r="G2499" t="inlineStr">
        <is>
          <t>REDAÇÃO</t>
        </is>
      </c>
      <c r="H2499" t="inlineStr">
        <is>
          <t>HAITIANOS SÃO REALOCADOS POR COMPANHIAS AÉREAS NACIONAIS EM MANAUS E SEGUEM VIAGEM</t>
        </is>
      </c>
      <c r="I2499" t="inlineStr">
        <is>
          <t>O GRUPO DE HAITIANOS QUE TEVE O VOO CANCELADO SEM AVISO PRÉVIO PELA COMPANHIA AÉREA INSEL AIR E FOI ABANDONADO EM MANAUS VAI VIAJAR AINDA NESTA SEXTA-FEIRA (3) PARA SEUS DESTINOS. AS EMPRESAS NACIONAIS GOL, TAM E AZUL REALOCARAM OS TUR</t>
        </is>
      </c>
      <c r="J2499" t="inlineStr">
        <is>
          <t>HAITIANOS, INSEL AIR, MANAUS, VOO CANCELADO</t>
        </is>
      </c>
      <c r="K2499" t="n">
        <v>4</v>
      </c>
      <c r="L2499" t="n">
        <v>2</v>
      </c>
      <c r="M2499" t="n">
        <v>0</v>
      </c>
      <c r="N2499" t="n">
        <v>0</v>
      </c>
      <c r="O2499" t="n">
        <v>9</v>
      </c>
      <c r="P2499">
        <f>HYPERLINK("https://portalamazonia.com/noticias/cidades/haitianos-sao-realocados-por-companhias-aereas-nacionais-em-manaus-e-seguem-viagem", "URL")</f>
        <v/>
      </c>
      <c r="Q2499">
        <f>HYPERLINK("https://raw.githubusercontent.com/marcosmapl/dataset_imigrantes/main/materias_filtered/portal_amazonia/haitianos/2017/02_mar/html/20478.20478_1591.html", "HTML")</f>
        <v/>
      </c>
      <c r="R2499">
        <f>HYPERLINK("https://raw.githubusercontent.com/marcosmapl/dataset_imigrantes/main/materias_filtered/portal_amazonia/haitianos/2017/02_mar/txt/20478.20478_1591.txt", "TXT")</f>
        <v/>
      </c>
    </row>
    <row r="2500">
      <c r="A2500" s="1" t="n">
        <v>2498</v>
      </c>
      <c r="B2500" t="n">
        <v>2017</v>
      </c>
      <c r="C2500" s="2" t="n">
        <v>42797.7375</v>
      </c>
      <c r="D2500" t="inlineStr">
        <is>
          <t>G1</t>
        </is>
      </c>
      <c r="E2500" t="inlineStr">
        <is>
          <t>HAITIANOS</t>
        </is>
      </c>
      <c r="F2500" t="inlineStr"/>
      <c r="G2500" t="inlineStr">
        <is>
          <t>1 AM</t>
        </is>
      </c>
      <c r="H2500" t="inlineStr">
        <is>
          <t>HAITIANOS DEIXADOS NO AM SEGUIRÃO VIAGEM EM OUTRAS COMPANHIAS AÉREAS</t>
        </is>
      </c>
      <c r="I2500" t="inlineStr"/>
      <c r="J2500" t="inlineStr">
        <is>
          <t>MANAUS</t>
        </is>
      </c>
      <c r="K2500" t="n">
        <v>1</v>
      </c>
      <c r="L2500" t="n">
        <v>7</v>
      </c>
      <c r="M2500" t="n">
        <v>0</v>
      </c>
      <c r="N2500" t="n">
        <v>0</v>
      </c>
      <c r="O2500" t="n">
        <v>15</v>
      </c>
      <c r="P2500">
        <f>HYPERLINK("http://g1.globo.com/am/amazonas/noticia/2017/03/haitianos-deixados-no-am-seguirao-viagem-em-outras-companhias-aereas.html", "URL")</f>
        <v/>
      </c>
      <c r="Q2500">
        <f>HYPERLINK("https://raw.githubusercontent.com/marcosmapl/dataset_imigrantes/main/materias_filtered/g1/haitianos/2017/02_mar/html/g1_01096408-22f5-11ed-b24f-6dbe51e79fca_1926.html", "HTML")</f>
        <v/>
      </c>
      <c r="R2500">
        <f>HYPERLINK("https://raw.githubusercontent.com/marcosmapl/dataset_imigrantes/main/materias_filtered/g1/haitianos/2017/02_mar/txt/g1_01096408-22f5-11ed-b24f-6dbe51e79fca_1926.txt", "TXT")</f>
        <v/>
      </c>
    </row>
    <row r="2501">
      <c r="A2501" s="1" t="n">
        <v>2499</v>
      </c>
      <c r="B2501" t="n">
        <v>2017</v>
      </c>
      <c r="C2501" s="2" t="n">
        <v>42797.73333333333</v>
      </c>
      <c r="D2501" t="inlineStr">
        <is>
          <t>G1</t>
        </is>
      </c>
      <c r="E2501" t="inlineStr">
        <is>
          <t>HAITIANOS</t>
        </is>
      </c>
      <c r="F2501" t="inlineStr"/>
      <c r="G2501" t="inlineStr">
        <is>
          <t>1 RS</t>
        </is>
      </c>
      <c r="H2501" t="inlineStr">
        <is>
          <t>APÓS PERDER GUARDA DE FILHA, HAITIANA TENTA REVERTER DECISÃO NA JUSTIÇA</t>
        </is>
      </c>
      <c r="I2501" t="inlineStr"/>
      <c r="J2501" t="inlineStr">
        <is>
          <t>RIO GRANDE DO SUL, CARLOS BARBOSA</t>
        </is>
      </c>
      <c r="K2501" t="n">
        <v>2</v>
      </c>
      <c r="L2501" t="n">
        <v>2</v>
      </c>
      <c r="M2501" t="n">
        <v>0</v>
      </c>
      <c r="N2501" t="n">
        <v>0</v>
      </c>
      <c r="O2501" t="n">
        <v>17</v>
      </c>
      <c r="P2501">
        <f>HYPERLINK("http://g1.globo.com/rs/rio-grande-do-sul/noticia/2017/03/apos-perder-guarda-de-filha-haitiana-tenta-reverter-decisao-na-justica.html", "URL")</f>
        <v/>
      </c>
      <c r="Q2501">
        <f>HYPERLINK("https://raw.githubusercontent.com/marcosmapl/dataset_imigrantes/main/materias_filtered/g1/haitianos/2017/02_mar/html/g1_465f7294-2314-11ed-b24f-6dbe51e79fca_3056.html", "HTML")</f>
        <v/>
      </c>
      <c r="R2501">
        <f>HYPERLINK("https://raw.githubusercontent.com/marcosmapl/dataset_imigrantes/main/materias_filtered/g1/haitianos/2017/02_mar/txt/g1_465f7294-2314-11ed-b24f-6dbe51e79fca_3056.txt", "TXT")</f>
        <v/>
      </c>
    </row>
    <row r="2502">
      <c r="A2502" s="1" t="n">
        <v>2500</v>
      </c>
      <c r="B2502" t="n">
        <v>2017</v>
      </c>
      <c r="C2502" s="2" t="n">
        <v>42797.65694444445</v>
      </c>
      <c r="D2502" t="inlineStr">
        <is>
          <t>A CRITICA</t>
        </is>
      </c>
      <c r="E2502" t="inlineStr">
        <is>
          <t>HAITIANOS</t>
        </is>
      </c>
      <c r="F2502" t="inlineStr">
        <is>
          <t>MANAUS</t>
        </is>
      </c>
      <c r="G2502" t="inlineStr">
        <is>
          <t>OSWALDO NETO</t>
        </is>
      </c>
      <c r="H2502" t="inlineStr">
        <is>
          <t>PROCON-AM VAI MULTAR INSEL AIR EM ATÉ R$ 3 MILHÕES APÓS NEGLIGÊNCIA COM HAITIANOS</t>
        </is>
      </c>
      <c r="I2502" t="inlineStr">
        <is>
          <t>SEGUNDO A DIRETORA-PRESIDENTE DO PROCON-AM, ROSELY FERNANDES, MULTA PODE CHEGAR A R$ 3 MILHÕES. TODOS OS HAITIANOS SEGUIRÃO PARA SEUS DESTINOS FINAIS AINDA NESTA SEXTA-FEIRA (3)</t>
        </is>
      </c>
      <c r="J2502" t="inlineStr"/>
      <c r="K2502" t="n">
        <v>0</v>
      </c>
      <c r="L2502" t="n">
        <v>1</v>
      </c>
      <c r="M2502" t="n">
        <v>0</v>
      </c>
      <c r="N2502" t="n">
        <v>0</v>
      </c>
      <c r="O2502" t="n">
        <v>3</v>
      </c>
      <c r="P2502">
        <f>HYPERLINK("https://www.acritica.com/manaus/procon-am-vai-multar-insel-air-em-ate-r-3-milh-es-apos-negligencia-com-haitianos-1.181593", "URL")</f>
        <v/>
      </c>
      <c r="Q2502">
        <f>HYPERLINK("https://raw.githubusercontent.com/marcosmapl/dataset_imigrantes/main/materias_filtered/a_critica/haitianos/2017/02_mar/html/1.181593_1228.html", "HTML")</f>
        <v/>
      </c>
      <c r="R2502">
        <f>HYPERLINK("https://raw.githubusercontent.com/marcosmapl/dataset_imigrantes/main/materias_filtered/a_critica/haitianos/2017/02_mar/txt/1.181593_1228.txt", "TXT")</f>
        <v/>
      </c>
    </row>
    <row r="2503">
      <c r="A2503" s="1" t="n">
        <v>2501</v>
      </c>
      <c r="B2503" t="n">
        <v>2017</v>
      </c>
      <c r="C2503" s="2" t="n">
        <v>42797.65347222222</v>
      </c>
      <c r="D2503" t="inlineStr">
        <is>
          <t>A CRITICA</t>
        </is>
      </c>
      <c r="E2503" t="inlineStr">
        <is>
          <t>HAITIANOS</t>
        </is>
      </c>
      <c r="F2503" t="inlineStr">
        <is>
          <t>MANAUS</t>
        </is>
      </c>
      <c r="G2503" t="inlineStr">
        <is>
          <t>VINICIUS LEAL E OSWALDO NETO</t>
        </is>
      </c>
      <c r="H2503" t="inlineStr">
        <is>
          <t>HAITIANOS ABANDONADOS EM MANAUS VIAJAM AINDA HOJE EM VOOS DA GOL, TAM E AZUL</t>
        </is>
      </c>
      <c r="I2503" t="inlineStr">
        <is>
          <t>TODOS OS 52 ESTRANGEIROS CONSEGUIRAM SER REALOCADOS APÓS ACORDO COM COMPANHIAS AÉREAS NACIONAIS, INFRAERO E PROCON</t>
        </is>
      </c>
      <c r="J2503" t="inlineStr"/>
      <c r="K2503" t="n">
        <v>0</v>
      </c>
      <c r="L2503" t="n">
        <v>1</v>
      </c>
      <c r="M2503" t="n">
        <v>0</v>
      </c>
      <c r="N2503" t="n">
        <v>0</v>
      </c>
      <c r="O2503" t="n">
        <v>3</v>
      </c>
      <c r="P2503">
        <f>HYPERLINK("https://www.acritica.com/manaus/haitianos-abandonados-em-manaus-viajam-ainda-hoje-em-voos-da-gol-tam-e-azul-1.181597", "URL")</f>
        <v/>
      </c>
      <c r="Q2503">
        <f>HYPERLINK("https://raw.githubusercontent.com/marcosmapl/dataset_imigrantes/main/materias_filtered/a_critica/haitianos/2017/02_mar/html/1.181597_814.html", "HTML")</f>
        <v/>
      </c>
      <c r="R2503">
        <f>HYPERLINK("https://raw.githubusercontent.com/marcosmapl/dataset_imigrantes/main/materias_filtered/a_critica/haitianos/2017/02_mar/txt/1.181597_814.txt", "TXT")</f>
        <v/>
      </c>
    </row>
    <row r="2504">
      <c r="A2504" s="1" t="n">
        <v>2502</v>
      </c>
      <c r="B2504" t="n">
        <v>2017</v>
      </c>
      <c r="C2504" s="2" t="n">
        <v>42797.62969907407</v>
      </c>
      <c r="D2504" t="inlineStr">
        <is>
          <t>A CRITICA</t>
        </is>
      </c>
      <c r="E2504" t="inlineStr">
        <is>
          <t>HAITIANOS</t>
        </is>
      </c>
      <c r="F2504" t="inlineStr">
        <is>
          <t>MANAUS</t>
        </is>
      </c>
      <c r="G2504" t="inlineStr">
        <is>
          <t>OSWALDO NETO</t>
        </is>
      </c>
      <c r="H2504" t="inlineStr">
        <is>
          <t>HAITIANOS ABANDONADOS EM AEROPORTO SERÃO LEVADOS PARA ABRIGOS DO GOVERNO</t>
        </is>
      </c>
      <c r="I2504" t="inlineStr">
        <is>
          <t>GRUPO DE MAIS DE 50 ESTRANGEIROS ESTÁ EM MANAUS HÁ DIAS ESPERANDO RESPOSTA DE COMPANHIA AÉREA. SEGUNDO A SEJUSC, MAIS DE 150 PODEM ESTAR NA MESMA SITUAÇÃO. ANAC OFICIOU COMPANHIA AÉREA A PRESTAR ESCLARECIMENTOS</t>
        </is>
      </c>
      <c r="J2504" t="inlineStr"/>
      <c r="K2504" t="n">
        <v>0</v>
      </c>
      <c r="L2504" t="n">
        <v>1</v>
      </c>
      <c r="M2504" t="n">
        <v>0</v>
      </c>
      <c r="N2504" t="n">
        <v>0</v>
      </c>
      <c r="O2504" t="n">
        <v>2</v>
      </c>
      <c r="P2504">
        <f>HYPERLINK("https://www.acritica.com/manaus/haitianos-abandonados-em-aeroporto-ser-o-levados-para-abrigos-do-governo-1.181605", "URL")</f>
        <v/>
      </c>
      <c r="Q2504">
        <f>HYPERLINK("https://raw.githubusercontent.com/marcosmapl/dataset_imigrantes/main/materias_filtered/a_critica/haitianos/2017/02_mar/html/1.181605_649.html", "HTML")</f>
        <v/>
      </c>
      <c r="R2504">
        <f>HYPERLINK("https://raw.githubusercontent.com/marcosmapl/dataset_imigrantes/main/materias_filtered/a_critica/haitianos/2017/02_mar/txt/1.181605_649.txt", "TXT")</f>
        <v/>
      </c>
    </row>
    <row r="2505">
      <c r="A2505" s="1" t="n">
        <v>2503</v>
      </c>
      <c r="B2505" t="n">
        <v>2017</v>
      </c>
      <c r="C2505" s="2" t="n">
        <v>42797.625</v>
      </c>
      <c r="D2505" t="inlineStr">
        <is>
          <t>G1</t>
        </is>
      </c>
      <c r="E2505" t="inlineStr">
        <is>
          <t>HAITIANOS</t>
        </is>
      </c>
      <c r="F2505" t="inlineStr"/>
      <c r="G2505" t="inlineStr">
        <is>
          <t>RYLODO G1 AM</t>
        </is>
      </c>
      <c r="H2505" t="inlineStr">
        <is>
          <t>HAITIANOS SEGUEM PARA ABRIGOS DO AM APÓS FALHAS EM VOOS DA INSEL AIR</t>
        </is>
      </c>
      <c r="I2505" t="inlineStr"/>
      <c r="J2505" t="inlineStr">
        <is>
          <t>MANAUS, AMAZONAS</t>
        </is>
      </c>
      <c r="K2505" t="n">
        <v>2</v>
      </c>
      <c r="L2505" t="n">
        <v>9</v>
      </c>
      <c r="M2505" t="n">
        <v>0</v>
      </c>
      <c r="N2505" t="n">
        <v>0</v>
      </c>
      <c r="O2505" t="n">
        <v>16</v>
      </c>
      <c r="P2505">
        <f>HYPERLINK("http://g1.globo.com/am/amazonas/noticia/2017/03/haitianos-seguem-para-abrigos-de-manaus-apos-falha-em-voo-da-insel-air.html", "URL")</f>
        <v/>
      </c>
      <c r="Q2505">
        <f>HYPERLINK("https://raw.githubusercontent.com/marcosmapl/dataset_imigrantes/main/materias_filtered/g1/haitianos/2017/02_mar/html/g1_241e93a2-22f3-11ed-b24f-6dbe51e79fca_1825.html", "HTML")</f>
        <v/>
      </c>
      <c r="R2505">
        <f>HYPERLINK("https://raw.githubusercontent.com/marcosmapl/dataset_imigrantes/main/materias_filtered/g1/haitianos/2017/02_mar/txt/g1_241e93a2-22f3-11ed-b24f-6dbe51e79fca_1825.txt", "TXT")</f>
        <v/>
      </c>
    </row>
    <row r="2506">
      <c r="A2506" s="1" t="n">
        <v>2504</v>
      </c>
      <c r="B2506" t="n">
        <v>2017</v>
      </c>
      <c r="C2506" s="2" t="n">
        <v>42797.6125</v>
      </c>
      <c r="D2506" t="inlineStr">
        <is>
          <t>PORTAL AMAZONIA</t>
        </is>
      </c>
      <c r="E2506" t="inlineStr">
        <is>
          <t>HAITIANOS</t>
        </is>
      </c>
      <c r="F2506" t="inlineStr">
        <is>
          <t>CIDADES</t>
        </is>
      </c>
      <c r="G2506" t="inlineStr">
        <is>
          <t>REDAÇÃO</t>
        </is>
      </c>
      <c r="H2506" t="inlineStr">
        <is>
          <t>HAITIANOS PROTESTAM CONTRA COMPANHIA AÉREA EM MANAUS</t>
        </is>
      </c>
      <c r="I2506" t="inlineStr">
        <is>
          <t>ASSIM COMO ACONTECEU AOS PASSAGEIROS MANAUARAS EM CURAÇÃO, NO CARIBE, CERCA DE 150 HAITIANOS TIVERAM O VOO CANCELADO SEM AVISO PRÉVIO PELA COMPANHIA AÉREA INSEL AIR. O PROGRAMA DE ORIENTAÇÃO DE PROTEÇÃO DO CONSUMIDOR DO AMAZONAS (PROCON-AM) E A SECRE</t>
        </is>
      </c>
      <c r="J2506" t="inlineStr">
        <is>
          <t>AMAZONAS, INSEL AIR, MANAUS, TRANSTORNO, VOO CANCELADO</t>
        </is>
      </c>
      <c r="K2506" t="n">
        <v>5</v>
      </c>
      <c r="L2506" t="n">
        <v>2</v>
      </c>
      <c r="M2506" t="n">
        <v>0</v>
      </c>
      <c r="N2506" t="n">
        <v>0</v>
      </c>
      <c r="O2506" t="n">
        <v>10</v>
      </c>
      <c r="P2506">
        <f>HYPERLINK("https://portalamazonia.com/noticias/cidades/haitianos-protestam-contra-companhia-aerea-em-manaus-1", "URL")</f>
        <v/>
      </c>
      <c r="Q2506">
        <f>HYPERLINK("https://raw.githubusercontent.com/marcosmapl/dataset_imigrantes/main/materias_filtered/portal_amazonia/haitianos/2017/02_mar/html/20465.20465_1616.html", "HTML")</f>
        <v/>
      </c>
      <c r="R2506">
        <f>HYPERLINK("https://raw.githubusercontent.com/marcosmapl/dataset_imigrantes/main/materias_filtered/portal_amazonia/haitianos/2017/02_mar/txt/20465.20465_1616.txt", "TXT")</f>
        <v/>
      </c>
    </row>
    <row r="2507">
      <c r="A2507" s="1" t="n">
        <v>2505</v>
      </c>
      <c r="B2507" t="n">
        <v>2017</v>
      </c>
      <c r="C2507" s="2" t="n">
        <v>42797.53541666667</v>
      </c>
      <c r="D2507" t="inlineStr">
        <is>
          <t>PORTAL AMAZONIA</t>
        </is>
      </c>
      <c r="E2507" t="inlineStr">
        <is>
          <t>HAITIANOS</t>
        </is>
      </c>
      <c r="F2507" t="inlineStr">
        <is>
          <t>NOTÍCIAS</t>
        </is>
      </c>
      <c r="G2507" t="inlineStr">
        <is>
          <t>REDAÇÃO</t>
        </is>
      </c>
      <c r="H2507" t="inlineStr">
        <is>
          <t>HAITIANOS PROTESTAM CONTRA COMPANHIA AÉREA EM MANAUS</t>
        </is>
      </c>
      <c r="I2507" t="inlineStr">
        <is>
          <t>ELES VIAJARIAM PARA CIDADES DO SUL E SUDESTE DO PAÍS, MAS VIAGENS FORAM CANCELADAS PELA COMPANHIA AÉREA INSEL AIR. O GRUPO DIZ NÃO TER PARA ONDE IR DEPOIS QUE A EMPRESA FECHOU A CONTA DO HOTEL ONDE ESTAVAM HOSPEDADOS À ESPERA DE REMANEJAMENTO PARA OU</t>
        </is>
      </c>
      <c r="J2507" t="inlineStr">
        <is>
          <t>AEROPORTO, HAITIANOS, MANAUS, PROTESTAM</t>
        </is>
      </c>
      <c r="K2507" t="n">
        <v>4</v>
      </c>
      <c r="L2507" t="n">
        <v>1</v>
      </c>
      <c r="M2507" t="n">
        <v>0</v>
      </c>
      <c r="N2507" t="n">
        <v>0</v>
      </c>
      <c r="O2507" t="n">
        <v>12</v>
      </c>
      <c r="P2507">
        <f>HYPERLINK("https://portalamazonia.com/noticias/haitianos-protestam-contra-companhia-aerea-em-manaus", "URL")</f>
        <v/>
      </c>
      <c r="Q2507">
        <f>HYPERLINK("https://raw.githubusercontent.com/marcosmapl/dataset_imigrantes/main/materias_filtered/portal_amazonia/haitianos/2017/02_mar/html/20459.20459_1393.html", "HTML")</f>
        <v/>
      </c>
      <c r="R2507">
        <f>HYPERLINK("https://raw.githubusercontent.com/marcosmapl/dataset_imigrantes/main/materias_filtered/portal_amazonia/haitianos/2017/02_mar/txt/20459.20459_1393.txt", "TXT")</f>
        <v/>
      </c>
    </row>
    <row r="2508">
      <c r="A2508" s="1" t="n">
        <v>2506</v>
      </c>
      <c r="B2508" t="n">
        <v>2017</v>
      </c>
      <c r="C2508" s="2" t="n">
        <v>42797.44930555556</v>
      </c>
      <c r="D2508" t="inlineStr">
        <is>
          <t>G1</t>
        </is>
      </c>
      <c r="E2508" t="inlineStr">
        <is>
          <t>HAITIANOS</t>
        </is>
      </c>
      <c r="F2508" t="inlineStr"/>
      <c r="G2508" t="inlineStr">
        <is>
          <t>RYLODO G1 AM</t>
        </is>
      </c>
      <c r="H2508" t="inlineStr">
        <is>
          <t>INSEL AIR PODE SER MULTADA EM ATÉ R$ 3 MILHÕES POR FALHA EM VOO DE HAITIANOS</t>
        </is>
      </c>
      <c r="I2508" t="inlineStr"/>
      <c r="J2508" t="inlineStr">
        <is>
          <t>MANAUS, AMAZONAS</t>
        </is>
      </c>
      <c r="K2508" t="n">
        <v>2</v>
      </c>
      <c r="L2508" t="n">
        <v>4</v>
      </c>
      <c r="M2508" t="n">
        <v>0</v>
      </c>
      <c r="N2508" t="n">
        <v>0</v>
      </c>
      <c r="O2508" t="n">
        <v>15</v>
      </c>
      <c r="P2508">
        <f>HYPERLINK("http://g1.globo.com/am/amazonas/noticia/2017/03/insel-air-pode-ser-multada-em-ate-r-3-milhoes-por-falha-em-voo-de-haitianos.html", "URL")</f>
        <v/>
      </c>
      <c r="Q2508">
        <f>HYPERLINK("https://raw.githubusercontent.com/marcosmapl/dataset_imigrantes/main/materias_filtered/g1/haitianos/2017/02_mar/html/g1_b99264d8-22f1-11ed-b24f-6dbe51e79fca_1763.html", "HTML")</f>
        <v/>
      </c>
      <c r="R2508">
        <f>HYPERLINK("https://raw.githubusercontent.com/marcosmapl/dataset_imigrantes/main/materias_filtered/g1/haitianos/2017/02_mar/txt/g1_b99264d8-22f1-11ed-b24f-6dbe51e79fca_1763.txt", "TXT")</f>
        <v/>
      </c>
    </row>
    <row r="2509">
      <c r="A2509" s="1" t="n">
        <v>2507</v>
      </c>
      <c r="B2509" t="n">
        <v>2017</v>
      </c>
      <c r="C2509" s="2" t="n">
        <v>42797.33125</v>
      </c>
      <c r="D2509" t="inlineStr">
        <is>
          <t>G1</t>
        </is>
      </c>
      <c r="E2509" t="inlineStr">
        <is>
          <t>HAITIANOS</t>
        </is>
      </c>
      <c r="F2509" t="inlineStr"/>
      <c r="G2509" t="inlineStr">
        <is>
          <t>EN GONÇALVESDO G1 AM</t>
        </is>
      </c>
      <c r="H2509" t="inlineStr">
        <is>
          <t>HAITIANO TENTA CHEGAR A SP APÓS SER DEIXADO POR COMPANHIA AÉREA NO AM</t>
        </is>
      </c>
      <c r="I2509" t="inlineStr"/>
      <c r="J2509" t="inlineStr">
        <is>
          <t>MANAUS, AMAZONAS, HAITI</t>
        </is>
      </c>
      <c r="K2509" t="n">
        <v>3</v>
      </c>
      <c r="L2509" t="n">
        <v>6</v>
      </c>
      <c r="M2509" t="n">
        <v>0</v>
      </c>
      <c r="N2509" t="n">
        <v>0</v>
      </c>
      <c r="O2509" t="n">
        <v>15</v>
      </c>
      <c r="P2509">
        <f>HYPERLINK("http://g1.globo.com/am/amazonas/noticia/2017/03/haitiano-tenta-chegar-sp-apos-ser-deixado-por-companhia-aerea-no-am.html", "URL")</f>
        <v/>
      </c>
      <c r="Q2509">
        <f>HYPERLINK("https://raw.githubusercontent.com/marcosmapl/dataset_imigrantes/main/materias_filtered/g1/haitianos/2017/02_mar/html/g1_6d5c36c8-232a-11ed-b24f-6dbe51e79fca_4179.html", "HTML")</f>
        <v/>
      </c>
      <c r="R2509">
        <f>HYPERLINK("https://raw.githubusercontent.com/marcosmapl/dataset_imigrantes/main/materias_filtered/g1/haitianos/2017/02_mar/txt/g1_6d5c36c8-232a-11ed-b24f-6dbe51e79fca_4179.txt", "TXT")</f>
        <v/>
      </c>
    </row>
    <row r="2510">
      <c r="A2510" s="1" t="n">
        <v>2508</v>
      </c>
      <c r="B2510" t="n">
        <v>2017</v>
      </c>
      <c r="C2510" s="2" t="n">
        <v>42797.11597222222</v>
      </c>
      <c r="D2510" t="inlineStr">
        <is>
          <t>A CRITICA</t>
        </is>
      </c>
      <c r="E2510" t="inlineStr">
        <is>
          <t>HAITIANOS</t>
        </is>
      </c>
      <c r="F2510" t="inlineStr">
        <is>
          <t>MANAUS</t>
        </is>
      </c>
      <c r="G2510" t="inlineStr">
        <is>
          <t>DANTE GRAÇA</t>
        </is>
      </c>
      <c r="H2510" t="inlineStr">
        <is>
          <t>HAITIANOS SÃO ABANDONADOS NO AEROPORTO DE MANAUS APÓS PROBLEMAS COM A INSEL AIR</t>
        </is>
      </c>
      <c r="I2510" t="inlineStr">
        <is>
          <t>SEM DINHEIRO E SEM QUALQUER AUXÍLIO DA COMPANHIA AÉREA, GRUPO DE HAITIANOS RELATA FALTA DE RESPEITO E PERDA DE EMPREGOS EM CIDADES DO PAÍS POR CONTA DA SITUAÇÃO</t>
        </is>
      </c>
      <c r="J2510" t="inlineStr"/>
      <c r="K2510" t="n">
        <v>0</v>
      </c>
      <c r="L2510" t="n">
        <v>1</v>
      </c>
      <c r="M2510" t="n">
        <v>0</v>
      </c>
      <c r="N2510" t="n">
        <v>0</v>
      </c>
      <c r="O2510" t="n">
        <v>1</v>
      </c>
      <c r="P2510">
        <f>HYPERLINK("https://www.acritica.com/manaus/haitianos-s-o-abandonados-no-aeroporto-de-manaus-apos-problemas-com-a-insel-air-1.181413", "URL")</f>
        <v/>
      </c>
      <c r="Q2510">
        <f>HYPERLINK("https://raw.githubusercontent.com/marcosmapl/dataset_imigrantes/main/materias_filtered/a_critica/haitianos/2017/02_mar/html/1.181413_311.html", "HTML")</f>
        <v/>
      </c>
      <c r="R2510">
        <f>HYPERLINK("https://raw.githubusercontent.com/marcosmapl/dataset_imigrantes/main/materias_filtered/a_critica/haitianos/2017/02_mar/txt/1.181413_311.txt", "TXT")</f>
        <v/>
      </c>
    </row>
    <row r="2511">
      <c r="A2511" s="1" t="n">
        <v>2509</v>
      </c>
      <c r="B2511" t="n">
        <v>2017</v>
      </c>
      <c r="C2511" s="2" t="n">
        <v>42796.99930555555</v>
      </c>
      <c r="D2511" t="inlineStr">
        <is>
          <t>G1</t>
        </is>
      </c>
      <c r="E2511" t="inlineStr">
        <is>
          <t>HAITIANOS</t>
        </is>
      </c>
      <c r="F2511" t="inlineStr"/>
      <c r="G2511" t="inlineStr">
        <is>
          <t>EN GONÇALVES, JAMILE ALVES E CAMILA HENRIQUES*DO G1 AM</t>
        </is>
      </c>
      <c r="H2511" t="inlineStr">
        <is>
          <t>HAITIANOS DEIXADOS NO AM PROTESTAM EM AEROPORTO CONTRA COMPANHIA AÉREA</t>
        </is>
      </c>
      <c r="I2511" t="inlineStr"/>
      <c r="J2511" t="inlineStr">
        <is>
          <t>MANAUS, BOA VISTA</t>
        </is>
      </c>
      <c r="K2511" t="n">
        <v>2</v>
      </c>
      <c r="L2511" t="n">
        <v>5</v>
      </c>
      <c r="M2511" t="n">
        <v>0</v>
      </c>
      <c r="N2511" t="n">
        <v>0</v>
      </c>
      <c r="O2511" t="n">
        <v>15</v>
      </c>
      <c r="P2511">
        <f>HYPERLINK("http://g1.globo.com/am/amazonas/noticia/2017/03/haitianos-deixados-no-am-protestam-em-aeroporto-contra-companhia-aerea.html", "URL")</f>
        <v/>
      </c>
      <c r="Q2511">
        <f>HYPERLINK("https://raw.githubusercontent.com/marcosmapl/dataset_imigrantes/main/materias_filtered/g1/haitianos/2017/02_mar/html/g1_01e38458-22fa-11ed-b24f-6dbe51e79fca_2194.html", "HTML")</f>
        <v/>
      </c>
      <c r="R2511">
        <f>HYPERLINK("https://raw.githubusercontent.com/marcosmapl/dataset_imigrantes/main/materias_filtered/g1/haitianos/2017/02_mar/txt/g1_01e38458-22fa-11ed-b24f-6dbe51e79fca_2194.txt", "TXT")</f>
        <v/>
      </c>
    </row>
    <row r="2512">
      <c r="A2512" s="1" t="n">
        <v>2510</v>
      </c>
      <c r="B2512" t="n">
        <v>2017</v>
      </c>
      <c r="C2512" s="2" t="n">
        <v>42796.71527777778</v>
      </c>
      <c r="D2512" t="inlineStr">
        <is>
          <t>G1</t>
        </is>
      </c>
      <c r="E2512" t="inlineStr">
        <is>
          <t>VENEZUELANOS</t>
        </is>
      </c>
      <c r="F2512" t="inlineStr"/>
      <c r="G2512" t="inlineStr">
        <is>
          <t>SON FÉLIXDO G1 RR</t>
        </is>
      </c>
      <c r="H2512" t="inlineStr">
        <is>
          <t>VENEZUELANA É PRESA EM RR POR FAZER CIRURGIAS ESTÉTICAS EM CLÍNICA ILEGAL</t>
        </is>
      </c>
      <c r="I2512" t="inlineStr"/>
      <c r="J2512" t="inlineStr">
        <is>
          <t>BOA VISTA</t>
        </is>
      </c>
      <c r="K2512" t="n">
        <v>1</v>
      </c>
      <c r="L2512" t="n">
        <v>4</v>
      </c>
      <c r="M2512" t="n">
        <v>0</v>
      </c>
      <c r="N2512" t="n">
        <v>0</v>
      </c>
      <c r="O2512" t="n">
        <v>13</v>
      </c>
      <c r="P2512">
        <f>HYPERLINK("http://g1.globo.com/rr/roraima/noticia/2017/03/venezuelana-e-presa-em-rr-por-fazer-cirurgias-esteticass-em-clinica-ilegal.html", "URL")</f>
        <v/>
      </c>
      <c r="Q2512">
        <f>HYPERLINK("https://raw.githubusercontent.com/marcosmapl/dataset_imigrantes/main/materias_filtered/g1/venezuelanos/2017/02_mar/html/g1_e8bc809a-2323-11ed-b24f-6dbe51e79fca_3835.html", "HTML")</f>
        <v/>
      </c>
      <c r="R2512">
        <f>HYPERLINK("https://raw.githubusercontent.com/marcosmapl/dataset_imigrantes/main/materias_filtered/g1/venezuelanos/2017/02_mar/txt/g1_e8bc809a-2323-11ed-b24f-6dbe51e79fca_3835.txt", "TXT")</f>
        <v/>
      </c>
    </row>
    <row r="2513">
      <c r="A2513" s="1" t="n">
        <v>2511</v>
      </c>
      <c r="B2513" t="n">
        <v>2017</v>
      </c>
      <c r="C2513" s="2" t="n">
        <v>42795.38472222222</v>
      </c>
      <c r="D2513" t="inlineStr">
        <is>
          <t>G1</t>
        </is>
      </c>
      <c r="E2513" t="inlineStr">
        <is>
          <t>HAITIANOS</t>
        </is>
      </c>
      <c r="F2513" t="inlineStr"/>
      <c r="G2513" t="inlineStr">
        <is>
          <t>1 MT</t>
        </is>
      </c>
      <c r="H2513" t="inlineStr">
        <is>
          <t>HAITIANO QUE FICOU TETRAPLÉGICO APÓS TIRO REENCONTRA OS FILHOS APÓS 3 ANOS</t>
        </is>
      </c>
      <c r="I2513" t="inlineStr"/>
      <c r="J2513" t="inlineStr">
        <is>
          <t>CUIABÁ</t>
        </is>
      </c>
      <c r="K2513" t="n">
        <v>1</v>
      </c>
      <c r="L2513" t="n">
        <v>3</v>
      </c>
      <c r="M2513" t="n">
        <v>0</v>
      </c>
      <c r="N2513" t="n">
        <v>0</v>
      </c>
      <c r="O2513" t="n">
        <v>16</v>
      </c>
      <c r="P2513">
        <f>HYPERLINK("http://g1.globo.com/mato-grosso/noticia/2017/03/haitiano-que-ficou-tetraplegico-apos-tiro-reencontra-os-filhos-apos-3-anos.html", "URL")</f>
        <v/>
      </c>
      <c r="Q2513">
        <f>HYPERLINK("https://raw.githubusercontent.com/marcosmapl/dataset_imigrantes/main/materias_filtered/g1/haitianos/2017/02_mar/html/g1_116ef87a-22f1-11ed-b24f-6dbe51e79fca_1733.html", "HTML")</f>
        <v/>
      </c>
      <c r="R2513">
        <f>HYPERLINK("https://raw.githubusercontent.com/marcosmapl/dataset_imigrantes/main/materias_filtered/g1/haitianos/2017/02_mar/txt/g1_116ef87a-22f1-11ed-b24f-6dbe51e79fca_1733.txt", "TXT")</f>
        <v/>
      </c>
    </row>
    <row r="2514">
      <c r="A2514" s="1" t="n">
        <v>2512</v>
      </c>
      <c r="B2514" t="n">
        <v>2017</v>
      </c>
      <c r="C2514" s="2" t="n">
        <v>42793.93611111111</v>
      </c>
      <c r="D2514" t="inlineStr">
        <is>
          <t>G1</t>
        </is>
      </c>
      <c r="E2514" t="inlineStr">
        <is>
          <t>HAITIANOS</t>
        </is>
      </c>
      <c r="F2514" t="inlineStr"/>
      <c r="G2514" t="inlineStr">
        <is>
          <t>1 RS</t>
        </is>
      </c>
      <c r="H2514" t="inlineStr">
        <is>
          <t>CAMPANHA NA INTERNET ARRECADA VALOR PARA HAITIANA TRAZER FILHOS AO BRASIL</t>
        </is>
      </c>
      <c r="I2514" t="inlineStr"/>
      <c r="J2514" t="inlineStr"/>
      <c r="K2514" t="n">
        <v>0</v>
      </c>
      <c r="L2514" t="n">
        <v>1</v>
      </c>
      <c r="M2514" t="n">
        <v>0</v>
      </c>
      <c r="N2514" t="n">
        <v>0</v>
      </c>
      <c r="O2514" t="n">
        <v>8</v>
      </c>
      <c r="P2514">
        <f>HYPERLINK("http://g1.globo.com/rs/rio-grande-do-sul/noticia/2017/02/campanha-na-internet-arrecada-valor-para-haitiana-trazer-filhos-ao-brasil.html", "URL")</f>
        <v/>
      </c>
      <c r="Q2514">
        <f>HYPERLINK("https://raw.githubusercontent.com/marcosmapl/dataset_imigrantes/main/materias_filtered/g1/haitianos/2017/01_fev/html/g1_72433484-2307-11ed-b24f-6dbe51e79fca_2318.html", "HTML")</f>
        <v/>
      </c>
      <c r="R2514">
        <f>HYPERLINK("https://raw.githubusercontent.com/marcosmapl/dataset_imigrantes/main/materias_filtered/g1/haitianos/2017/01_fev/txt/g1_72433484-2307-11ed-b24f-6dbe51e79fca_2318.txt", "TXT")</f>
        <v/>
      </c>
    </row>
    <row r="2515">
      <c r="A2515" s="1" t="n">
        <v>2513</v>
      </c>
      <c r="B2515" t="n">
        <v>2017</v>
      </c>
      <c r="C2515" s="2" t="n">
        <v>42792.06032407407</v>
      </c>
      <c r="D2515" t="inlineStr">
        <is>
          <t>A CRITICA</t>
        </is>
      </c>
      <c r="E2515" t="inlineStr">
        <is>
          <t>VENEZUELANOS</t>
        </is>
      </c>
      <c r="F2515" t="inlineStr"/>
      <c r="G2515" t="inlineStr">
        <is>
          <t>LAYNNA FEITOZA</t>
        </is>
      </c>
      <c r="H2515" t="inlineStr">
        <is>
          <t>CAPRICHANDO NAS FANTASIAS, FAMÍLIA DE VENEZUELANOS CURTE A FESTA NO SAMBÓDROMO</t>
        </is>
      </c>
      <c r="I2515" t="inlineStr">
        <is>
          <t>DANÇARINO DO BALÉ FOLCLÓRICO TROUXE FAMÍLIA PARA MANAUS POR CONTA DA CRISE VENEZUELANA E TODOS MOSTRAM SAMBA NO PÉ</t>
        </is>
      </c>
      <c r="J2515" t="inlineStr"/>
      <c r="K2515" t="n">
        <v>0</v>
      </c>
      <c r="L2515" t="n">
        <v>1</v>
      </c>
      <c r="M2515" t="n">
        <v>0</v>
      </c>
      <c r="N2515" t="n">
        <v>0</v>
      </c>
      <c r="O2515" t="n">
        <v>0</v>
      </c>
      <c r="P2515">
        <f>HYPERLINK("https://www.acritica.com/caprichando-nas-fantasias-familia-de-venezuelanos-curte-a-festa-no-sambodromo-1.95364", "URL")</f>
        <v/>
      </c>
      <c r="Q2515">
        <f>HYPERLINK("https://raw.githubusercontent.com/marcosmapl/dataset_imigrantes/main/materias_filtered/a_critica/venezuelanos/2017/01_fev/html/1.95364_665.html", "HTML")</f>
        <v/>
      </c>
      <c r="R2515">
        <f>HYPERLINK("https://raw.githubusercontent.com/marcosmapl/dataset_imigrantes/main/materias_filtered/a_critica/venezuelanos/2017/01_fev/txt/1.95364_665.txt", "TXT")</f>
        <v/>
      </c>
    </row>
    <row r="2516">
      <c r="A2516" s="1" t="n">
        <v>2514</v>
      </c>
      <c r="B2516" t="n">
        <v>2017</v>
      </c>
      <c r="C2516" s="2" t="n">
        <v>42786.50208333333</v>
      </c>
      <c r="D2516" t="inlineStr">
        <is>
          <t>G1</t>
        </is>
      </c>
      <c r="E2516" t="inlineStr">
        <is>
          <t>HAITIANOS</t>
        </is>
      </c>
      <c r="F2516" t="inlineStr"/>
      <c r="G2516" t="inlineStr">
        <is>
          <t>1 PR</t>
        </is>
      </c>
      <c r="H2516" t="inlineStr">
        <is>
          <t>ASSISTÊNCIA SOCIAL DE PATO BRANCO ABRE 710 VAGAS EM CURSOS GRATUITOS</t>
        </is>
      </c>
      <c r="I2516" t="inlineStr"/>
      <c r="J2516" t="inlineStr"/>
      <c r="K2516" t="n">
        <v>0</v>
      </c>
      <c r="L2516" t="n">
        <v>0</v>
      </c>
      <c r="M2516" t="n">
        <v>0</v>
      </c>
      <c r="N2516" t="n">
        <v>0</v>
      </c>
      <c r="O2516" t="n">
        <v>8</v>
      </c>
      <c r="P2516">
        <f>HYPERLINK("http://g1.globo.com/pr/oeste-sudoeste/noticia/2017/02/assistencia-social-de-pato-branco-abre-710-vagas-em-cursos-gratuitos.html", "URL")</f>
        <v/>
      </c>
      <c r="Q2516">
        <f>HYPERLINK("https://raw.githubusercontent.com/marcosmapl/dataset_imigrantes/main/materias_filtered/g1/haitianos/2017/01_fev/html/g1_1429b8b4-22ee-11ed-b24f-6dbe51e79fca_1698.html", "HTML")</f>
        <v/>
      </c>
      <c r="R2516">
        <f>HYPERLINK("https://raw.githubusercontent.com/marcosmapl/dataset_imigrantes/main/materias_filtered/g1/haitianos/2017/01_fev/txt/g1_1429b8b4-22ee-11ed-b24f-6dbe51e79fca_1698.txt", "TXT")</f>
        <v/>
      </c>
    </row>
    <row r="2517">
      <c r="A2517" s="1" t="n">
        <v>2515</v>
      </c>
      <c r="B2517" t="n">
        <v>2017</v>
      </c>
      <c r="C2517" s="2" t="n">
        <v>42784.73194444444</v>
      </c>
      <c r="D2517" t="inlineStr">
        <is>
          <t>PORTAL AMAZONIA</t>
        </is>
      </c>
      <c r="E2517" t="inlineStr">
        <is>
          <t>VENEZUELANOS</t>
        </is>
      </c>
      <c r="F2517" t="inlineStr">
        <is>
          <t>CIDADES</t>
        </is>
      </c>
      <c r="G2517" t="inlineStr">
        <is>
          <t>REDAÇÃO</t>
        </is>
      </c>
      <c r="H2517" t="inlineStr">
        <is>
          <t>RORAIMA ESPERA MAIOR MIGRAÇÃO DE VENEZUELANOS ESTE ANO</t>
        </is>
      </c>
      <c r="I2517" t="inlineStr">
        <is>
          <t>EM BUSCA DE UMA MELHOR QUALIDADE DE VIDA E FUGINDO DAS CRISES POLÍTICA E ECONÔMICA NO PAÍS, MILHARES DE VENEZUELANOS ESTÃO MIGRANDO PARA O BRASIL. DE 2015 PARA 2016, O NÚMERO DE PEDIDOS DE REFÚGIOS DE VENEZUELANOS AO BRASIL CRESCEU 3.000%. O ÊXODO SE</t>
        </is>
      </c>
      <c r="J2517" t="inlineStr">
        <is>
          <t>BOA VISTA, MIGRACAO, RORAIMA, VENEZUELA</t>
        </is>
      </c>
      <c r="K2517" t="n">
        <v>4</v>
      </c>
      <c r="L2517" t="n">
        <v>2</v>
      </c>
      <c r="M2517" t="n">
        <v>0</v>
      </c>
      <c r="N2517" t="n">
        <v>0</v>
      </c>
      <c r="O2517" t="n">
        <v>9</v>
      </c>
      <c r="P2517">
        <f>HYPERLINK("https://portalamazonia.com/noticias/cidades/roraima-espera-maior-migracao-de-venezuelanos-este-ano", "URL")</f>
        <v/>
      </c>
      <c r="Q2517">
        <f>HYPERLINK("https://raw.githubusercontent.com/marcosmapl/dataset_imigrantes/main/materias_filtered/portal_amazonia/venezuelanos/2017/01_fev/html/20066.20066_1492.html", "HTML")</f>
        <v/>
      </c>
      <c r="R2517">
        <f>HYPERLINK("https://raw.githubusercontent.com/marcosmapl/dataset_imigrantes/main/materias_filtered/portal_amazonia/venezuelanos/2017/01_fev/txt/20066.20066_1492.txt", "TXT")</f>
        <v/>
      </c>
    </row>
    <row r="2518">
      <c r="A2518" s="1" t="n">
        <v>2516</v>
      </c>
      <c r="B2518" t="n">
        <v>2017</v>
      </c>
      <c r="C2518" s="2" t="n">
        <v>42783.91875</v>
      </c>
      <c r="D2518" t="inlineStr">
        <is>
          <t>G1</t>
        </is>
      </c>
      <c r="E2518" t="inlineStr">
        <is>
          <t>VENEZUELANOS</t>
        </is>
      </c>
      <c r="F2518" t="inlineStr"/>
      <c r="G2518" t="inlineStr">
        <is>
          <t>ELO MARQUESDO G1 RR</t>
        </is>
      </c>
      <c r="H2518" t="inlineStr">
        <is>
          <t>VENEZUELANAS GRÁVIDAS SE PASSAM POR CLIENTES E FURTAM FARMÁCIA EM RORAIMA</t>
        </is>
      </c>
      <c r="I2518" t="inlineStr"/>
      <c r="J2518" t="inlineStr">
        <is>
          <t>BOA VISTA</t>
        </is>
      </c>
      <c r="K2518" t="n">
        <v>1</v>
      </c>
      <c r="L2518" t="n">
        <v>3</v>
      </c>
      <c r="M2518" t="n">
        <v>0</v>
      </c>
      <c r="N2518" t="n">
        <v>0</v>
      </c>
      <c r="O2518" t="n">
        <v>15</v>
      </c>
      <c r="P2518">
        <f>HYPERLINK("http://g1.globo.com/rr/roraima/noticia/2017/02/venezuelanas-gravidas-se-passam-por-clientes-e-furtam-farmacia-em-roraima.html", "URL")</f>
        <v/>
      </c>
      <c r="Q2518">
        <f>HYPERLINK("https://raw.githubusercontent.com/marcosmapl/dataset_imigrantes/main/materias_filtered/g1/venezuelanos/2017/01_fev/html/g1_4f91ac90-231b-11ed-b24f-6dbe51e79fca_3378.html", "HTML")</f>
        <v/>
      </c>
      <c r="R2518">
        <f>HYPERLINK("https://raw.githubusercontent.com/marcosmapl/dataset_imigrantes/main/materias_filtered/g1/venezuelanos/2017/01_fev/txt/g1_4f91ac90-231b-11ed-b24f-6dbe51e79fca_3378.txt", "TXT")</f>
        <v/>
      </c>
    </row>
    <row r="2519">
      <c r="A2519" s="1" t="n">
        <v>2517</v>
      </c>
      <c r="B2519" t="n">
        <v>2017</v>
      </c>
      <c r="C2519" s="2" t="n">
        <v>42782.94861111111</v>
      </c>
      <c r="D2519" t="inlineStr">
        <is>
          <t>A CRITICA</t>
        </is>
      </c>
      <c r="E2519" t="inlineStr">
        <is>
          <t>HAITIANOS</t>
        </is>
      </c>
      <c r="F2519" t="inlineStr">
        <is>
          <t>ENTRETENIMENTO</t>
        </is>
      </c>
      <c r="G2519" t="inlineStr">
        <is>
          <t>RAFAEL SEIXAS</t>
        </is>
      </c>
      <c r="H2519" t="inlineStr">
        <is>
          <t>GRUPO DE HAITIANOS SENSATION + FAZEM A FESTA EM EVENTO NO BAIRRO SÃO GERALDO</t>
        </is>
      </c>
      <c r="I2519" t="inlineStr">
        <is>
          <t>A BANDA EXISTE HÁ MAIS DE UM ANO E FOI FORMADA EM MANAUS. NO REPERTÓRIO, ELES TOCAM REGGAETON E ZUMBA, ZOUK</t>
        </is>
      </c>
      <c r="J2519" t="inlineStr"/>
      <c r="K2519" t="n">
        <v>0</v>
      </c>
      <c r="L2519" t="n">
        <v>1</v>
      </c>
      <c r="M2519" t="n">
        <v>0</v>
      </c>
      <c r="N2519" t="n">
        <v>0</v>
      </c>
      <c r="O2519" t="n">
        <v>0</v>
      </c>
      <c r="P2519">
        <f>HYPERLINK("https://www.acritica.com/entretenimento/grupo-de-haitianos-sensation-fazem-a-festa-em-evento-no-bairro-s-o-geraldo-1.97949", "URL")</f>
        <v/>
      </c>
      <c r="Q2519">
        <f>HYPERLINK("https://raw.githubusercontent.com/marcosmapl/dataset_imigrantes/main/materias_filtered/a_critica/haitianos/2017/01_fev/html/1.97949_171.html", "HTML")</f>
        <v/>
      </c>
      <c r="R2519">
        <f>HYPERLINK("https://raw.githubusercontent.com/marcosmapl/dataset_imigrantes/main/materias_filtered/a_critica/haitianos/2017/01_fev/txt/1.97949_171.txt", "TXT")</f>
        <v/>
      </c>
    </row>
    <row r="2520">
      <c r="A2520" s="1" t="n">
        <v>2518</v>
      </c>
      <c r="B2520" t="n">
        <v>2017</v>
      </c>
      <c r="C2520" s="2" t="n">
        <v>42780.37361111111</v>
      </c>
      <c r="D2520" t="inlineStr">
        <is>
          <t>G1</t>
        </is>
      </c>
      <c r="E2520" t="inlineStr">
        <is>
          <t>HAITIANOS</t>
        </is>
      </c>
      <c r="F2520" t="inlineStr"/>
      <c r="G2520" t="inlineStr">
        <is>
          <t>1 RS</t>
        </is>
      </c>
      <c r="H2520" t="inlineStr">
        <is>
          <t>PRESO SUSPEITO DE MATAR HAITIANO A FACADAS EM PENSÃO DE GRAVATAÍ</t>
        </is>
      </c>
      <c r="I2520" t="inlineStr"/>
      <c r="J2520" t="inlineStr">
        <is>
          <t>ALVORADA, GRAVATAÍ</t>
        </is>
      </c>
      <c r="K2520" t="n">
        <v>2</v>
      </c>
      <c r="L2520" t="n">
        <v>4</v>
      </c>
      <c r="M2520" t="n">
        <v>0</v>
      </c>
      <c r="N2520" t="n">
        <v>0</v>
      </c>
      <c r="O2520" t="n">
        <v>16</v>
      </c>
      <c r="P2520">
        <f>HYPERLINK("http://g1.globo.com/rs/rio-grande-do-sul/noticia/2017/02/preso-suspeito-de-matar-haitiano-facadas-em-pensao-de-gravatai.html", "URL")</f>
        <v/>
      </c>
      <c r="Q2520">
        <f>HYPERLINK("https://raw.githubusercontent.com/marcosmapl/dataset_imigrantes/main/materias_filtered/g1/haitianos/2017/01_fev/html/g1_4016732a-22f5-11ed-b24f-6dbe51e79fca_1938.html", "HTML")</f>
        <v/>
      </c>
      <c r="R2520">
        <f>HYPERLINK("https://raw.githubusercontent.com/marcosmapl/dataset_imigrantes/main/materias_filtered/g1/haitianos/2017/01_fev/txt/g1_4016732a-22f5-11ed-b24f-6dbe51e79fca_1938.txt", "TXT")</f>
        <v/>
      </c>
    </row>
    <row r="2521">
      <c r="A2521" s="1" t="n">
        <v>2519</v>
      </c>
      <c r="B2521" t="n">
        <v>2017</v>
      </c>
      <c r="C2521" s="2" t="n">
        <v>42779.66180555556</v>
      </c>
      <c r="D2521" t="inlineStr">
        <is>
          <t>G1</t>
        </is>
      </c>
      <c r="E2521" t="inlineStr">
        <is>
          <t>HAITIANOS</t>
        </is>
      </c>
      <c r="F2521" t="inlineStr"/>
      <c r="G2521" t="inlineStr">
        <is>
          <t>1 AM</t>
        </is>
      </c>
      <c r="H2521" t="inlineStr">
        <is>
          <t>ESCRITORA DO RJ LANÇA ROMANCE GAY AMBIENTADO NO AMAZONAS</t>
        </is>
      </c>
      <c r="I2521" t="inlineStr"/>
      <c r="J2521" t="inlineStr">
        <is>
          <t>MANAUS</t>
        </is>
      </c>
      <c r="K2521" t="n">
        <v>1</v>
      </c>
      <c r="L2521" t="n">
        <v>7</v>
      </c>
      <c r="M2521" t="n">
        <v>0</v>
      </c>
      <c r="N2521" t="n">
        <v>0</v>
      </c>
      <c r="O2521" t="n">
        <v>15</v>
      </c>
      <c r="P2521">
        <f>HYPERLINK("http://g1.globo.com/am/amazonas/noticia/2017/02/escritora-do-rj-lanca-romance-gay-ambientado-no-amazonas.html", "URL")</f>
        <v/>
      </c>
      <c r="Q2521">
        <f>HYPERLINK("https://raw.githubusercontent.com/marcosmapl/dataset_imigrantes/main/materias_filtered/g1/haitianos/2017/01_fev/html/g1_57922308-230b-11ed-b24f-6dbe51e79fca_2559.html", "HTML")</f>
        <v/>
      </c>
      <c r="R2521">
        <f>HYPERLINK("https://raw.githubusercontent.com/marcosmapl/dataset_imigrantes/main/materias_filtered/g1/haitianos/2017/01_fev/txt/g1_57922308-230b-11ed-b24f-6dbe51e79fca_2559.txt", "TXT")</f>
        <v/>
      </c>
    </row>
    <row r="2522">
      <c r="A2522" s="1" t="n">
        <v>2520</v>
      </c>
      <c r="B2522" t="n">
        <v>2017</v>
      </c>
      <c r="C2522" s="2" t="n">
        <v>42778.33333333334</v>
      </c>
      <c r="D2522" t="inlineStr">
        <is>
          <t>A CRITICA</t>
        </is>
      </c>
      <c r="E2522" t="inlineStr">
        <is>
          <t>VENEZUELANOS</t>
        </is>
      </c>
      <c r="F2522" t="inlineStr">
        <is>
          <t>ESPORTES</t>
        </is>
      </c>
      <c r="G2522" t="inlineStr">
        <is>
          <t>VALTER CARDOSO</t>
        </is>
      </c>
      <c r="H2522" t="inlineStr">
        <is>
          <t>NO AMAZONAS, BEISEBOL REÚNE COLÔNIA JAPONESA, TRAZ TÍTULOS E PROJETO PARA O FUTURO</t>
        </is>
      </c>
      <c r="I2522" t="inlineStr">
        <is>
          <t>JOGADORES DE BEISEBOL DO ESTADO FAZEM SUCESSO EM COMPETIÇÕES REGIONAIS, MAS NÃO CONSEGUEM REALIZAR TORNEIOS AQUI POR FALTA DE TIME. O PROJETO AGORA É INVESTIR NAS PRÓXIMAS GERAÇÕES</t>
        </is>
      </c>
      <c r="J2522" t="inlineStr"/>
      <c r="K2522" t="n">
        <v>0</v>
      </c>
      <c r="L2522" t="n">
        <v>1</v>
      </c>
      <c r="M2522" t="n">
        <v>0</v>
      </c>
      <c r="N2522" t="n">
        <v>0</v>
      </c>
      <c r="O2522" t="n">
        <v>0</v>
      </c>
      <c r="P2522">
        <f>HYPERLINK("https://www.acritica.com/esportes/no-amazonas-beisebol-reune-colonia-japonesa-traz-titulos-e-projeto-para-o-futuro-1.103695", "URL")</f>
        <v/>
      </c>
      <c r="Q2522">
        <f>HYPERLINK("https://raw.githubusercontent.com/marcosmapl/dataset_imigrantes/main/materias_filtered/a_critica/venezuelanos/2017/01_fev/html/1.103695_508.html", "HTML")</f>
        <v/>
      </c>
      <c r="R2522">
        <f>HYPERLINK("https://raw.githubusercontent.com/marcosmapl/dataset_imigrantes/main/materias_filtered/a_critica/venezuelanos/2017/01_fev/txt/1.103695_508.txt", "TXT")</f>
        <v/>
      </c>
    </row>
    <row r="2523">
      <c r="A2523" s="1" t="n">
        <v>2521</v>
      </c>
      <c r="B2523" t="n">
        <v>2017</v>
      </c>
      <c r="C2523" s="2" t="n">
        <v>42776.72013888889</v>
      </c>
      <c r="D2523" t="inlineStr">
        <is>
          <t>A CRITICA</t>
        </is>
      </c>
      <c r="E2523" t="inlineStr">
        <is>
          <t>HAITIANOS</t>
        </is>
      </c>
      <c r="F2523" t="inlineStr">
        <is>
          <t>ENTRETENIMENTO</t>
        </is>
      </c>
      <c r="G2523" t="inlineStr">
        <is>
          <t>ACRÍTICA.COM</t>
        </is>
      </c>
      <c r="H2523" t="inlineStr">
        <is>
          <t>LIVRO 'COM AMOR, AMAZONAS' NARRA ROMANCE ENTRE CABOCLA E NEGRA NA AMAZÔNIA</t>
        </is>
      </c>
      <c r="I2523" t="inlineStr">
        <is>
          <t>A OBRA MISTURA POESIA E FOTOGRAFIA PARA TENTAR QUEBRAR PRECONCEITOS MASCARADOS NA SOCIEDADE</t>
        </is>
      </c>
      <c r="J2523" t="inlineStr"/>
      <c r="K2523" t="n">
        <v>0</v>
      </c>
      <c r="L2523" t="n">
        <v>1</v>
      </c>
      <c r="M2523" t="n">
        <v>0</v>
      </c>
      <c r="N2523" t="n">
        <v>0</v>
      </c>
      <c r="O2523" t="n">
        <v>0</v>
      </c>
      <c r="P2523">
        <f>HYPERLINK("https://www.acritica.com/entretenimento/livro-com-amor-amazonas-narra-romance-entre-cabocla-e-negra-na-amazonia-1.205367", "URL")</f>
        <v/>
      </c>
      <c r="Q2523">
        <f>HYPERLINK("https://raw.githubusercontent.com/marcosmapl/dataset_imigrantes/main/materias_filtered/a_critica/haitianos/2017/01_fev/html/1.205367_367.html", "HTML")</f>
        <v/>
      </c>
      <c r="R2523">
        <f>HYPERLINK("https://raw.githubusercontent.com/marcosmapl/dataset_imigrantes/main/materias_filtered/a_critica/haitianos/2017/01_fev/txt/1.205367_367.txt", "TXT")</f>
        <v/>
      </c>
    </row>
    <row r="2524">
      <c r="A2524" s="1" t="n">
        <v>2522</v>
      </c>
      <c r="B2524" t="n">
        <v>2017</v>
      </c>
      <c r="C2524" s="2" t="n">
        <v>42774.86716435185</v>
      </c>
      <c r="D2524" t="inlineStr">
        <is>
          <t>A CRITICA</t>
        </is>
      </c>
      <c r="E2524" t="inlineStr">
        <is>
          <t>HAITIANOS</t>
        </is>
      </c>
      <c r="F2524" t="inlineStr">
        <is>
          <t>MANAUS</t>
        </is>
      </c>
      <c r="G2524" t="inlineStr">
        <is>
          <t>KELLY MELO</t>
        </is>
      </c>
      <c r="H2524" t="inlineStr">
        <is>
          <t>HAITIANOS RESIDENTES DE MANAUS RECEBEM EM AÇÃO ASSISTÊNCIA MÉDICA E SOCIAL</t>
        </is>
      </c>
      <c r="I2524" t="inlineStr">
        <is>
          <t>O EVENTO ESTÁ OCORRENDO NO BAIRRO NOVO ALEIXO E É ORGANIZADO PELA IGREJA ADVENTISTA DO 7° DIA</t>
        </is>
      </c>
      <c r="J2524" t="inlineStr"/>
      <c r="K2524" t="n">
        <v>0</v>
      </c>
      <c r="L2524" t="n">
        <v>1</v>
      </c>
      <c r="M2524" t="n">
        <v>0</v>
      </c>
      <c r="N2524" t="n">
        <v>0</v>
      </c>
      <c r="O2524" t="n">
        <v>0</v>
      </c>
      <c r="P2524">
        <f>HYPERLINK("https://www.acritica.com/manaus/haitianos-residentes-de-manaus-recebem-em-ac-o-assistencia-medica-e-social-1.205450", "URL")</f>
        <v/>
      </c>
      <c r="Q2524">
        <f>HYPERLINK("https://raw.githubusercontent.com/marcosmapl/dataset_imigrantes/main/materias_filtered/a_critica/haitianos/2017/01_fev/html/1.205450_486.html", "HTML")</f>
        <v/>
      </c>
      <c r="R2524">
        <f>HYPERLINK("https://raw.githubusercontent.com/marcosmapl/dataset_imigrantes/main/materias_filtered/a_critica/haitianos/2017/01_fev/txt/1.205450_486.txt", "TXT")</f>
        <v/>
      </c>
    </row>
    <row r="2525">
      <c r="A2525" s="1" t="n">
        <v>2523</v>
      </c>
      <c r="B2525" t="n">
        <v>2017</v>
      </c>
      <c r="C2525" s="2" t="n">
        <v>42774.54930555556</v>
      </c>
      <c r="D2525" t="inlineStr">
        <is>
          <t>G1</t>
        </is>
      </c>
      <c r="E2525" t="inlineStr">
        <is>
          <t>HAITIANOS</t>
        </is>
      </c>
      <c r="F2525" t="inlineStr"/>
      <c r="G2525" t="inlineStr">
        <is>
          <t>SE SOARESDO G1 MT</t>
        </is>
      </c>
      <c r="H2525" t="inlineStr">
        <is>
          <t>HAITIANOS RECLAMAM DA FALTA DE VAGAS PARA FILHOS EM CRECHES DE CUIABÁ</t>
        </is>
      </c>
      <c r="I2525" t="inlineStr"/>
      <c r="J2525" t="inlineStr"/>
      <c r="K2525" t="n">
        <v>0</v>
      </c>
      <c r="L2525" t="n">
        <v>1</v>
      </c>
      <c r="M2525" t="n">
        <v>0</v>
      </c>
      <c r="N2525" t="n">
        <v>0</v>
      </c>
      <c r="O2525" t="n">
        <v>7</v>
      </c>
      <c r="P2525">
        <f>HYPERLINK("http://g1.globo.com/mato-grosso/noticia/2017/02/haitianos-reclamam-da-falta-de-vagas-para-filhos-em-creches-de-cuiaba.html", "URL")</f>
        <v/>
      </c>
      <c r="Q2525">
        <f>HYPERLINK("https://raw.githubusercontent.com/marcosmapl/dataset_imigrantes/main/materias_filtered/g1/haitianos/2017/01_fev/html/g1_4a433da8-22f3-11ed-b24f-6dbe51e79fca_1834.html", "HTML")</f>
        <v/>
      </c>
      <c r="R2525">
        <f>HYPERLINK("https://raw.githubusercontent.com/marcosmapl/dataset_imigrantes/main/materias_filtered/g1/haitianos/2017/01_fev/txt/g1_4a433da8-22f3-11ed-b24f-6dbe51e79fca_1834.txt", "TXT")</f>
        <v/>
      </c>
    </row>
    <row r="2526">
      <c r="A2526" s="1" t="n">
        <v>2524</v>
      </c>
      <c r="B2526" t="n">
        <v>2017</v>
      </c>
      <c r="C2526" s="2" t="n">
        <v>42774.29166666666</v>
      </c>
      <c r="D2526" t="inlineStr">
        <is>
          <t>A CRITICA</t>
        </is>
      </c>
      <c r="E2526" t="inlineStr">
        <is>
          <t>VENEZUELANOS</t>
        </is>
      </c>
      <c r="F2526" t="inlineStr">
        <is>
          <t>MANAUS</t>
        </is>
      </c>
      <c r="G2526" t="inlineStr">
        <is>
          <t>RAFAEL SEIXAS</t>
        </is>
      </c>
      <c r="H2526" t="inlineStr">
        <is>
          <t>"VIEMOS PARA MANAUS PARA COMER", DIZ ÍNDIA VENEZUELANA QUE VIVE NA RODOVIÁRIA</t>
        </is>
      </c>
      <c r="I2526" t="inlineStr">
        <is>
          <t>GRUPO DE 20 ÍNDIOS WARAO ESTÁ ABRIGADO NA RODOVIÁRIA DE MANAUS HÁ POUCO MAIS DE UMA SEMANA. ELES VIERAM À CIDADE PARA FUGIR DA GRAVE CRISE QUE PASSA A VENEZUELA, COM ESCASSEZ DE ALIMENTOS E MEDICAMENTOS</t>
        </is>
      </c>
      <c r="J2526" t="inlineStr"/>
      <c r="K2526" t="n">
        <v>0</v>
      </c>
      <c r="L2526" t="n">
        <v>1</v>
      </c>
      <c r="M2526" t="n">
        <v>0</v>
      </c>
      <c r="N2526" t="n">
        <v>0</v>
      </c>
      <c r="O2526" t="n">
        <v>0</v>
      </c>
      <c r="P2526">
        <f>HYPERLINK("https://www.acritica.com/manaus/viemos-para-manaus-para-comer-diz-india-venezuelana-que-vive-na-rodoviaria-1.98652", "URL")</f>
        <v/>
      </c>
      <c r="Q2526">
        <f>HYPERLINK("https://raw.githubusercontent.com/marcosmapl/dataset_imigrantes/main/materias_filtered/a_critica/venezuelanos/2017/01_fev/html/1.98652_895.html", "HTML")</f>
        <v/>
      </c>
      <c r="R2526">
        <f>HYPERLINK("https://raw.githubusercontent.com/marcosmapl/dataset_imigrantes/main/materias_filtered/a_critica/venezuelanos/2017/01_fev/txt/1.98652_895.txt", "TXT")</f>
        <v/>
      </c>
    </row>
    <row r="2527">
      <c r="A2527" s="1" t="n">
        <v>2525</v>
      </c>
      <c r="B2527" t="n">
        <v>2017</v>
      </c>
      <c r="C2527" s="2" t="n">
        <v>42774.29166666666</v>
      </c>
      <c r="D2527" t="inlineStr">
        <is>
          <t>A CRITICA</t>
        </is>
      </c>
      <c r="E2527" t="inlineStr">
        <is>
          <t>VENEZUELANOS</t>
        </is>
      </c>
      <c r="F2527" t="inlineStr">
        <is>
          <t>OPINIAO</t>
        </is>
      </c>
      <c r="G2527" t="inlineStr"/>
      <c r="H2527" t="inlineStr">
        <is>
          <t>SOLIDARIEDADE FAZ TODA A DIFERENÇA</t>
        </is>
      </c>
      <c r="I2527" t="inlineStr"/>
      <c r="J2527" t="inlineStr"/>
      <c r="K2527" t="n">
        <v>0</v>
      </c>
      <c r="L2527" t="n">
        <v>1</v>
      </c>
      <c r="M2527" t="n">
        <v>0</v>
      </c>
      <c r="N2527" t="n">
        <v>0</v>
      </c>
      <c r="O2527" t="n">
        <v>0</v>
      </c>
      <c r="P2527">
        <f>HYPERLINK("https://www.acritica.com/opiniao/solidariedade-faz-toda-a-diferenca-1.232814", "URL")</f>
        <v/>
      </c>
      <c r="Q2527">
        <f>HYPERLINK("https://raw.githubusercontent.com/marcosmapl/dataset_imigrantes/main/materias_filtered/a_critica/venezuelanos/2017/01_fev/html/1.232814_1229.html", "HTML")</f>
        <v/>
      </c>
      <c r="R2527">
        <f>HYPERLINK("https://raw.githubusercontent.com/marcosmapl/dataset_imigrantes/main/materias_filtered/a_critica/venezuelanos/2017/01_fev/txt/1.232814_1229.txt", "TXT")</f>
        <v/>
      </c>
    </row>
    <row r="2528">
      <c r="A2528" s="1" t="n">
        <v>2526</v>
      </c>
      <c r="B2528" t="n">
        <v>2017</v>
      </c>
      <c r="C2528" s="2" t="n">
        <v>42773.71819444445</v>
      </c>
      <c r="D2528" t="inlineStr">
        <is>
          <t>A CRITICA</t>
        </is>
      </c>
      <c r="E2528" t="inlineStr">
        <is>
          <t>VENEZUELANOS</t>
        </is>
      </c>
      <c r="F2528" t="inlineStr">
        <is>
          <t>ESPORTES</t>
        </is>
      </c>
      <c r="G2528" t="inlineStr">
        <is>
          <t>ACRÍTICA.COM</t>
        </is>
      </c>
      <c r="H2528" t="inlineStr">
        <is>
          <t>ARGENTINOS DO BOCA JUNIORS DESEMBARCAM EM MANAUS PARA TEMPORADA DE TREINOS</t>
        </is>
      </c>
      <c r="I2528" t="inlineStr">
        <is>
          <t>ESTRANGEIROS TREINAM COM AMAZONENSES NA VILA OLÍMPICA DE MANAUS E INTERCÂMBIO DEVE DURAR 22 DIAS. PRÓXIMOS ATLETAS A REALIZAREM PREPARAÇÃO NA CAPITAL VIRÃO DA VENEZUELA</t>
        </is>
      </c>
      <c r="J2528" t="inlineStr"/>
      <c r="K2528" t="n">
        <v>0</v>
      </c>
      <c r="L2528" t="n">
        <v>1</v>
      </c>
      <c r="M2528" t="n">
        <v>0</v>
      </c>
      <c r="N2528" t="n">
        <v>0</v>
      </c>
      <c r="O2528" t="n">
        <v>0</v>
      </c>
      <c r="P2528">
        <f>HYPERLINK("https://www.acritica.com/esportes/argentinos-do-boca-juniors-desembarcam-em-manaus-para-temporada-de-treinos-1.98627", "URL")</f>
        <v/>
      </c>
      <c r="Q2528">
        <f>HYPERLINK("https://raw.githubusercontent.com/marcosmapl/dataset_imigrantes/main/materias_filtered/a_critica/venezuelanos/2017/01_fev/html/1.98627_1026.html", "HTML")</f>
        <v/>
      </c>
      <c r="R2528">
        <f>HYPERLINK("https://raw.githubusercontent.com/marcosmapl/dataset_imigrantes/main/materias_filtered/a_critica/venezuelanos/2017/01_fev/txt/1.98627_1026.txt", "TXT")</f>
        <v/>
      </c>
    </row>
    <row r="2529">
      <c r="A2529" s="1" t="n">
        <v>2527</v>
      </c>
      <c r="B2529" t="n">
        <v>2017</v>
      </c>
      <c r="C2529" s="2" t="n">
        <v>42773.65903850694</v>
      </c>
      <c r="D2529" t="inlineStr">
        <is>
          <t>G1</t>
        </is>
      </c>
      <c r="E2529" t="inlineStr">
        <is>
          <t>HAITIANOS</t>
        </is>
      </c>
      <c r="F2529" t="inlineStr">
        <is>
          <t>MUNDO</t>
        </is>
      </c>
      <c r="G2529" t="inlineStr">
        <is>
          <t>AGÊNCIA EFE</t>
        </is>
      </c>
      <c r="H2529" t="inlineStr">
        <is>
          <t>JOVENEL MOISE TOMA POSSE COMO NOVO PRESIDENTE DO HAITI</t>
        </is>
      </c>
      <c r="I2529" t="inlineStr">
        <is>
          <t>EMPRESÁRIO DE 48 ANOS, DO PARTIDO HATIANO TET KALE (PHTK), CONQUISTOU A VITÓRIA NO PRIMEIRO TURNO COM 55,6% DOS VOTOS.</t>
        </is>
      </c>
      <c r="J2529" t="inlineStr"/>
      <c r="K2529" t="n">
        <v>0</v>
      </c>
      <c r="L2529" t="n">
        <v>1</v>
      </c>
      <c r="M2529" t="n">
        <v>0</v>
      </c>
      <c r="N2529" t="n">
        <v>0</v>
      </c>
      <c r="O2529" t="n">
        <v>0</v>
      </c>
      <c r="P2529">
        <f>HYPERLINK("https://g1.globo.com/mundo/noticia/jovenel-moise-toma-posse-como-novo-presidente-do-haiti.ghtml", "URL")</f>
        <v/>
      </c>
      <c r="Q2529">
        <f>HYPERLINK("https://raw.githubusercontent.com/marcosmapl/dataset_imigrantes/main/materias_filtered/g1/haitianos/2017/01_fev/html/g1_d8fc8774-2326-11ed-b24f-6dbe51e79fca_4001.html", "HTML")</f>
        <v/>
      </c>
      <c r="R2529">
        <f>HYPERLINK("https://raw.githubusercontent.com/marcosmapl/dataset_imigrantes/main/materias_filtered/g1/haitianos/2017/01_fev/txt/g1_d8fc8774-2326-11ed-b24f-6dbe51e79fca_4001.txt", "TXT")</f>
        <v/>
      </c>
    </row>
    <row r="2530">
      <c r="A2530" s="1" t="n">
        <v>2528</v>
      </c>
      <c r="B2530" t="n">
        <v>2017</v>
      </c>
      <c r="C2530" s="2" t="n">
        <v>42769.25</v>
      </c>
      <c r="D2530" t="inlineStr">
        <is>
          <t>G1</t>
        </is>
      </c>
      <c r="E2530" t="inlineStr">
        <is>
          <t>HAITIANOS</t>
        </is>
      </c>
      <c r="F2530" t="inlineStr"/>
      <c r="G2530" t="inlineStr">
        <is>
          <t>1 SC</t>
        </is>
      </c>
      <c r="H2530" t="inlineStr">
        <is>
          <t>HAITIANO LUTA NA JUSTIÇA APÓS TER 90% DO CORPO QUEIMADO EM ITAJAÍ, SC</t>
        </is>
      </c>
      <c r="I2530" t="inlineStr"/>
      <c r="J2530" t="inlineStr">
        <is>
          <t>ITAJAÍ</t>
        </is>
      </c>
      <c r="K2530" t="n">
        <v>1</v>
      </c>
      <c r="L2530" t="n">
        <v>4</v>
      </c>
      <c r="M2530" t="n">
        <v>0</v>
      </c>
      <c r="N2530" t="n">
        <v>0</v>
      </c>
      <c r="O2530" t="n">
        <v>13</v>
      </c>
      <c r="P2530">
        <f>HYPERLINK("http://g1.globo.com/sc/santa-catarina/noticia/2017/02/haitiano-luta-na-justica-apos-ter-90-do-corpo-queimado-em-itajai-sc.html", "URL")</f>
        <v/>
      </c>
      <c r="Q2530">
        <f>HYPERLINK("https://raw.githubusercontent.com/marcosmapl/dataset_imigrantes/main/materias_filtered/g1/haitianos/2017/01_fev/html/g1_ffddf8ea-22f5-11ed-b24f-6dbe51e79fca_1986.html", "HTML")</f>
        <v/>
      </c>
      <c r="R2530">
        <f>HYPERLINK("https://raw.githubusercontent.com/marcosmapl/dataset_imigrantes/main/materias_filtered/g1/haitianos/2017/01_fev/txt/g1_ffddf8ea-22f5-11ed-b24f-6dbe51e79fca_1986.txt", "TXT")</f>
        <v/>
      </c>
    </row>
    <row r="2531">
      <c r="A2531" s="1" t="n">
        <v>2529</v>
      </c>
      <c r="B2531" t="n">
        <v>2017</v>
      </c>
      <c r="C2531" s="2" t="n">
        <v>42766.56180555555</v>
      </c>
      <c r="D2531" t="inlineStr">
        <is>
          <t>A CRITICA</t>
        </is>
      </c>
      <c r="E2531" t="inlineStr">
        <is>
          <t>VENEZUELANOS</t>
        </is>
      </c>
      <c r="F2531" t="inlineStr">
        <is>
          <t>MANAUS</t>
        </is>
      </c>
      <c r="G2531" t="inlineStr">
        <is>
          <t>KELLY MELO</t>
        </is>
      </c>
      <c r="H2531" t="inlineStr">
        <is>
          <t>ÔNIBUS IRREGULARES ENCURTAM ROTA E GERAM TRANSTORNOS PARA QUEM VAI AO PORTO DA CEASA</t>
        </is>
      </c>
      <c r="I2531" t="inlineStr">
        <is>
          <t>APÓS APREENSÃO DE ÔNIBUS COM DOCUMENTAÇÃO EM ATRASO PELA POLÍCIA RODOVIÁRIA FEDERAL, EMPRESAS DEIXAM USUÁRIOS NO MEIO DO CAMINHO</t>
        </is>
      </c>
      <c r="J2531" t="inlineStr"/>
      <c r="K2531" t="n">
        <v>0</v>
      </c>
      <c r="L2531" t="n">
        <v>1</v>
      </c>
      <c r="M2531" t="n">
        <v>0</v>
      </c>
      <c r="N2531" t="n">
        <v>0</v>
      </c>
      <c r="O2531" t="n">
        <v>0</v>
      </c>
      <c r="P2531">
        <f>HYPERLINK("https://www.acritica.com/manaus/onibus-irregulares-encurtam-rota-e-geram-transtornos-para-quem-vai-ao-porto-da-ceasa-1.178852", "URL")</f>
        <v/>
      </c>
      <c r="Q2531">
        <f>HYPERLINK("https://raw.githubusercontent.com/marcosmapl/dataset_imigrantes/main/materias_filtered/a_critica/venezuelanos/2017/00_jan/html/1.178852_424.html", "HTML")</f>
        <v/>
      </c>
      <c r="R2531">
        <f>HYPERLINK("https://raw.githubusercontent.com/marcosmapl/dataset_imigrantes/main/materias_filtered/a_critica/venezuelanos/2017/00_jan/txt/1.178852_424.txt", "TXT")</f>
        <v/>
      </c>
    </row>
    <row r="2532">
      <c r="A2532" s="1" t="n">
        <v>2530</v>
      </c>
      <c r="B2532" t="n">
        <v>2017</v>
      </c>
      <c r="C2532" s="2" t="n">
        <v>42764.69861111111</v>
      </c>
      <c r="D2532" t="inlineStr">
        <is>
          <t>A CRITICA</t>
        </is>
      </c>
      <c r="E2532" t="inlineStr">
        <is>
          <t>VENEZUELANOS</t>
        </is>
      </c>
      <c r="F2532" t="inlineStr">
        <is>
          <t>ENTRETENIMENTO</t>
        </is>
      </c>
      <c r="G2532" t="inlineStr">
        <is>
          <t>LAYNNA FEITOZA</t>
        </is>
      </c>
      <c r="H2532" t="inlineStr">
        <is>
          <t>MISS AMAZONAS 2004 APRESENTOU ATIVIDADE DO MISS UNIVERSO E PRESTIGIARÁ A GRANDE FINAL</t>
        </is>
      </c>
      <c r="I2532" t="inlineStr">
        <is>
          <t>PRISCILLA MEIRELLES, QUE MORA NAS FILIPINAS HÁ MAIS DE 10 ANOS, FOI CONVIDADA PARA SER A APRESENTADORA DE UMA DAS COMPETIÇÕES DAS PRELIMINARES DO CONCURSO</t>
        </is>
      </c>
      <c r="J2532" t="inlineStr"/>
      <c r="K2532" t="n">
        <v>0</v>
      </c>
      <c r="L2532" t="n">
        <v>1</v>
      </c>
      <c r="M2532" t="n">
        <v>0</v>
      </c>
      <c r="N2532" t="n">
        <v>0</v>
      </c>
      <c r="O2532" t="n">
        <v>1</v>
      </c>
      <c r="P2532">
        <f>HYPERLINK("https://www.acritica.com/entretenimento/miss-amazonas-2004-apresentou-atividade-do-miss-universo-e-prestigiara-a-grande-final-1.178598", "URL")</f>
        <v/>
      </c>
      <c r="Q2532">
        <f>HYPERLINK("https://raw.githubusercontent.com/marcosmapl/dataset_imigrantes/main/materias_filtered/a_critica/venezuelanos/2017/00_jan/html/1.178598_104.html", "HTML")</f>
        <v/>
      </c>
      <c r="R2532">
        <f>HYPERLINK("https://raw.githubusercontent.com/marcosmapl/dataset_imigrantes/main/materias_filtered/a_critica/venezuelanos/2017/00_jan/txt/1.178598_104.txt", "TXT")</f>
        <v/>
      </c>
    </row>
    <row r="2533">
      <c r="A2533" s="1" t="n">
        <v>2531</v>
      </c>
      <c r="B2533" t="n">
        <v>2017</v>
      </c>
      <c r="C2533" s="2" t="n">
        <v>42764.08333333334</v>
      </c>
      <c r="D2533" t="inlineStr">
        <is>
          <t>A CRITICA</t>
        </is>
      </c>
      <c r="E2533" t="inlineStr">
        <is>
          <t>AMBOS</t>
        </is>
      </c>
      <c r="F2533" t="inlineStr">
        <is>
          <t>OPINIAO</t>
        </is>
      </c>
      <c r="G2533" t="inlineStr">
        <is>
          <t>ORLANDO CÂMARA</t>
        </is>
      </c>
      <c r="H2533" t="inlineStr">
        <is>
          <t>ELDORADO</t>
        </is>
      </c>
      <c r="I2533" t="inlineStr">
        <is>
          <t>ARTIGOS DE DOMINGO - 29 DE JANEIRO DE 2017</t>
        </is>
      </c>
      <c r="J2533" t="inlineStr">
        <is>
          <t>ORLANDO-CAMARA</t>
        </is>
      </c>
      <c r="K2533" t="n">
        <v>1</v>
      </c>
      <c r="L2533" t="n">
        <v>1</v>
      </c>
      <c r="M2533" t="n">
        <v>0</v>
      </c>
      <c r="N2533" t="n">
        <v>0</v>
      </c>
      <c r="O2533" t="n">
        <v>1</v>
      </c>
      <c r="P2533">
        <f>HYPERLINK("https://www.acritica.com/opiniao/eldorado-1.217371", "URL")</f>
        <v/>
      </c>
      <c r="Q2533">
        <f>HYPERLINK("https://raw.githubusercontent.com/marcosmapl/dataset_imigrantes/main/materias_filtered/a_critica/ambos/2017/00_jan/html/1.217371_55.html", "HTML")</f>
        <v/>
      </c>
      <c r="R2533">
        <f>HYPERLINK("https://raw.githubusercontent.com/marcosmapl/dataset_imigrantes/main/materias_filtered/a_critica/ambos/2017/00_jan/txt/1.217371_55.txt", "TXT")</f>
        <v/>
      </c>
    </row>
    <row r="2534">
      <c r="A2534" s="1" t="n">
        <v>2532</v>
      </c>
      <c r="B2534" t="n">
        <v>2017</v>
      </c>
      <c r="C2534" s="2" t="n">
        <v>42763.70138888889</v>
      </c>
      <c r="D2534" t="inlineStr">
        <is>
          <t>PORTAL AMAZONIA</t>
        </is>
      </c>
      <c r="E2534" t="inlineStr">
        <is>
          <t>HAITIANOS</t>
        </is>
      </c>
      <c r="F2534" t="inlineStr">
        <is>
          <t>NOTÍCIAS</t>
        </is>
      </c>
      <c r="G2534" t="inlineStr">
        <is>
          <t>REDAÇÃO</t>
        </is>
      </c>
      <c r="H2534" t="inlineStr">
        <is>
          <t>HAITIANOS ENFRENTAM DIFICULDADES PARA CONSEGUIR EMPREGO EM MANAUS</t>
        </is>
      </c>
      <c r="I2534" t="inlineStr">
        <is>
          <t>MUITOS REFUGIADOS OCUPAM AS CALÇADAS DO CENTRO PARA TRABALHAR COMO VENDEDOR AMBULANTE</t>
        </is>
      </c>
      <c r="J2534" t="inlineStr"/>
      <c r="K2534" t="n">
        <v>0</v>
      </c>
      <c r="L2534" t="n">
        <v>1</v>
      </c>
      <c r="M2534" t="n">
        <v>0</v>
      </c>
      <c r="N2534" t="n">
        <v>0</v>
      </c>
      <c r="O2534" t="n">
        <v>8</v>
      </c>
      <c r="P2534">
        <f>HYPERLINK("https://portalamazonia.com/noticias/haitianos-enfrentam-dificuldades-para-conseguir-emprego-em-manaus", "URL")</f>
        <v/>
      </c>
      <c r="Q2534">
        <f>HYPERLINK("https://raw.githubusercontent.com/marcosmapl/dataset_imigrantes/main/materias_filtered/portal_amazonia/haitianos/2017/00_jan/html/23079.23079_1418.html", "HTML")</f>
        <v/>
      </c>
      <c r="R2534">
        <f>HYPERLINK("https://raw.githubusercontent.com/marcosmapl/dataset_imigrantes/main/materias_filtered/portal_amazonia/haitianos/2017/00_jan/txt/23079.23079_1418.txt", "TXT")</f>
        <v/>
      </c>
    </row>
    <row r="2535">
      <c r="A2535" s="1" t="n">
        <v>2533</v>
      </c>
      <c r="B2535" t="n">
        <v>2017</v>
      </c>
      <c r="C2535" s="2" t="n">
        <v>42762.48207175926</v>
      </c>
      <c r="D2535" t="inlineStr">
        <is>
          <t>A CRITICA</t>
        </is>
      </c>
      <c r="E2535" t="inlineStr">
        <is>
          <t>VENEZUELANOS</t>
        </is>
      </c>
      <c r="F2535" t="inlineStr">
        <is>
          <t>ENTRETENIMENTO</t>
        </is>
      </c>
      <c r="G2535" t="inlineStr">
        <is>
          <t>ACRÍTICA.COM</t>
        </is>
      </c>
      <c r="H2535" t="inlineStr">
        <is>
          <t>FILME DE DRAMA RETRATA HISTÓRIA DO GENERAL VENEZUELANO ZAMORRA EM MANAUS</t>
        </is>
      </c>
      <c r="I2535" t="inlineStr">
        <is>
          <t>A SÉTIMA ARTE VENEZUELANA GANHA DESTAQUE NAS TELAS DO TEATRO GEBES MEDEIROS NA PRÓXIMA QUARTA-FEIRA (1º), ÀS 18H30, COM ENTRADA FRANCA</t>
        </is>
      </c>
      <c r="J2535" t="inlineStr"/>
      <c r="K2535" t="n">
        <v>0</v>
      </c>
      <c r="L2535" t="n">
        <v>1</v>
      </c>
      <c r="M2535" t="n">
        <v>0</v>
      </c>
      <c r="N2535" t="n">
        <v>0</v>
      </c>
      <c r="O2535" t="n">
        <v>0</v>
      </c>
      <c r="P2535">
        <f>HYPERLINK("https://www.acritica.com/entretenimento/filme-de-drama-retrata-historia-do-general-venezuelano-zamorra-em-manaus-1.177953", "URL")</f>
        <v/>
      </c>
      <c r="Q2535">
        <f>HYPERLINK("https://raw.githubusercontent.com/marcosmapl/dataset_imigrantes/main/materias_filtered/a_critica/venezuelanos/2017/00_jan/html/1.177953_876.html", "HTML")</f>
        <v/>
      </c>
      <c r="R2535">
        <f>HYPERLINK("https://raw.githubusercontent.com/marcosmapl/dataset_imigrantes/main/materias_filtered/a_critica/venezuelanos/2017/00_jan/txt/1.177953_876.txt", "TXT")</f>
        <v/>
      </c>
    </row>
    <row r="2536">
      <c r="A2536" s="1" t="n">
        <v>2534</v>
      </c>
      <c r="B2536" t="n">
        <v>2017</v>
      </c>
      <c r="C2536" s="2" t="n">
        <v>42757.41666666666</v>
      </c>
      <c r="D2536" t="inlineStr">
        <is>
          <t>G1</t>
        </is>
      </c>
      <c r="E2536" t="inlineStr">
        <is>
          <t>HAITIANOS</t>
        </is>
      </c>
      <c r="F2536" t="inlineStr"/>
      <c r="G2536" t="inlineStr">
        <is>
          <t>1 SUL DE MINAS</t>
        </is>
      </c>
      <c r="H2536" t="inlineStr">
        <is>
          <t>CAMPANHA TENTA AJUDAR CASAL DE HAITIANOS A TRAZER FILHOS PARA MG</t>
        </is>
      </c>
      <c r="I2536" t="inlineStr"/>
      <c r="J2536" t="inlineStr">
        <is>
          <t>VARGINHA</t>
        </is>
      </c>
      <c r="K2536" t="n">
        <v>1</v>
      </c>
      <c r="L2536" t="n">
        <v>6</v>
      </c>
      <c r="M2536" t="n">
        <v>0</v>
      </c>
      <c r="N2536" t="n">
        <v>0</v>
      </c>
      <c r="O2536" t="n">
        <v>10</v>
      </c>
      <c r="P2536">
        <f>HYPERLINK("http://g1.globo.com/mg/sul-de-minas/noticia/2017/01/campanha-tenta-ajudar-casal-de-haitianos-trazer-filhos-para-mg.html", "URL")</f>
        <v/>
      </c>
      <c r="Q2536">
        <f>HYPERLINK("https://raw.githubusercontent.com/marcosmapl/dataset_imigrantes/main/materias_filtered/g1/haitianos/2017/00_jan/html/g1_f6f90e64-22f4-11ed-b24f-6dbe51e79fca_1923.html", "HTML")</f>
        <v/>
      </c>
      <c r="R2536">
        <f>HYPERLINK("https://raw.githubusercontent.com/marcosmapl/dataset_imigrantes/main/materias_filtered/g1/haitianos/2017/00_jan/txt/g1_f6f90e64-22f4-11ed-b24f-6dbe51e79fca_1923.txt", "TXT")</f>
        <v/>
      </c>
    </row>
    <row r="2537">
      <c r="A2537" s="1" t="n">
        <v>2535</v>
      </c>
      <c r="B2537" t="n">
        <v>2017</v>
      </c>
      <c r="C2537" s="2" t="n">
        <v>42756.29166666666</v>
      </c>
      <c r="D2537" t="inlineStr">
        <is>
          <t>G1</t>
        </is>
      </c>
      <c r="E2537" t="inlineStr">
        <is>
          <t>HAITIANOS</t>
        </is>
      </c>
      <c r="F2537" t="inlineStr"/>
      <c r="G2537" t="inlineStr">
        <is>
          <t>1 RS</t>
        </is>
      </c>
      <c r="H2537" t="inlineStr">
        <is>
          <t>VOLUNTÁRIOS FAZEM VAQUINHA PARA AJUDAR HAITIANA A TRAZER FILHOS AO BRASIL</t>
        </is>
      </c>
      <c r="I2537" t="inlineStr"/>
      <c r="J2537" t="inlineStr">
        <is>
          <t>CAXIAS DO SUL</t>
        </is>
      </c>
      <c r="K2537" t="n">
        <v>1</v>
      </c>
      <c r="L2537" t="n">
        <v>4</v>
      </c>
      <c r="M2537" t="n">
        <v>0</v>
      </c>
      <c r="N2537" t="n">
        <v>0</v>
      </c>
      <c r="O2537" t="n">
        <v>13</v>
      </c>
      <c r="P2537">
        <f>HYPERLINK("http://g1.globo.com/rs/rio-grande-do-sul/noticia/2017/01/voluntarios-fazem-vaquinha-para-ajudar-haitiana-trazer-filhos-ao-brasil.html", "URL")</f>
        <v/>
      </c>
      <c r="Q2537">
        <f>HYPERLINK("https://raw.githubusercontent.com/marcosmapl/dataset_imigrantes/main/materias_filtered/g1/haitianos/2017/00_jan/html/g1_27d6371e-2309-11ed-b24f-6dbe51e79fca_2430.html", "HTML")</f>
        <v/>
      </c>
      <c r="R2537">
        <f>HYPERLINK("https://raw.githubusercontent.com/marcosmapl/dataset_imigrantes/main/materias_filtered/g1/haitianos/2017/00_jan/txt/g1_27d6371e-2309-11ed-b24f-6dbe51e79fca_2430.txt", "TXT")</f>
        <v/>
      </c>
    </row>
    <row r="2538">
      <c r="A2538" s="1" t="n">
        <v>2536</v>
      </c>
      <c r="B2538" t="n">
        <v>2017</v>
      </c>
      <c r="C2538" s="2" t="n">
        <v>42753.45902777778</v>
      </c>
      <c r="D2538" t="inlineStr">
        <is>
          <t>G1</t>
        </is>
      </c>
      <c r="E2538" t="inlineStr">
        <is>
          <t>HAITIANOS</t>
        </is>
      </c>
      <c r="F2538" t="inlineStr"/>
      <c r="G2538" t="inlineStr">
        <is>
          <t>SE SOARESDO G1 MT</t>
        </is>
      </c>
      <c r="H2538" t="inlineStr">
        <is>
          <t>HAITIANO É PRESO SUSPEITO DE AGREDIR MULHER E FILHO EM CHÁCARA EM MT</t>
        </is>
      </c>
      <c r="I2538" t="inlineStr"/>
      <c r="J2538" t="inlineStr"/>
      <c r="K2538" t="n">
        <v>0</v>
      </c>
      <c r="L2538" t="n">
        <v>1</v>
      </c>
      <c r="M2538" t="n">
        <v>0</v>
      </c>
      <c r="N2538" t="n">
        <v>0</v>
      </c>
      <c r="O2538" t="n">
        <v>5</v>
      </c>
      <c r="P2538">
        <f>HYPERLINK("http://g1.globo.com/mato-grosso/noticia/2017/01/haitiano-e-preso-suspeito-de-agredir-mulher-e-filho-em-chacara-em-mt.html", "URL")</f>
        <v/>
      </c>
      <c r="Q2538">
        <f>HYPERLINK("https://raw.githubusercontent.com/marcosmapl/dataset_imigrantes/main/materias_filtered/g1/haitianos/2017/00_jan/html/g1_22c6208a-22f1-11ed-b24f-6dbe51e79fca_1736.html", "HTML")</f>
        <v/>
      </c>
      <c r="R2538">
        <f>HYPERLINK("https://raw.githubusercontent.com/marcosmapl/dataset_imigrantes/main/materias_filtered/g1/haitianos/2017/00_jan/txt/g1_22c6208a-22f1-11ed-b24f-6dbe51e79fca_1736.txt", "TXT")</f>
        <v/>
      </c>
    </row>
    <row r="2539">
      <c r="A2539" s="1" t="n">
        <v>2537</v>
      </c>
      <c r="B2539" t="n">
        <v>2017</v>
      </c>
      <c r="C2539" s="2" t="n">
        <v>42749.74305555555</v>
      </c>
      <c r="D2539" t="inlineStr">
        <is>
          <t>G1</t>
        </is>
      </c>
      <c r="E2539" t="inlineStr">
        <is>
          <t>HAITIANOS</t>
        </is>
      </c>
      <c r="F2539" t="inlineStr"/>
      <c r="G2539" t="inlineStr">
        <is>
          <t>1 SC</t>
        </is>
      </c>
      <c r="H2539" t="inlineStr">
        <is>
          <t>CURSO GRATUITO PREPARA HAITIANOS PARA ENTRAR NA UNIVERSIDADE EM SC</t>
        </is>
      </c>
      <c r="I2539" t="inlineStr"/>
      <c r="J2539" t="inlineStr">
        <is>
          <t>CHAPECÓ</t>
        </is>
      </c>
      <c r="K2539" t="n">
        <v>1</v>
      </c>
      <c r="L2539" t="n">
        <v>4</v>
      </c>
      <c r="M2539" t="n">
        <v>0</v>
      </c>
      <c r="N2539" t="n">
        <v>0</v>
      </c>
      <c r="O2539" t="n">
        <v>11</v>
      </c>
      <c r="P2539">
        <f>HYPERLINK("http://g1.globo.com/sc/santa-catarina/noticia/2017/01/curso-gratuito-prepara-haitianos-para-entrar-na-universidade-em-sc.html", "URL")</f>
        <v/>
      </c>
      <c r="Q2539">
        <f>HYPERLINK("https://raw.githubusercontent.com/marcosmapl/dataset_imigrantes/main/materias_filtered/g1/haitianos/2017/00_jan/html/g1_5e62ec6e-22f5-11ed-b24f-6dbe51e79fca_1944.html", "HTML")</f>
        <v/>
      </c>
      <c r="R2539">
        <f>HYPERLINK("https://raw.githubusercontent.com/marcosmapl/dataset_imigrantes/main/materias_filtered/g1/haitianos/2017/00_jan/txt/g1_5e62ec6e-22f5-11ed-b24f-6dbe51e79fca_1944.txt", "TXT")</f>
        <v/>
      </c>
    </row>
    <row r="2540">
      <c r="A2540" s="1" t="n">
        <v>2538</v>
      </c>
      <c r="B2540" t="n">
        <v>2017</v>
      </c>
      <c r="C2540" s="2" t="n">
        <v>42747.52796296297</v>
      </c>
      <c r="D2540" t="inlineStr">
        <is>
          <t>A CRITICA</t>
        </is>
      </c>
      <c r="E2540" t="inlineStr">
        <is>
          <t>HAITIANOS</t>
        </is>
      </c>
      <c r="F2540" t="inlineStr"/>
      <c r="G2540" t="inlineStr">
        <is>
          <t>DA ANSA</t>
        </is>
      </c>
      <c r="H2540" t="inlineStr">
        <is>
          <t>APÓS 7 ANOS, HAITI AINDA TENTA SE RECUPERAR DE TERREMOTO QUE MATOU 230 MIL</t>
        </is>
      </c>
      <c r="I2540" t="inlineStr">
        <is>
          <t>TERREMOTO DE 7 GRAUS NA ESCALA RICHTER DEVASTOU PAÍS NO DIA 12 DE JANEIRO DE 2010. PELO MENOS 230 MIL PESSOAS MORRERAM, OUTRAS 300 MIL FICARAM FERIDAS E 1,5 MILHÃO DESABRIGADAS</t>
        </is>
      </c>
      <c r="J2540" t="inlineStr"/>
      <c r="K2540" t="n">
        <v>0</v>
      </c>
      <c r="L2540" t="n">
        <v>1</v>
      </c>
      <c r="M2540" t="n">
        <v>0</v>
      </c>
      <c r="N2540" t="n">
        <v>0</v>
      </c>
      <c r="O2540" t="n">
        <v>0</v>
      </c>
      <c r="P2540">
        <f>HYPERLINK("https://www.acritica.com/apos-7-anos-haiti-ainda-tenta-se-recuperar-de-terremoto-que-matou-230-mil-1.205834", "URL")</f>
        <v/>
      </c>
      <c r="Q2540">
        <f>HYPERLINK("https://raw.githubusercontent.com/marcosmapl/dataset_imigrantes/main/materias_filtered/a_critica/haitianos/2017/00_jan/html/1.205834_299.html", "HTML")</f>
        <v/>
      </c>
      <c r="R2540">
        <f>HYPERLINK("https://raw.githubusercontent.com/marcosmapl/dataset_imigrantes/main/materias_filtered/a_critica/haitianos/2017/00_jan/txt/1.205834_299.txt", "TXT")</f>
        <v/>
      </c>
    </row>
    <row r="2541">
      <c r="A2541" s="1" t="n">
        <v>2539</v>
      </c>
      <c r="B2541" t="n">
        <v>2017</v>
      </c>
      <c r="C2541" s="2" t="n">
        <v>42746.29166666666</v>
      </c>
      <c r="D2541" t="inlineStr">
        <is>
          <t>A CRITICA</t>
        </is>
      </c>
      <c r="E2541" t="inlineStr">
        <is>
          <t>VENEZUELANOS</t>
        </is>
      </c>
      <c r="F2541" t="inlineStr"/>
      <c r="G2541" t="inlineStr">
        <is>
          <t>SILANE SOUZA</t>
        </is>
      </c>
      <c r="H2541" t="inlineStr">
        <is>
          <t>APÓS MASSACRE, FEDERAÇÃO DENUNCIA FALTA DE SISTEMA BIOMÉTRICO NO AMAZONAS</t>
        </is>
      </c>
      <c r="I2541" t="inlineStr">
        <is>
          <t>AUSÊNCIA DE ESPECIALISTAS E DE EQUIPAMENTOS DE IDENTIFICAÇÃO BIOMÉTRICA DEIXA O AMAZONAS ENTRE OS PIORES COLOCADOS NO SETOR, DIZ FEDERAÇÃO NACIONAL DOS PERITOS EM PAPILOSCOPIA E IDENTIFICAÇÃO (FENAPPI)</t>
        </is>
      </c>
      <c r="J2541" t="inlineStr"/>
      <c r="K2541" t="n">
        <v>0</v>
      </c>
      <c r="L2541" t="n">
        <v>1</v>
      </c>
      <c r="M2541" t="n">
        <v>0</v>
      </c>
      <c r="N2541" t="n">
        <v>0</v>
      </c>
      <c r="O2541" t="n">
        <v>0</v>
      </c>
      <c r="P2541">
        <f>HYPERLINK("https://www.acritica.com/apos-massacre-federac-o-denuncia-falta-de-sistema-biometrico-no-amazonas-1.206051", "URL")</f>
        <v/>
      </c>
      <c r="Q2541">
        <f>HYPERLINK("https://raw.githubusercontent.com/marcosmapl/dataset_imigrantes/main/materias_filtered/a_critica/venezuelanos/2017/00_jan/html/1.206051_1042.html", "HTML")</f>
        <v/>
      </c>
      <c r="R2541">
        <f>HYPERLINK("https://raw.githubusercontent.com/marcosmapl/dataset_imigrantes/main/materias_filtered/a_critica/venezuelanos/2017/00_jan/txt/1.206051_1042.txt", "TXT")</f>
        <v/>
      </c>
    </row>
    <row r="2542">
      <c r="A2542" s="1" t="n">
        <v>2540</v>
      </c>
      <c r="B2542" t="n">
        <v>2017</v>
      </c>
      <c r="C2542" s="2" t="n">
        <v>42746.29166666666</v>
      </c>
      <c r="D2542" t="inlineStr">
        <is>
          <t>A CRITICA</t>
        </is>
      </c>
      <c r="E2542" t="inlineStr">
        <is>
          <t>VENEZUELANOS</t>
        </is>
      </c>
      <c r="F2542" t="inlineStr">
        <is>
          <t>MANAUS</t>
        </is>
      </c>
      <c r="G2542" t="inlineStr">
        <is>
          <t>LUANA CARVALHO</t>
        </is>
      </c>
      <c r="H2542" t="inlineStr">
        <is>
          <t>VENDEDORES DENUNCIAM TER SIDO AGREDIDOS POR FISCAIS DA PREFEITURA DE MANAUS</t>
        </is>
      </c>
      <c r="I2542" t="inlineStr">
        <is>
          <t>COM HEMATOMAS NOS BRAÇOS E PERNAS, ELES DISSERAM QUE FORAM AGREDIDOS E ACUSADOS DE DESACATO. SÓ FORAM LIBERADOS APÓS PAGAREM FIANÇA DE R$ 900</t>
        </is>
      </c>
      <c r="J2542" t="inlineStr"/>
      <c r="K2542" t="n">
        <v>0</v>
      </c>
      <c r="L2542" t="n">
        <v>1</v>
      </c>
      <c r="M2542" t="n">
        <v>0</v>
      </c>
      <c r="N2542" t="n">
        <v>0</v>
      </c>
      <c r="O2542" t="n">
        <v>0</v>
      </c>
      <c r="P2542">
        <f>HYPERLINK("https://www.acritica.com/manaus/vendedores-denunciam-ter-sido-agredidos-por-fiscais-da-prefeitura-de-manaus-1.206037", "URL")</f>
        <v/>
      </c>
      <c r="Q2542">
        <f>HYPERLINK("https://raw.githubusercontent.com/marcosmapl/dataset_imigrantes/main/materias_filtered/a_critica/venezuelanos/2017/00_jan/html/1.206037_123.html", "HTML")</f>
        <v/>
      </c>
      <c r="R2542">
        <f>HYPERLINK("https://raw.githubusercontent.com/marcosmapl/dataset_imigrantes/main/materias_filtered/a_critica/venezuelanos/2017/00_jan/txt/1.206037_123.txt", "TXT")</f>
        <v/>
      </c>
    </row>
    <row r="2543">
      <c r="A2543" s="1" t="n">
        <v>2541</v>
      </c>
      <c r="B2543" t="n">
        <v>2017</v>
      </c>
      <c r="C2543" s="2" t="n">
        <v>42744.82974537037</v>
      </c>
      <c r="D2543" t="inlineStr">
        <is>
          <t>A CRITICA</t>
        </is>
      </c>
      <c r="E2543" t="inlineStr">
        <is>
          <t>VENEZUELANOS</t>
        </is>
      </c>
      <c r="F2543" t="inlineStr"/>
      <c r="G2543" t="inlineStr">
        <is>
          <t>PAULO VICTOR CHAGAS -  AGÊNCIA BRASIL*</t>
        </is>
      </c>
      <c r="H2543" t="inlineStr">
        <is>
          <t>RORAIMA PEDE AJUDA FEDERAL E DIZ QUE NÃO PODE GARANTIR SEGURANÇA DE PRESOS</t>
        </is>
      </c>
      <c r="I2543" t="inlineStr">
        <is>
          <t>O OFÍCIO ASSINADO PELA GOVERNADORA SUELY CAMPOS SOLICITA O ENVIO DE EFETIVOS DA FORÇA NACIONAL DE SEGURANÇA, A TRANSFERÊNCIA DE PRESOS PARA PENITENCIÁRIAS FEDERAIS E UM APORTE MAIOR DE VALORES A RORAIMA</t>
        </is>
      </c>
      <c r="J2543" t="inlineStr"/>
      <c r="K2543" t="n">
        <v>0</v>
      </c>
      <c r="L2543" t="n">
        <v>1</v>
      </c>
      <c r="M2543" t="n">
        <v>0</v>
      </c>
      <c r="N2543" t="n">
        <v>0</v>
      </c>
      <c r="O2543" t="n">
        <v>0</v>
      </c>
      <c r="P2543">
        <f>HYPERLINK("https://www.acritica.com/roraima-pede-ajuda-federal-e-diz-que-n-o-pode-garantir-seguranca-de-presos-1.206203", "URL")</f>
        <v/>
      </c>
      <c r="Q2543">
        <f>HYPERLINK("https://raw.githubusercontent.com/marcosmapl/dataset_imigrantes/main/materias_filtered/a_critica/venezuelanos/2017/00_jan/html/1.206203_999.html", "HTML")</f>
        <v/>
      </c>
      <c r="R2543">
        <f>HYPERLINK("https://raw.githubusercontent.com/marcosmapl/dataset_imigrantes/main/materias_filtered/a_critica/venezuelanos/2017/00_jan/txt/1.206203_999.txt", "TXT")</f>
        <v/>
      </c>
    </row>
    <row r="2544">
      <c r="A2544" s="1" t="n">
        <v>2542</v>
      </c>
      <c r="B2544" t="n">
        <v>2017</v>
      </c>
      <c r="C2544" s="2" t="n">
        <v>42744.70625</v>
      </c>
      <c r="D2544" t="inlineStr">
        <is>
          <t>A CRITICA</t>
        </is>
      </c>
      <c r="E2544" t="inlineStr">
        <is>
          <t>VENEZUELANOS</t>
        </is>
      </c>
      <c r="F2544" t="inlineStr">
        <is>
          <t>ESPORTES</t>
        </is>
      </c>
      <c r="G2544" t="inlineStr">
        <is>
          <t>MARCELO BRANDÃO (AGÊNCIA BRASIL)</t>
        </is>
      </c>
      <c r="H2544" t="inlineStr">
        <is>
          <t>CRISTIANO RONALDO É QUATRO VEZES MELHOR JOGADOR DO MUNDO PELA FIFA</t>
        </is>
      </c>
      <c r="I2544" t="inlineStr">
        <is>
          <t>DEPOIS DE VENCER A CHAPIONS E A EURO, RONALDO CONFIRMOU O FAVORITISMO NO PRÊMIO DE MELHOR DO MUNDO DA FIFA</t>
        </is>
      </c>
      <c r="J2544" t="inlineStr"/>
      <c r="K2544" t="n">
        <v>0</v>
      </c>
      <c r="L2544" t="n">
        <v>1</v>
      </c>
      <c r="M2544" t="n">
        <v>0</v>
      </c>
      <c r="N2544" t="n">
        <v>0</v>
      </c>
      <c r="O2544" t="n">
        <v>0</v>
      </c>
      <c r="P2544">
        <f>HYPERLINK("https://www.acritica.com/esportes/cristiano-ronaldo-e-quatro-vezes-melhor-jogador-do-mundo-pela-fifa-1.102855", "URL")</f>
        <v/>
      </c>
      <c r="Q2544">
        <f>HYPERLINK("https://raw.githubusercontent.com/marcosmapl/dataset_imigrantes/main/materias_filtered/a_critica/venezuelanos/2017/00_jan/html/1.102855_857.html", "HTML")</f>
        <v/>
      </c>
      <c r="R2544">
        <f>HYPERLINK("https://raw.githubusercontent.com/marcosmapl/dataset_imigrantes/main/materias_filtered/a_critica/venezuelanos/2017/00_jan/txt/1.102855_857.txt", "TXT")</f>
        <v/>
      </c>
    </row>
    <row r="2545">
      <c r="A2545" s="1" t="n">
        <v>2543</v>
      </c>
      <c r="B2545" t="n">
        <v>2017</v>
      </c>
      <c r="C2545" s="2" t="n">
        <v>42744.45555555556</v>
      </c>
      <c r="D2545" t="inlineStr">
        <is>
          <t>PORTAL AMAZONIA</t>
        </is>
      </c>
      <c r="E2545" t="inlineStr">
        <is>
          <t>VENEZUELANOS</t>
        </is>
      </c>
      <c r="F2545" t="inlineStr">
        <is>
          <t>CIDADES</t>
        </is>
      </c>
      <c r="G2545" t="inlineStr">
        <is>
          <t>REDAÇÃO</t>
        </is>
      </c>
      <c r="H2545" t="inlineStr">
        <is>
          <t>APÓS MORTES EM PRESÍDIO, GOVERNO DE RORAIMA PEDE APOIO DA FORÇA NACIONAL</t>
        </is>
      </c>
      <c r="I2545" t="inlineStr">
        <is>
          <t>O GOVERNO DE RORAIMA DEVE PROTOCOLAR NESTA SEGUNDA-FEIRA, (9), O PEDIDO DE ENVIO DA FORÇA NACIONAL DE SEGURANÇA PARA O ESTADO. RORAIMA VIVE UMA CRISE NO SISTEMA CARCERÁRIO APÓS A MORTE DE 33 DETENTOS NA PENITENCIÁRIA AGRÍCOLA MONTE CRISTO, NA ZONA RU</t>
        </is>
      </c>
      <c r="J2545" t="inlineStr">
        <is>
          <t>BOA VISTA, CRISE, PRESÍDIO, REBELIÃO, RORAIMA</t>
        </is>
      </c>
      <c r="K2545" t="n">
        <v>5</v>
      </c>
      <c r="L2545" t="n">
        <v>2</v>
      </c>
      <c r="M2545" t="n">
        <v>0</v>
      </c>
      <c r="N2545" t="n">
        <v>0</v>
      </c>
      <c r="O2545" t="n">
        <v>10</v>
      </c>
      <c r="P2545">
        <f>HYPERLINK("https://portalamazonia.com/noticias/cidades/apos-mortes-em-presidio-governo-de-roraima-pede-apoio-da-forca-nacional", "URL")</f>
        <v/>
      </c>
      <c r="Q2545">
        <f>HYPERLINK("https://raw.githubusercontent.com/marcosmapl/dataset_imigrantes/main/materias_filtered/portal_amazonia/venezuelanos/2017/00_jan/html/23843.23843_1517.html", "HTML")</f>
        <v/>
      </c>
      <c r="R2545">
        <f>HYPERLINK("https://raw.githubusercontent.com/marcosmapl/dataset_imigrantes/main/materias_filtered/portal_amazonia/venezuelanos/2017/00_jan/txt/23843.23843_1517.txt", "TXT")</f>
        <v/>
      </c>
    </row>
    <row r="2546">
      <c r="A2546" s="1" t="n">
        <v>2544</v>
      </c>
      <c r="B2546" t="n">
        <v>2017</v>
      </c>
      <c r="C2546" s="2" t="n">
        <v>42741.83680555555</v>
      </c>
      <c r="D2546" t="inlineStr">
        <is>
          <t>A CRITICA</t>
        </is>
      </c>
      <c r="E2546" t="inlineStr">
        <is>
          <t>VENEZUELANOS</t>
        </is>
      </c>
      <c r="F2546" t="inlineStr"/>
      <c r="G2546" t="inlineStr">
        <is>
          <t>HELOISA CRISTALDO E DÉBORA BRITO (AGÊNCIA BRASIL)</t>
        </is>
      </c>
      <c r="H2546" t="inlineStr">
        <is>
          <t>FRONTEIRA ENTRE BRASIL E VENEZUELA É REABERTA APÓS DECISÃO DE MADURO</t>
        </is>
      </c>
      <c r="I2546" t="inlineStr">
        <is>
          <t>A PARTIR DE AGORA, O TRÂNSITO DE PESSOAS, AUTOMÓVEIS E MERCADORIAS VOLTA A SER NORMALIZADO, INCLUSIVE PARA SAÍDA DE CIDADÃOS VENEZUELANOS</t>
        </is>
      </c>
      <c r="J2546" t="inlineStr"/>
      <c r="K2546" t="n">
        <v>0</v>
      </c>
      <c r="L2546" t="n">
        <v>1</v>
      </c>
      <c r="M2546" t="n">
        <v>0</v>
      </c>
      <c r="N2546" t="n">
        <v>0</v>
      </c>
      <c r="O2546" t="n">
        <v>1</v>
      </c>
      <c r="P2546">
        <f>HYPERLINK("https://www.acritica.com/fronteira-entre-brasil-e-venezuela-e-reaberta-apos-decis-o-de-maduro-1.206555", "URL")</f>
        <v/>
      </c>
      <c r="Q2546">
        <f>HYPERLINK("https://raw.githubusercontent.com/marcosmapl/dataset_imigrantes/main/materias_filtered/a_critica/venezuelanos/2017/00_jan/html/1.206555_96.html", "HTML")</f>
        <v/>
      </c>
      <c r="R2546">
        <f>HYPERLINK("https://raw.githubusercontent.com/marcosmapl/dataset_imigrantes/main/materias_filtered/a_critica/venezuelanos/2017/00_jan/txt/1.206555_96.txt", "TXT")</f>
        <v/>
      </c>
    </row>
    <row r="2547">
      <c r="A2547" s="1" t="n">
        <v>2545</v>
      </c>
      <c r="B2547" t="n">
        <v>2017</v>
      </c>
      <c r="C2547" s="2" t="n">
        <v>42739.39513888889</v>
      </c>
      <c r="D2547" t="inlineStr">
        <is>
          <t>G1</t>
        </is>
      </c>
      <c r="E2547" t="inlineStr">
        <is>
          <t>HAITIANOS</t>
        </is>
      </c>
      <c r="F2547" t="inlineStr"/>
      <c r="G2547" t="inlineStr">
        <is>
          <t>É SOUZADO G1 MT</t>
        </is>
      </c>
      <c r="H2547" t="inlineStr">
        <is>
          <t>MOSTRA COM FOTOGRAFIAS DE HAITIANOS BUSCA DAR VISIBILIDADE A ESTRANGEIROS</t>
        </is>
      </c>
      <c r="I2547" t="inlineStr"/>
      <c r="J2547" t="inlineStr">
        <is>
          <t>CAETANO VELOSO, CUIABÁ</t>
        </is>
      </c>
      <c r="K2547" t="n">
        <v>2</v>
      </c>
      <c r="L2547" t="n">
        <v>5</v>
      </c>
      <c r="M2547" t="n">
        <v>0</v>
      </c>
      <c r="N2547" t="n">
        <v>0</v>
      </c>
      <c r="O2547" t="n">
        <v>12</v>
      </c>
      <c r="P2547">
        <f>HYPERLINK("http://g1.globo.com/mato-grosso/noticia/2017/01/mostra-com-fotografias-de-haitianos-busca-dar-visibilidade-estrangeiros.html", "URL")</f>
        <v/>
      </c>
      <c r="Q2547">
        <f>HYPERLINK("https://raw.githubusercontent.com/marcosmapl/dataset_imigrantes/main/materias_filtered/g1/haitianos/2017/00_jan/html/g1_df1125b0-22f5-11ed-b24f-6dbe51e79fca_1977.html", "HTML")</f>
        <v/>
      </c>
      <c r="R2547">
        <f>HYPERLINK("https://raw.githubusercontent.com/marcosmapl/dataset_imigrantes/main/materias_filtered/g1/haitianos/2017/00_jan/txt/g1_df1125b0-22f5-11ed-b24f-6dbe51e79fca_1977.txt", "TXT")</f>
        <v/>
      </c>
    </row>
    <row r="2548">
      <c r="A2548" s="1" t="n">
        <v>2546</v>
      </c>
      <c r="B2548" t="n">
        <v>2017</v>
      </c>
      <c r="C2548" s="2" t="n">
        <v>42738.95662712963</v>
      </c>
      <c r="D2548" t="inlineStr">
        <is>
          <t>G1</t>
        </is>
      </c>
      <c r="E2548" t="inlineStr">
        <is>
          <t>HAITIANOS</t>
        </is>
      </c>
      <c r="F2548" t="inlineStr">
        <is>
          <t>MUNDO</t>
        </is>
      </c>
      <c r="G2548" t="inlineStr">
        <is>
          <t>REUTERS</t>
        </is>
      </c>
      <c r="H2548" t="inlineStr">
        <is>
          <t>JOVENEL MOISE É CONFIRMADO COMO PRESIDENTE DO HAITI</t>
        </is>
      </c>
      <c r="I2548" t="inlineStr">
        <is>
          <t>RESULTADO OFICIAL DE ELEIÇÃO DE NOVEMBRO FOI ANUNCIADO HOJE, APÓS TRIBUNAL NEGAR ACUSAÇÕES DE FRAUDE.</t>
        </is>
      </c>
      <c r="J2548" t="inlineStr"/>
      <c r="K2548" t="n">
        <v>0</v>
      </c>
      <c r="L2548" t="n">
        <v>1</v>
      </c>
      <c r="M2548" t="n">
        <v>0</v>
      </c>
      <c r="N2548" t="n">
        <v>0</v>
      </c>
      <c r="O2548" t="n">
        <v>0</v>
      </c>
      <c r="P2548">
        <f>HYPERLINK("https://g1.globo.com/mundo/noticia/jovenel-moise-e-confirmado-como-presidente-do-haiti.ghtml", "URL")</f>
        <v/>
      </c>
      <c r="Q2548">
        <f>HYPERLINK("https://raw.githubusercontent.com/marcosmapl/dataset_imigrantes/main/materias_filtered/g1/haitianos/2017/00_jan/html/g1_c690046e-22ed-11ed-b24f-6dbe51e79fca_1687.html", "HTML")</f>
        <v/>
      </c>
      <c r="R2548">
        <f>HYPERLINK("https://raw.githubusercontent.com/marcosmapl/dataset_imigrantes/main/materias_filtered/g1/haitianos/2017/00_jan/txt/g1_c690046e-22ed-11ed-b24f-6dbe51e79fca_1687.txt", "TXT")</f>
        <v/>
      </c>
    </row>
    <row r="2549">
      <c r="A2549" s="1" t="n">
        <v>2547</v>
      </c>
      <c r="B2549" t="n">
        <v>2017</v>
      </c>
      <c r="C2549" s="2" t="n">
        <v>42738.56666666667</v>
      </c>
      <c r="D2549" t="inlineStr">
        <is>
          <t>G1</t>
        </is>
      </c>
      <c r="E2549" t="inlineStr">
        <is>
          <t>HAITIANOS</t>
        </is>
      </c>
      <c r="F2549" t="inlineStr"/>
      <c r="G2549" t="inlineStr">
        <is>
          <t>ÁLIA FRUETDA RBS TV</t>
        </is>
      </c>
      <c r="H2549" t="inlineStr">
        <is>
          <t>POLÍCIA PEDE PREVENTIVA DE SUSPEITO DE MATAR HAITIANO EM GRAVATAÍ</t>
        </is>
      </c>
      <c r="I2549" t="inlineStr"/>
      <c r="J2549" t="inlineStr">
        <is>
          <t>GRAVATAÍ, PORTO ALEGRE</t>
        </is>
      </c>
      <c r="K2549" t="n">
        <v>2</v>
      </c>
      <c r="L2549" t="n">
        <v>2</v>
      </c>
      <c r="M2549" t="n">
        <v>0</v>
      </c>
      <c r="N2549" t="n">
        <v>0</v>
      </c>
      <c r="O2549" t="n">
        <v>14</v>
      </c>
      <c r="P2549">
        <f>HYPERLINK("http://g1.globo.com/rs/rio-grande-do-sul/noticia/2017/01/policia-pede-preventiva-de-suspeito-de-matar-haitiano-em-gravatai.html", "URL")</f>
        <v/>
      </c>
      <c r="Q2549">
        <f>HYPERLINK("https://raw.githubusercontent.com/marcosmapl/dataset_imigrantes/main/materias_filtered/g1/haitianos/2017/00_jan/html/g1_36b3b76e-22f7-11ed-b24f-6dbe51e79fca_2066.html", "HTML")</f>
        <v/>
      </c>
      <c r="R2549">
        <f>HYPERLINK("https://raw.githubusercontent.com/marcosmapl/dataset_imigrantes/main/materias_filtered/g1/haitianos/2017/00_jan/txt/g1_36b3b76e-22f7-11ed-b24f-6dbe51e79fca_2066.txt", "TXT")</f>
        <v/>
      </c>
    </row>
    <row r="2550">
      <c r="A2550" s="1" t="n">
        <v>2548</v>
      </c>
      <c r="B2550" t="n">
        <v>2016</v>
      </c>
      <c r="C2550" s="2" t="n">
        <v>42735.74305555555</v>
      </c>
      <c r="D2550" t="inlineStr">
        <is>
          <t>G1</t>
        </is>
      </c>
      <c r="E2550" t="inlineStr">
        <is>
          <t>HAITIANOS</t>
        </is>
      </c>
      <c r="F2550" t="inlineStr"/>
      <c r="G2550" t="inlineStr">
        <is>
          <t>EL FAVERODO G1 RS</t>
        </is>
      </c>
      <c r="H2550" t="inlineStr">
        <is>
          <t>HAITIANOS SE DIZEM ASSUSTADOS COM MORTE DE AMIGO EM GRAVATAÍ</t>
        </is>
      </c>
      <c r="I2550" t="inlineStr"/>
      <c r="J2550" t="inlineStr">
        <is>
          <t>GRAVATAÍ</t>
        </is>
      </c>
      <c r="K2550" t="n">
        <v>1</v>
      </c>
      <c r="L2550" t="n">
        <v>3</v>
      </c>
      <c r="M2550" t="n">
        <v>0</v>
      </c>
      <c r="N2550" t="n">
        <v>0</v>
      </c>
      <c r="O2550" t="n">
        <v>10</v>
      </c>
      <c r="P2550">
        <f>HYPERLINK("http://g1.globo.com/rs/rio-grande-do-sul/noticia/2016/12/haitianos-se-dizem-assustados-com-morte-de-amigo-em-gravatai.html", "URL")</f>
        <v/>
      </c>
      <c r="Q2550">
        <f>HYPERLINK("https://raw.githubusercontent.com/marcosmapl/dataset_imigrantes/main/materias_filtered/g1/haitianos/2016/11_dez/html/g1_71786892-22fa-11ed-b24f-6dbe51e79fca_2220.html", "HTML")</f>
        <v/>
      </c>
      <c r="R2550">
        <f>HYPERLINK("https://raw.githubusercontent.com/marcosmapl/dataset_imigrantes/main/materias_filtered/g1/haitianos/2016/11_dez/txt/g1_71786892-22fa-11ed-b24f-6dbe51e79fca_2220.txt", "TXT")</f>
        <v/>
      </c>
    </row>
    <row r="2551">
      <c r="A2551" s="1" t="n">
        <v>2549</v>
      </c>
      <c r="B2551" t="n">
        <v>2016</v>
      </c>
      <c r="C2551" s="2" t="n">
        <v>42734.98611111111</v>
      </c>
      <c r="D2551" t="inlineStr">
        <is>
          <t>G1</t>
        </is>
      </c>
      <c r="E2551" t="inlineStr">
        <is>
          <t>HAITIANOS</t>
        </is>
      </c>
      <c r="F2551" t="inlineStr"/>
      <c r="G2551" t="inlineStr">
        <is>
          <t>1 RS</t>
        </is>
      </c>
      <c r="H2551" t="inlineStr">
        <is>
          <t>HAITIANO É MORTO A FACADAS EM PENSÃO DE GRAVATAÍ</t>
        </is>
      </c>
      <c r="I2551" t="inlineStr"/>
      <c r="J2551" t="inlineStr">
        <is>
          <t>GRAVATAÍ</t>
        </is>
      </c>
      <c r="K2551" t="n">
        <v>1</v>
      </c>
      <c r="L2551" t="n">
        <v>1</v>
      </c>
      <c r="M2551" t="n">
        <v>0</v>
      </c>
      <c r="N2551" t="n">
        <v>0</v>
      </c>
      <c r="O2551" t="n">
        <v>10</v>
      </c>
      <c r="P2551">
        <f>HYPERLINK("http://g1.globo.com/rs/rio-grande-do-sul/noticia/2016/12/haitiano-e-morto-facadas-em-pensao-de-gravatai.html", "URL")</f>
        <v/>
      </c>
      <c r="Q2551">
        <f>HYPERLINK("https://raw.githubusercontent.com/marcosmapl/dataset_imigrantes/main/materias_filtered/g1/haitianos/2016/11_dez/html/g1_fdfa64a6-22f4-11ed-b24f-6dbe51e79fca_1925.html", "HTML")</f>
        <v/>
      </c>
      <c r="R2551">
        <f>HYPERLINK("https://raw.githubusercontent.com/marcosmapl/dataset_imigrantes/main/materias_filtered/g1/haitianos/2016/11_dez/txt/g1_fdfa64a6-22f4-11ed-b24f-6dbe51e79fca_1925.txt", "TXT")</f>
        <v/>
      </c>
    </row>
    <row r="2552">
      <c r="A2552" s="1" t="n">
        <v>2550</v>
      </c>
      <c r="B2552" t="n">
        <v>2016</v>
      </c>
      <c r="C2552" s="2" t="n">
        <v>42731.89097222222</v>
      </c>
      <c r="D2552" t="inlineStr">
        <is>
          <t>PORTAL AMAZONIA</t>
        </is>
      </c>
      <c r="E2552" t="inlineStr">
        <is>
          <t>VENEZUELANOS</t>
        </is>
      </c>
      <c r="F2552" t="inlineStr">
        <is>
          <t>CIDADES</t>
        </is>
      </c>
      <c r="G2552" t="inlineStr">
        <is>
          <t>REDAÇÃO</t>
        </is>
      </c>
      <c r="H2552" t="inlineStr">
        <is>
          <t>MINISTRO PROMETE AJUDAR PACARAIMA EM SITUAÇÃO COM IMIGRANTES VENEZUELANOS</t>
        </is>
      </c>
      <c r="I2552" t="inlineStr">
        <is>
          <t>O MINISTRO DA SAÚDE, RICARDO BARROS, VISITOU NESTA TERÇA-FEIRA (27), AS INSTALAÇÕES DO HOSPITAL DÉLIO OLIVEIRA TUPINAMBÁ, NO MUNICÍPIO DE PACARAIMA (RR). NO LOCAL, O NÚMERO DE ATENDIMENTOS A VENEZUELANOS REPRESENTA GRANDE PARTE DAS CONSULTAS E PROCED</t>
        </is>
      </c>
      <c r="J2552" t="inlineStr">
        <is>
          <t>AMAZÔNIA INTERNACIONAL, AMAZONIA LEGAL, CRISE ECONÔMICA, CRISE POLÍTICA, IMIGRANTES, RORAIMA, VENEZUELA</t>
        </is>
      </c>
      <c r="K2552" t="n">
        <v>7</v>
      </c>
      <c r="L2552" t="n">
        <v>1</v>
      </c>
      <c r="M2552" t="n">
        <v>0</v>
      </c>
      <c r="N2552" t="n">
        <v>0</v>
      </c>
      <c r="O2552" t="n">
        <v>12</v>
      </c>
      <c r="P2552">
        <f>HYPERLINK("https://portalamazonia.com/noticias/cidades/ministro-promete-ajudar-pacaraima-em-situacao-com-imigrantes-venezuelanos", "URL")</f>
        <v/>
      </c>
      <c r="Q2552">
        <f>HYPERLINK("https://raw.githubusercontent.com/marcosmapl/dataset_imigrantes/main/materias_filtered/portal_amazonia/venezuelanos/2016/11_dez/html/6170.6170_1462.html", "HTML")</f>
        <v/>
      </c>
      <c r="R2552">
        <f>HYPERLINK("https://raw.githubusercontent.com/marcosmapl/dataset_imigrantes/main/materias_filtered/portal_amazonia/venezuelanos/2016/11_dez/txt/6170.6170_1462.txt", "TXT")</f>
        <v/>
      </c>
    </row>
    <row r="2553">
      <c r="A2553" s="1" t="n">
        <v>2551</v>
      </c>
      <c r="B2553" t="n">
        <v>2016</v>
      </c>
      <c r="C2553" s="2" t="n">
        <v>42730.82777777778</v>
      </c>
      <c r="D2553" t="inlineStr">
        <is>
          <t>PORTAL AMAZONIA</t>
        </is>
      </c>
      <c r="E2553" t="inlineStr">
        <is>
          <t>VENEZUELANOS</t>
        </is>
      </c>
      <c r="F2553" t="inlineStr">
        <is>
          <t>CIDADES</t>
        </is>
      </c>
      <c r="G2553" t="inlineStr">
        <is>
          <t>REDAÇÃO</t>
        </is>
      </c>
      <c r="H2553" t="inlineStr">
        <is>
          <t>MINISTRO VISITA RR PARA ACOMPANHAR A SITUAÇÃO DE IMIGRANTES VENEZUELANOS</t>
        </is>
      </c>
      <c r="I2553" t="inlineStr">
        <is>
          <t>MINISTRO RICARDO BARROS VISITA BOA VISTA PARA ACOMPANHAR A SITUAÇÃO DOS IMIGRANTES VENEZUELANOS. FOTO: REPRODUÇÃO/FOTOS PÚBLICASO MINISTRO DA SAÚDE, RICARDO BARROS, VISITA NESTA TERÇA-FEIRA (27) O MUNICÍPIO DE PACARAIMA (RR), NA FRONTEIRA COM A VENEZ</t>
        </is>
      </c>
      <c r="J2553" t="inlineStr">
        <is>
          <t>AMAZÔNIA INTERNACIONAL, AMAZONIA LEGAL, CRISE ECONÔMICA, CRISE POLÍTICA, IMIGRANTES, VENEZUELA</t>
        </is>
      </c>
      <c r="K2553" t="n">
        <v>6</v>
      </c>
      <c r="L2553" t="n">
        <v>2</v>
      </c>
      <c r="M2553" t="n">
        <v>0</v>
      </c>
      <c r="N2553" t="n">
        <v>0</v>
      </c>
      <c r="O2553" t="n">
        <v>11</v>
      </c>
      <c r="P2553">
        <f>HYPERLINK("https://portalamazonia.com/noticias/cidades/ministro-visita-rr-para-acompanhar-a-situacao-de-imigrantes-venezuelanos", "URL")</f>
        <v/>
      </c>
      <c r="Q2553">
        <f>HYPERLINK("https://raw.githubusercontent.com/marcosmapl/dataset_imigrantes/main/materias_filtered/portal_amazonia/venezuelanos/2016/11_dez/html/6138.6138_1395.html", "HTML")</f>
        <v/>
      </c>
      <c r="R2553">
        <f>HYPERLINK("https://raw.githubusercontent.com/marcosmapl/dataset_imigrantes/main/materias_filtered/portal_amazonia/venezuelanos/2016/11_dez/txt/6138.6138_1395.txt", "TXT")</f>
        <v/>
      </c>
    </row>
    <row r="2554">
      <c r="A2554" s="1" t="n">
        <v>2552</v>
      </c>
      <c r="B2554" t="n">
        <v>2016</v>
      </c>
      <c r="C2554" s="2" t="n">
        <v>42730.29166666666</v>
      </c>
      <c r="D2554" t="inlineStr">
        <is>
          <t>A CRITICA</t>
        </is>
      </c>
      <c r="E2554" t="inlineStr">
        <is>
          <t>VENEZUELANOS</t>
        </is>
      </c>
      <c r="F2554" t="inlineStr">
        <is>
          <t>MANAUS</t>
        </is>
      </c>
      <c r="G2554" t="inlineStr">
        <is>
          <t>SILANE SOUZA</t>
        </is>
      </c>
      <c r="H2554" t="inlineStr">
        <is>
          <t>DEVIDO À CRISE, AMAZONAS RECEBE QUASE 800 PEDIDOS DE REFÚGIO DE VENEZUELANOS</t>
        </is>
      </c>
      <c r="I2554" t="inlineStr">
        <is>
          <t>DADOS SÃO RELATIVOS ATÉ OUTUBRO E SEGUNDO DELEGACIA DE POLÍCIA DE IMIGRAÇÃO DA PF DO AMAZONAS, NÚMERO É 115% MAIOR QUE EM 2015. VENEZUELANOS AFIRMAM QUE, EM COMPARAÇÃO AO PAÍS DE ORIGEM, 'NÃO HÁ CRISE NO BRASIL'</t>
        </is>
      </c>
      <c r="J2554" t="inlineStr"/>
      <c r="K2554" t="n">
        <v>0</v>
      </c>
      <c r="L2554" t="n">
        <v>1</v>
      </c>
      <c r="M2554" t="n">
        <v>0</v>
      </c>
      <c r="N2554" t="n">
        <v>0</v>
      </c>
      <c r="O2554" t="n">
        <v>0</v>
      </c>
      <c r="P2554">
        <f>HYPERLINK("https://www.acritica.com/manaus/devido-a-crise-amazonas-recebe-quase-800-pedidos-de-refugio-de-venezuelanos-1.207828", "URL")</f>
        <v/>
      </c>
      <c r="Q2554">
        <f>HYPERLINK("https://raw.githubusercontent.com/marcosmapl/dataset_imigrantes/main/materias_filtered/a_critica/venezuelanos/2016/11_dez/html/1.207828_1021.html", "HTML")</f>
        <v/>
      </c>
      <c r="R2554">
        <f>HYPERLINK("https://raw.githubusercontent.com/marcosmapl/dataset_imigrantes/main/materias_filtered/a_critica/venezuelanos/2016/11_dez/txt/1.207828_1021.txt", "TXT")</f>
        <v/>
      </c>
    </row>
    <row r="2555">
      <c r="A2555" s="1" t="n">
        <v>2553</v>
      </c>
      <c r="B2555" t="n">
        <v>2016</v>
      </c>
      <c r="C2555" s="2" t="n">
        <v>42728.80347222222</v>
      </c>
      <c r="D2555" t="inlineStr">
        <is>
          <t>PORTAL AMAZONIA</t>
        </is>
      </c>
      <c r="E2555" t="inlineStr">
        <is>
          <t>AMBOS</t>
        </is>
      </c>
      <c r="F2555" t="inlineStr">
        <is>
          <t>CIDADES</t>
        </is>
      </c>
      <c r="G2555" t="inlineStr">
        <is>
          <t>REDAÇÃO</t>
        </is>
      </c>
      <c r="H2555" t="inlineStr">
        <is>
          <t>IMIGRANTES RECEBEM APOIO EM MANAUS</t>
        </is>
      </c>
      <c r="I2555" t="inlineStr">
        <is>
          <t>MESMO COM A CRISE ECONÔMICA NO PAÍS, AS CASAS DE APOIO A IMIGRANTES DE MANAUS NÃO DEIXAM DE RECEBER DOAÇÕES PARA A CEIA DE NATAL. NA PARÓQUIA SÃO GERALDO, QUE ACOLHE E ACOMPANHA OS IMIGRANTES HAITIANOS, VENEZUELANOS E CUBANOS, O APELO A ALIMENTOS E A</t>
        </is>
      </c>
      <c r="J2555" t="inlineStr">
        <is>
          <t>AMAZONAS, AMAZONIA LEGAL, IMIGRANTES, MANAUS, NATAL</t>
        </is>
      </c>
      <c r="K2555" t="n">
        <v>5</v>
      </c>
      <c r="L2555" t="n">
        <v>2</v>
      </c>
      <c r="M2555" t="n">
        <v>0</v>
      </c>
      <c r="N2555" t="n">
        <v>0</v>
      </c>
      <c r="O2555" t="n">
        <v>10</v>
      </c>
      <c r="P2555">
        <f>HYPERLINK("https://portalamazonia.com/noticias/cidades/imigrantes-recebem-apoio-em-manaus", "URL")</f>
        <v/>
      </c>
      <c r="Q2555">
        <f>HYPERLINK("https://raw.githubusercontent.com/marcosmapl/dataset_imigrantes/main/materias_filtered/portal_amazonia/ambos/2016/11_dez/html/6098.6098_1497.html", "HTML")</f>
        <v/>
      </c>
      <c r="R2555">
        <f>HYPERLINK("https://raw.githubusercontent.com/marcosmapl/dataset_imigrantes/main/materias_filtered/portal_amazonia/ambos/2016/11_dez/txt/6098.6098_1497.txt", "TXT")</f>
        <v/>
      </c>
    </row>
    <row r="2556">
      <c r="A2556" s="1" t="n">
        <v>2554</v>
      </c>
      <c r="B2556" t="n">
        <v>2016</v>
      </c>
      <c r="C2556" s="2" t="n">
        <v>42728.72777777778</v>
      </c>
      <c r="D2556" t="inlineStr">
        <is>
          <t>G1</t>
        </is>
      </c>
      <c r="E2556" t="inlineStr">
        <is>
          <t>HAITIANOS</t>
        </is>
      </c>
      <c r="F2556" t="inlineStr"/>
      <c r="G2556" t="inlineStr">
        <is>
          <t>1 MT</t>
        </is>
      </c>
      <c r="H2556" t="inlineStr">
        <is>
          <t>HAITIANO QUE FICOU PARAPLÉGICO APÓS LEVAR TIRO DEVE REVER FILHOS APÓS 3 ANOS</t>
        </is>
      </c>
      <c r="I2556" t="inlineStr"/>
      <c r="J2556" t="inlineStr">
        <is>
          <t>CUIABÁ</t>
        </is>
      </c>
      <c r="K2556" t="n">
        <v>1</v>
      </c>
      <c r="L2556" t="n">
        <v>5</v>
      </c>
      <c r="M2556" t="n">
        <v>0</v>
      </c>
      <c r="N2556" t="n">
        <v>0</v>
      </c>
      <c r="O2556" t="n">
        <v>14</v>
      </c>
      <c r="P2556">
        <f>HYPERLINK("http://g1.globo.com/mato-grosso/noticia/2016/12/haitiano-que-ficou-paraplegico-apos-levar-tiro-deve-rever-filhos-apos-3-anos.html", "URL")</f>
        <v/>
      </c>
      <c r="Q2556">
        <f>HYPERLINK("https://raw.githubusercontent.com/marcosmapl/dataset_imigrantes/main/materias_filtered/g1/haitianos/2016/11_dez/html/g1_1e434bc4-22f5-11ed-b24f-6dbe51e79fca_1932.html", "HTML")</f>
        <v/>
      </c>
      <c r="R2556">
        <f>HYPERLINK("https://raw.githubusercontent.com/marcosmapl/dataset_imigrantes/main/materias_filtered/g1/haitianos/2016/11_dez/txt/g1_1e434bc4-22f5-11ed-b24f-6dbe51e79fca_1932.txt", "TXT")</f>
        <v/>
      </c>
    </row>
    <row r="2557">
      <c r="A2557" s="1" t="n">
        <v>2555</v>
      </c>
      <c r="B2557" t="n">
        <v>2016</v>
      </c>
      <c r="C2557" s="2" t="n">
        <v>42726.50709490741</v>
      </c>
      <c r="D2557" t="inlineStr">
        <is>
          <t>A CRITICA</t>
        </is>
      </c>
      <c r="E2557" t="inlineStr">
        <is>
          <t>VENEZUELANOS</t>
        </is>
      </c>
      <c r="F2557" t="inlineStr"/>
      <c r="G2557" t="inlineStr">
        <is>
          <t>IVAN RICHARD ESPOSITO (AGÊNCIA BRASIL)</t>
        </is>
      </c>
      <c r="H2557" t="inlineStr">
        <is>
          <t>ITAMARATY INFORMA QUE NÃO HÁ MAIS BRASILEIROS RETIDOS NA VENEZUELA</t>
        </is>
      </c>
      <c r="I2557" t="inlineStr">
        <is>
          <t>NA TERÇA (20) AS AUTORIDADES VENEZUELANAS REABRIRAM A FRONTEIRA PARA O TRÂNSITO DE PEDESTRES. A PASSAGEM DE VEÍCULOS OCORRE DIARIAMENTE ÀS 14H</t>
        </is>
      </c>
      <c r="J2557" t="inlineStr"/>
      <c r="K2557" t="n">
        <v>0</v>
      </c>
      <c r="L2557" t="n">
        <v>1</v>
      </c>
      <c r="M2557" t="n">
        <v>0</v>
      </c>
      <c r="N2557" t="n">
        <v>0</v>
      </c>
      <c r="O2557" t="n">
        <v>0</v>
      </c>
      <c r="P2557">
        <f>HYPERLINK("https://www.acritica.com/itamaraty-informa-que-n-o-ha-mais-brasileiros-retidos-na-venezuela-1.99775", "URL")</f>
        <v/>
      </c>
      <c r="Q2557">
        <f>HYPERLINK("https://raw.githubusercontent.com/marcosmapl/dataset_imigrantes/main/materias_filtered/a_critica/venezuelanos/2016/11_dez/html/1.99775_284.html", "HTML")</f>
        <v/>
      </c>
      <c r="R2557">
        <f>HYPERLINK("https://raw.githubusercontent.com/marcosmapl/dataset_imigrantes/main/materias_filtered/a_critica/venezuelanos/2016/11_dez/txt/1.99775_284.txt", "TXT")</f>
        <v/>
      </c>
    </row>
    <row r="2558">
      <c r="A2558" s="1" t="n">
        <v>2556</v>
      </c>
      <c r="B2558" t="n">
        <v>2016</v>
      </c>
      <c r="C2558" s="2" t="n">
        <v>42725.29166666666</v>
      </c>
      <c r="D2558" t="inlineStr">
        <is>
          <t>A CRITICA</t>
        </is>
      </c>
      <c r="E2558" t="inlineStr">
        <is>
          <t>VENEZUELANOS</t>
        </is>
      </c>
      <c r="F2558" t="inlineStr">
        <is>
          <t>MANAUS</t>
        </is>
      </c>
      <c r="G2558" t="inlineStr">
        <is>
          <t>KELLY MELO</t>
        </is>
      </c>
      <c r="H2558" t="inlineStr">
        <is>
          <t>VOLTA DOS TURISTAS BRASILEIROS QUE ESTÃO NA VENEZUELA É LIBERADA</t>
        </is>
      </c>
      <c r="I2558" t="inlineStr">
        <is>
          <t>APENAS A PASSAGEM DE VEÍCULOS PRECISA SER COMUNICADA ATÉ AS 13H ÀS AUTORIDADES VENEZUELANAS</t>
        </is>
      </c>
      <c r="J2558" t="inlineStr"/>
      <c r="K2558" t="n">
        <v>0</v>
      </c>
      <c r="L2558" t="n">
        <v>1</v>
      </c>
      <c r="M2558" t="n">
        <v>0</v>
      </c>
      <c r="N2558" t="n">
        <v>0</v>
      </c>
      <c r="O2558" t="n">
        <v>0</v>
      </c>
      <c r="P2558">
        <f>HYPERLINK("https://www.acritica.com/manaus/volta-dos-turistas-brasileiros-que-est-o-na-venezuela-e-liberada-1.99832", "URL")</f>
        <v/>
      </c>
      <c r="Q2558">
        <f>HYPERLINK("https://raw.githubusercontent.com/marcosmapl/dataset_imigrantes/main/materias_filtered/a_critica/venezuelanos/2016/11_dez/html/1.99832_201.html", "HTML")</f>
        <v/>
      </c>
      <c r="R2558">
        <f>HYPERLINK("https://raw.githubusercontent.com/marcosmapl/dataset_imigrantes/main/materias_filtered/a_critica/venezuelanos/2016/11_dez/txt/1.99832_201.txt", "TXT")</f>
        <v/>
      </c>
    </row>
    <row r="2559">
      <c r="A2559" s="1" t="n">
        <v>2557</v>
      </c>
      <c r="B2559" t="n">
        <v>2016</v>
      </c>
      <c r="C2559" s="2" t="n">
        <v>42724.83888888889</v>
      </c>
      <c r="D2559" t="inlineStr">
        <is>
          <t>A CRITICA</t>
        </is>
      </c>
      <c r="E2559" t="inlineStr">
        <is>
          <t>VENEZUELANOS</t>
        </is>
      </c>
      <c r="F2559" t="inlineStr">
        <is>
          <t>MANAUS</t>
        </is>
      </c>
      <c r="G2559" t="inlineStr">
        <is>
          <t>VINICIUS LEAL</t>
        </is>
      </c>
      <c r="H2559" t="inlineStr">
        <is>
          <t>AMAZONENSE QUE FICOU ‘PRESO’ NA VENEZUELA FINALMENTE CONSEGUE SE CASAR EM MANAUS</t>
        </is>
      </c>
      <c r="I2559" t="inlineStr">
        <is>
          <t>O NOIVO PERDEU O PRÓPRIO CASAMENTO APÓS FRONTEIRA SER FECHADA, E RETORNOU AO BRASIL COM OS AMIGOS FAZENDO TRAVESSIA ILEGAL PELO MATO</t>
        </is>
      </c>
      <c r="J2559" t="inlineStr"/>
      <c r="K2559" t="n">
        <v>0</v>
      </c>
      <c r="L2559" t="n">
        <v>1</v>
      </c>
      <c r="M2559" t="n">
        <v>0</v>
      </c>
      <c r="N2559" t="n">
        <v>0</v>
      </c>
      <c r="O2559" t="n">
        <v>3</v>
      </c>
      <c r="P2559">
        <f>HYPERLINK("https://www.acritica.com/manaus/amazonense-que-ficou-preso-na-venezuela-finalmente-consegue-se-casar-em-manaus-1.99840", "URL")</f>
        <v/>
      </c>
      <c r="Q2559">
        <f>HYPERLINK("https://raw.githubusercontent.com/marcosmapl/dataset_imigrantes/main/materias_filtered/a_critica/venezuelanos/2016/11_dez/html/1.99840_1033.html", "HTML")</f>
        <v/>
      </c>
      <c r="R2559">
        <f>HYPERLINK("https://raw.githubusercontent.com/marcosmapl/dataset_imigrantes/main/materias_filtered/a_critica/venezuelanos/2016/11_dez/txt/1.99840_1033.txt", "TXT")</f>
        <v/>
      </c>
    </row>
    <row r="2560">
      <c r="A2560" s="1" t="n">
        <v>2558</v>
      </c>
      <c r="B2560" t="n">
        <v>2016</v>
      </c>
      <c r="C2560" s="2" t="n">
        <v>42724.44459490741</v>
      </c>
      <c r="D2560" t="inlineStr">
        <is>
          <t>A CRITICA</t>
        </is>
      </c>
      <c r="E2560" t="inlineStr">
        <is>
          <t>VENEZUELANOS</t>
        </is>
      </c>
      <c r="F2560" t="inlineStr"/>
      <c r="G2560" t="inlineStr">
        <is>
          <t>KELLY MELO</t>
        </is>
      </c>
      <c r="H2560" t="inlineStr">
        <is>
          <t>BRASILEIROS 'PRESOS' NA VENEZUELA SÃO AUTORIZADOS A VOLTAR PARA CASA</t>
        </is>
      </c>
      <c r="I2560" t="inlineStr">
        <is>
          <t>ACORDO FOI FIRMADO NESTA SEGUNDA-FEIRA (19) E TODAS AS TARDES, UM GRUPO PODERÁ CRUZAR A FRONTEIRA ENQUANTO DURAR O FECHAMENTO</t>
        </is>
      </c>
      <c r="J2560" t="inlineStr"/>
      <c r="K2560" t="n">
        <v>0</v>
      </c>
      <c r="L2560" t="n">
        <v>1</v>
      </c>
      <c r="M2560" t="n">
        <v>0</v>
      </c>
      <c r="N2560" t="n">
        <v>0</v>
      </c>
      <c r="O2560" t="n">
        <v>0</v>
      </c>
      <c r="P2560">
        <f>HYPERLINK("https://www.acritica.com/brasileiros-presos-na-venezuela-s-o-autorizados-a-voltar-para-casa-1.99877", "URL")</f>
        <v/>
      </c>
      <c r="Q2560">
        <f>HYPERLINK("https://raw.githubusercontent.com/marcosmapl/dataset_imigrantes/main/materias_filtered/a_critica/venezuelanos/2016/11_dez/html/1.99877_630.html", "HTML")</f>
        <v/>
      </c>
      <c r="R2560">
        <f>HYPERLINK("https://raw.githubusercontent.com/marcosmapl/dataset_imigrantes/main/materias_filtered/a_critica/venezuelanos/2016/11_dez/txt/1.99877_630.txt", "TXT")</f>
        <v/>
      </c>
    </row>
    <row r="2561">
      <c r="A2561" s="1" t="n">
        <v>2559</v>
      </c>
      <c r="B2561" t="n">
        <v>2016</v>
      </c>
      <c r="C2561" s="2" t="n">
        <v>42724.25</v>
      </c>
      <c r="D2561" t="inlineStr">
        <is>
          <t>G1</t>
        </is>
      </c>
      <c r="E2561" t="inlineStr">
        <is>
          <t>HAITIANOS</t>
        </is>
      </c>
      <c r="F2561" t="inlineStr"/>
      <c r="G2561" t="inlineStr">
        <is>
          <t>1 SC</t>
        </is>
      </c>
      <c r="H2561" t="inlineStr">
        <is>
          <t>HAITIANOS EM SC TÊM MISSA DE NATAL CELEBRADA EM FRANCÊS E CRIOULO</t>
        </is>
      </c>
      <c r="I2561" t="inlineStr"/>
      <c r="J2561" t="inlineStr">
        <is>
          <t>JOINVILLE</t>
        </is>
      </c>
      <c r="K2561" t="n">
        <v>1</v>
      </c>
      <c r="L2561" t="n">
        <v>5</v>
      </c>
      <c r="M2561" t="n">
        <v>0</v>
      </c>
      <c r="N2561" t="n">
        <v>0</v>
      </c>
      <c r="O2561" t="n">
        <v>11</v>
      </c>
      <c r="P2561">
        <f>HYPERLINK("http://g1.globo.com/sc/santa-catarina/noticia/2016/12/haitianos-em-sc-tem-missa-de-natal-celebrada-em-frances-e-crioulo.html", "URL")</f>
        <v/>
      </c>
      <c r="Q2561">
        <f>HYPERLINK("https://raw.githubusercontent.com/marcosmapl/dataset_imigrantes/main/materias_filtered/g1/haitianos/2016/11_dez/html/g1_1fe570aa-22f1-11ed-b24f-6dbe51e79fca_1735.html", "HTML")</f>
        <v/>
      </c>
      <c r="R2561">
        <f>HYPERLINK("https://raw.githubusercontent.com/marcosmapl/dataset_imigrantes/main/materias_filtered/g1/haitianos/2016/11_dez/txt/g1_1fe570aa-22f1-11ed-b24f-6dbe51e79fca_1735.txt", "TXT")</f>
        <v/>
      </c>
    </row>
    <row r="2562">
      <c r="A2562" s="1" t="n">
        <v>2560</v>
      </c>
      <c r="B2562" t="n">
        <v>2016</v>
      </c>
      <c r="C2562" s="2" t="n">
        <v>42723.77013888889</v>
      </c>
      <c r="D2562" t="inlineStr">
        <is>
          <t>A CRITICA</t>
        </is>
      </c>
      <c r="E2562" t="inlineStr">
        <is>
          <t>VENEZUELANOS</t>
        </is>
      </c>
      <c r="F2562" t="inlineStr"/>
      <c r="G2562" t="inlineStr">
        <is>
          <t>BIANCA PAIVA –  AGÊNCIA BRASIL</t>
        </is>
      </c>
      <c r="H2562" t="inlineStr">
        <is>
          <t>BRASILEIROS RETIDOS NA VENEZUELA JÁ PODEM ATRAVESSAR A FRONTEIRA</t>
        </is>
      </c>
      <c r="I2562" t="inlineStr">
        <is>
          <t>OS TURISTAS DEVEM PROCURAR O VICE-CONSULADO DO BRASIL EM SANTA ELENA DE UAIRÉN OU LIGAR PARA A SECRETARIA EXTRAORDINÁRIA DE ASSUNTOS INTERNACIONAIS EM BOA VISTA, NO NÚMERO DDD 95 – 99146 99 77</t>
        </is>
      </c>
      <c r="J2562" t="inlineStr"/>
      <c r="K2562" t="n">
        <v>0</v>
      </c>
      <c r="L2562" t="n">
        <v>1</v>
      </c>
      <c r="M2562" t="n">
        <v>0</v>
      </c>
      <c r="N2562" t="n">
        <v>0</v>
      </c>
      <c r="O2562" t="n">
        <v>0</v>
      </c>
      <c r="P2562">
        <f>HYPERLINK("https://www.acritica.com/brasileiros-retidos-na-venezuela-ja-podem-atravessar-a-fronteira-1.99895", "URL")</f>
        <v/>
      </c>
      <c r="Q2562">
        <f>HYPERLINK("https://raw.githubusercontent.com/marcosmapl/dataset_imigrantes/main/materias_filtered/a_critica/venezuelanos/2016/11_dez/html/1.99895_145.html", "HTML")</f>
        <v/>
      </c>
      <c r="R2562">
        <f>HYPERLINK("https://raw.githubusercontent.com/marcosmapl/dataset_imigrantes/main/materias_filtered/a_critica/venezuelanos/2016/11_dez/txt/1.99895_145.txt", "TXT")</f>
        <v/>
      </c>
    </row>
    <row r="2563">
      <c r="A2563" s="1" t="n">
        <v>2561</v>
      </c>
      <c r="B2563" t="n">
        <v>2016</v>
      </c>
      <c r="C2563" s="2" t="n">
        <v>42722.97083333333</v>
      </c>
      <c r="D2563" t="inlineStr">
        <is>
          <t>A CRITICA</t>
        </is>
      </c>
      <c r="E2563" t="inlineStr">
        <is>
          <t>VENEZUELANOS</t>
        </is>
      </c>
      <c r="F2563" t="inlineStr">
        <is>
          <t>OPINIAO</t>
        </is>
      </c>
      <c r="G2563" t="inlineStr"/>
      <c r="H2563" t="inlineStr">
        <is>
          <t>CHEGA DE LETARGIA</t>
        </is>
      </c>
      <c r="I2563" t="inlineStr"/>
      <c r="J2563" t="inlineStr"/>
      <c r="K2563" t="n">
        <v>0</v>
      </c>
      <c r="L2563" t="n">
        <v>1</v>
      </c>
      <c r="M2563" t="n">
        <v>0</v>
      </c>
      <c r="N2563" t="n">
        <v>0</v>
      </c>
      <c r="O2563" t="n">
        <v>0</v>
      </c>
      <c r="P2563">
        <f>HYPERLINK("https://www.acritica.com/opiniao/chega-de-letargia-1.232608", "URL")</f>
        <v/>
      </c>
      <c r="Q2563">
        <f>HYPERLINK("https://raw.githubusercontent.com/marcosmapl/dataset_imigrantes/main/materias_filtered/a_critica/venezuelanos/2016/11_dez/html/1.232608_487.html", "HTML")</f>
        <v/>
      </c>
      <c r="R2563">
        <f>HYPERLINK("https://raw.githubusercontent.com/marcosmapl/dataset_imigrantes/main/materias_filtered/a_critica/venezuelanos/2016/11_dez/txt/1.232608_487.txt", "TXT")</f>
        <v/>
      </c>
    </row>
    <row r="2564">
      <c r="A2564" s="1" t="n">
        <v>2562</v>
      </c>
      <c r="B2564" t="n">
        <v>2016</v>
      </c>
      <c r="C2564" s="2" t="n">
        <v>42722.89333333333</v>
      </c>
      <c r="D2564" t="inlineStr">
        <is>
          <t>A CRITICA</t>
        </is>
      </c>
      <c r="E2564" t="inlineStr">
        <is>
          <t>VENEZUELANOS</t>
        </is>
      </c>
      <c r="F2564" t="inlineStr"/>
      <c r="G2564" t="inlineStr">
        <is>
          <t>AGÊNCIA BRASIL</t>
        </is>
      </c>
      <c r="H2564" t="inlineStr">
        <is>
          <t>PELO MENOS 50 PESSOAS PROCURARAM VICE-CONSULADO APÓS VENEZUELA FECHAR FRONTEIRA</t>
        </is>
      </c>
      <c r="I2564" t="inlineStr">
        <is>
          <t>MINISTÉRIO DAS RELAÇÕES EXTERIORES INFORMA QUE ESTÃO SENDO "REALIZADAS GESTÕES COM VISTAS A BUSCAR UMA SOLUÇÃO PARA O CASO". PARA VOLTAR AO BRASIL, AMAZONENSES CRUZARAM A FRONTEIRA PELO MATO</t>
        </is>
      </c>
      <c r="J2564" t="inlineStr"/>
      <c r="K2564" t="n">
        <v>0</v>
      </c>
      <c r="L2564" t="n">
        <v>1</v>
      </c>
      <c r="M2564" t="n">
        <v>0</v>
      </c>
      <c r="N2564" t="n">
        <v>0</v>
      </c>
      <c r="O2564" t="n">
        <v>1</v>
      </c>
      <c r="P2564">
        <f>HYPERLINK("https://www.acritica.com/pelo-menos-50-pessoas-procuraram-vice-consulado-apos-venezuela-fechar-fronteira-1.208516", "URL")</f>
        <v/>
      </c>
      <c r="Q2564">
        <f>HYPERLINK("https://raw.githubusercontent.com/marcosmapl/dataset_imigrantes/main/materias_filtered/a_critica/venezuelanos/2016/11_dez/html/1.208516_666.html", "HTML")</f>
        <v/>
      </c>
      <c r="R2564">
        <f>HYPERLINK("https://raw.githubusercontent.com/marcosmapl/dataset_imigrantes/main/materias_filtered/a_critica/venezuelanos/2016/11_dez/txt/1.208516_666.txt", "TXT")</f>
        <v/>
      </c>
    </row>
    <row r="2565">
      <c r="A2565" s="1" t="n">
        <v>2563</v>
      </c>
      <c r="B2565" t="n">
        <v>2016</v>
      </c>
      <c r="C2565" s="2" t="n">
        <v>42722.52013888889</v>
      </c>
      <c r="D2565" t="inlineStr">
        <is>
          <t>G1</t>
        </is>
      </c>
      <c r="E2565" t="inlineStr">
        <is>
          <t>VENEZUELANOS</t>
        </is>
      </c>
      <c r="F2565" t="inlineStr"/>
      <c r="G2565" t="inlineStr">
        <is>
          <t>ELO MARQUESDO G1 RR</t>
        </is>
      </c>
      <c r="H2565" t="inlineStr">
        <is>
          <t>HOMEM É PRESO EM RR POR AGREDIR VENEZUELANA APÓS PROGRAMA SEXUAL</t>
        </is>
      </c>
      <c r="I2565" t="inlineStr"/>
      <c r="J2565" t="inlineStr">
        <is>
          <t>BOA VISTA</t>
        </is>
      </c>
      <c r="K2565" t="n">
        <v>1</v>
      </c>
      <c r="L2565" t="n">
        <v>4</v>
      </c>
      <c r="M2565" t="n">
        <v>0</v>
      </c>
      <c r="N2565" t="n">
        <v>0</v>
      </c>
      <c r="O2565" t="n">
        <v>12</v>
      </c>
      <c r="P2565">
        <f>HYPERLINK("http://g1.globo.com/rr/roraima/noticia/2016/12/homem-e-preso-em-rr-por-agredir-venezuelana-apos-programa-sexual.html", "URL")</f>
        <v/>
      </c>
      <c r="Q2565">
        <f>HYPERLINK("https://raw.githubusercontent.com/marcosmapl/dataset_imigrantes/main/materias_filtered/g1/venezuelanos/2016/11_dez/html/g1_ee68f244-2314-11ed-b24f-6dbe51e79fca_3058.html", "HTML")</f>
        <v/>
      </c>
      <c r="R2565">
        <f>HYPERLINK("https://raw.githubusercontent.com/marcosmapl/dataset_imigrantes/main/materias_filtered/g1/venezuelanos/2016/11_dez/txt/g1_ee68f244-2314-11ed-b24f-6dbe51e79fca_3058.txt", "TXT")</f>
        <v/>
      </c>
    </row>
    <row r="2566">
      <c r="A2566" s="1" t="n">
        <v>2564</v>
      </c>
      <c r="B2566" t="n">
        <v>2016</v>
      </c>
      <c r="C2566" s="2" t="n">
        <v>42720.80486111111</v>
      </c>
      <c r="D2566" t="inlineStr">
        <is>
          <t>A CRITICA</t>
        </is>
      </c>
      <c r="E2566" t="inlineStr">
        <is>
          <t>VENEZUELANOS</t>
        </is>
      </c>
      <c r="F2566" t="inlineStr">
        <is>
          <t>MANAUS</t>
        </is>
      </c>
      <c r="G2566" t="inlineStr">
        <is>
          <t>VINICIUS LEAL</t>
        </is>
      </c>
      <c r="H2566" t="inlineStr">
        <is>
          <t>AMAZONENSES IMPEDIDOS DE SAIR DA VENEZUELA ATRAVESSAM FRONTEIRA COM BRASIL PELO MATO</t>
        </is>
      </c>
      <c r="I2566" t="inlineStr">
        <is>
          <t>UM DELES RELATOU MOMENTOS DE MEDO, CANSAÇO E SEDE. AGORA EM MANAUS, O NOIVO QUE PERDEU O CASAMENTO JÁ REMARCOU O CASÓRIO</t>
        </is>
      </c>
      <c r="J2566" t="inlineStr"/>
      <c r="K2566" t="n">
        <v>0</v>
      </c>
      <c r="L2566" t="n">
        <v>1</v>
      </c>
      <c r="M2566" t="n">
        <v>0</v>
      </c>
      <c r="N2566" t="n">
        <v>0</v>
      </c>
      <c r="O2566" t="n">
        <v>1</v>
      </c>
      <c r="P2566">
        <f>HYPERLINK("https://www.acritica.com/manaus/amazonenses-impedidos-de-sair-da-venezuela-atravessam-fronteira-com-brasil-pelo-mato-1.175456", "URL")</f>
        <v/>
      </c>
      <c r="Q2566">
        <f>HYPERLINK("https://raw.githubusercontent.com/marcosmapl/dataset_imigrantes/main/materias_filtered/a_critica/venezuelanos/2016/11_dez/html/1.175456_468.html", "HTML")</f>
        <v/>
      </c>
      <c r="R2566">
        <f>HYPERLINK("https://raw.githubusercontent.com/marcosmapl/dataset_imigrantes/main/materias_filtered/a_critica/venezuelanos/2016/11_dez/txt/1.175456_468.txt", "TXT")</f>
        <v/>
      </c>
    </row>
    <row r="2567">
      <c r="A2567" s="1" t="n">
        <v>2565</v>
      </c>
      <c r="B2567" t="n">
        <v>2016</v>
      </c>
      <c r="C2567" s="2" t="n">
        <v>42719.64097222222</v>
      </c>
      <c r="D2567" t="inlineStr">
        <is>
          <t>A CRITICA</t>
        </is>
      </c>
      <c r="E2567" t="inlineStr">
        <is>
          <t>VENEZUELANOS</t>
        </is>
      </c>
      <c r="F2567" t="inlineStr">
        <is>
          <t>MANAUS</t>
        </is>
      </c>
      <c r="G2567" t="inlineStr">
        <is>
          <t>ISABELLE VALOIS</t>
        </is>
      </c>
      <c r="H2567" t="inlineStr">
        <is>
          <t>FRONTEIRA COM VENEZUELA FECHA E AMAZONENSE PERDE A PRÓPRIA FESTA DE CASAMENTO</t>
        </is>
      </c>
      <c r="I2567" t="inlineStr">
        <is>
          <t>AMAZONENSE ESTAVA EM FÉRIAS NA VENEZUELA E NÃO CONSEGUIU VOLTAR AO PAÍS GRAÇAS AO BLOQUEIO; FESTA SERIA REALIZADA NA TARDE DE HOJE, EM MANAUS</t>
        </is>
      </c>
      <c r="J2567" t="inlineStr"/>
      <c r="K2567" t="n">
        <v>0</v>
      </c>
      <c r="L2567" t="n">
        <v>1</v>
      </c>
      <c r="M2567" t="n">
        <v>0</v>
      </c>
      <c r="N2567" t="n">
        <v>0</v>
      </c>
      <c r="O2567" t="n">
        <v>1</v>
      </c>
      <c r="P2567">
        <f>HYPERLINK("https://www.acritica.com/manaus/fronteira-com-venezuela-fecha-e-amazonense-perde-a-propria-festa-de-casamento-1.175183", "URL")</f>
        <v/>
      </c>
      <c r="Q2567">
        <f>HYPERLINK("https://raw.githubusercontent.com/marcosmapl/dataset_imigrantes/main/materias_filtered/a_critica/venezuelanos/2016/11_dez/html/1.175183_1243.html", "HTML")</f>
        <v/>
      </c>
      <c r="R2567">
        <f>HYPERLINK("https://raw.githubusercontent.com/marcosmapl/dataset_imigrantes/main/materias_filtered/a_critica/venezuelanos/2016/11_dez/txt/1.175183_1243.txt", "TXT")</f>
        <v/>
      </c>
    </row>
    <row r="2568">
      <c r="A2568" s="1" t="n">
        <v>2566</v>
      </c>
      <c r="B2568" t="n">
        <v>2016</v>
      </c>
      <c r="C2568" s="2" t="n">
        <v>42718.59605324074</v>
      </c>
      <c r="D2568" t="inlineStr">
        <is>
          <t>A CRITICA</t>
        </is>
      </c>
      <c r="E2568" t="inlineStr">
        <is>
          <t>VENEZUELANOS</t>
        </is>
      </c>
      <c r="F2568" t="inlineStr"/>
      <c r="G2568" t="inlineStr">
        <is>
          <t>AGÊNCIA BRASIL</t>
        </is>
      </c>
      <c r="H2568" t="inlineStr">
        <is>
          <t>VENEZUELA FECHA FRONTEIRAS COM O BRASIL E A COLÔMBIA POR 72 HORAS</t>
        </is>
      </c>
      <c r="I2568" t="inlineStr">
        <is>
          <t>NICOLÁS MADURO ALEGOU QUE O DECRETO  DETERMINANDO O FECHAMENTO DA FRONTEIRA É PARA COMBATER AS MÁFIAS QUE ESTÃO CONTRABANDEANDO A MOEDA NACIONAL</t>
        </is>
      </c>
      <c r="J2568" t="inlineStr"/>
      <c r="K2568" t="n">
        <v>0</v>
      </c>
      <c r="L2568" t="n">
        <v>1</v>
      </c>
      <c r="M2568" t="n">
        <v>0</v>
      </c>
      <c r="N2568" t="n">
        <v>0</v>
      </c>
      <c r="O2568" t="n">
        <v>0</v>
      </c>
      <c r="P2568">
        <f>HYPERLINK("https://www.acritica.com/venezuela-fecha-fronteiras-com-o-brasil-e-a-colombia-por-72-horas-1.174880", "URL")</f>
        <v/>
      </c>
      <c r="Q2568">
        <f>HYPERLINK("https://raw.githubusercontent.com/marcosmapl/dataset_imigrantes/main/materias_filtered/a_critica/venezuelanos/2016/11_dez/html/1.174880_93.html", "HTML")</f>
        <v/>
      </c>
      <c r="R2568">
        <f>HYPERLINK("https://raw.githubusercontent.com/marcosmapl/dataset_imigrantes/main/materias_filtered/a_critica/venezuelanos/2016/11_dez/txt/1.174880_93.txt", "TXT")</f>
        <v/>
      </c>
    </row>
    <row r="2569">
      <c r="A2569" s="1" t="n">
        <v>2567</v>
      </c>
      <c r="B2569" t="n">
        <v>2016</v>
      </c>
      <c r="C2569" s="2" t="n">
        <v>42714.63194444445</v>
      </c>
      <c r="D2569" t="inlineStr">
        <is>
          <t>PORTAL AMAZONIA</t>
        </is>
      </c>
      <c r="E2569" t="inlineStr">
        <is>
          <t>VENEZUELANOS</t>
        </is>
      </c>
      <c r="F2569" t="inlineStr">
        <is>
          <t>CIDADES</t>
        </is>
      </c>
      <c r="G2569" t="inlineStr">
        <is>
          <t>REDAÇÃO</t>
        </is>
      </c>
      <c r="H2569" t="inlineStr">
        <is>
          <t>JUSTIÇA SUSPENDE DEPORTAÇÃO DE VENEZUELANOS EM RORAIMA</t>
        </is>
      </c>
      <c r="I2569" t="inlineStr">
        <is>
          <t>FOTO: PRICIELE VENTURINI/REDE AMAZÔNICA EM RORAIMAA DEPORTAÇÃO DE 450 VENEZUELANOS DO ESTADO DE RORAIMA FOI INTERROMPIDA NESTA SEXTA-FEIRA (9). A JUSTIÇA FEDERAL CONCEDEU LIMINAR, PUBLICADA ÀS 19H24, QUE IMPEDIA A DEPORTAÇÃO DOS IMIGRANTES QUE V</t>
        </is>
      </c>
      <c r="J2569" t="inlineStr">
        <is>
          <t>DEPORTAÇÃO, RORAIMA, VENEZUELA</t>
        </is>
      </c>
      <c r="K2569" t="n">
        <v>3</v>
      </c>
      <c r="L2569" t="n">
        <v>2</v>
      </c>
      <c r="M2569" t="n">
        <v>0</v>
      </c>
      <c r="N2569" t="n">
        <v>0</v>
      </c>
      <c r="O2569" t="n">
        <v>8</v>
      </c>
      <c r="P2569">
        <f>HYPERLINK("https://portalamazonia.com/noticias/cidades/justica-suspende-deportacao-de-venezuelanos-em-roraima", "URL")</f>
        <v/>
      </c>
      <c r="Q2569">
        <f>HYPERLINK("https://raw.githubusercontent.com/marcosmapl/dataset_imigrantes/main/materias_filtered/portal_amazonia/venezuelanos/2016/11_dez/html/5600.5600_1562.html", "HTML")</f>
        <v/>
      </c>
      <c r="R2569">
        <f>HYPERLINK("https://raw.githubusercontent.com/marcosmapl/dataset_imigrantes/main/materias_filtered/portal_amazonia/venezuelanos/2016/11_dez/txt/5600.5600_1562.txt", "TXT")</f>
        <v/>
      </c>
    </row>
    <row r="2570">
      <c r="A2570" s="1" t="n">
        <v>2568</v>
      </c>
      <c r="B2570" t="n">
        <v>2016</v>
      </c>
      <c r="C2570" s="2" t="n">
        <v>42713.91111111111</v>
      </c>
      <c r="D2570" t="inlineStr">
        <is>
          <t>A CRITICA</t>
        </is>
      </c>
      <c r="E2570" t="inlineStr">
        <is>
          <t>VENEZUELANOS</t>
        </is>
      </c>
      <c r="F2570" t="inlineStr"/>
      <c r="G2570" t="inlineStr">
        <is>
          <t>ALINE LEAL (AGÊNCIA BRASIL)</t>
        </is>
      </c>
      <c r="H2570" t="inlineStr">
        <is>
          <t>PF DE RORAIMA DEPORTA 450 VENEZUELANOS EM SITUAÇÃO IRREGULAR NO BRASIL</t>
        </is>
      </c>
      <c r="I2570" t="inlineStr">
        <is>
          <t>A MAIORIA DELES VIVIA NO CENTRO DA CIDADE, PRÓXIMO À FEIRA DO PASSARÃO, ONDE PEDIAM ESMOLAS, SEGUNDO A PF</t>
        </is>
      </c>
      <c r="J2570" t="inlineStr"/>
      <c r="K2570" t="n">
        <v>0</v>
      </c>
      <c r="L2570" t="n">
        <v>1</v>
      </c>
      <c r="M2570" t="n">
        <v>0</v>
      </c>
      <c r="N2570" t="n">
        <v>0</v>
      </c>
      <c r="O2570" t="n">
        <v>0</v>
      </c>
      <c r="P2570">
        <f>HYPERLINK("https://www.acritica.com/pf-de-roraima-deporta-450-venezuelanos-em-situac-o-irregular-no-brasil-1.174279", "URL")</f>
        <v/>
      </c>
      <c r="Q2570">
        <f>HYPERLINK("https://raw.githubusercontent.com/marcosmapl/dataset_imigrantes/main/materias_filtered/a_critica/venezuelanos/2016/11_dez/html/1.174279_1282.html", "HTML")</f>
        <v/>
      </c>
      <c r="R2570">
        <f>HYPERLINK("https://raw.githubusercontent.com/marcosmapl/dataset_imigrantes/main/materias_filtered/a_critica/venezuelanos/2016/11_dez/txt/1.174279_1282.txt", "TXT")</f>
        <v/>
      </c>
    </row>
    <row r="2571">
      <c r="A2571" s="1" t="n">
        <v>2569</v>
      </c>
      <c r="B2571" t="n">
        <v>2016</v>
      </c>
      <c r="C2571" s="2" t="n">
        <v>42712.96458333333</v>
      </c>
      <c r="D2571" t="inlineStr">
        <is>
          <t>PORTAL AMAZONIA</t>
        </is>
      </c>
      <c r="E2571" t="inlineStr">
        <is>
          <t>VENEZUELANOS</t>
        </is>
      </c>
      <c r="F2571" t="inlineStr">
        <is>
          <t>CIDADES</t>
        </is>
      </c>
      <c r="G2571" t="inlineStr">
        <is>
          <t>REDAÇÃO</t>
        </is>
      </c>
      <c r="H2571" t="inlineStr">
        <is>
          <t>RORAIMA DECRETA EMERGÊNCIA COM AUMENTO DE FLUXO DE VENEZUELANOS</t>
        </is>
      </c>
      <c r="I2571" t="inlineStr">
        <is>
          <t>O FLUXO INTENSO DE VENEZUELANOS EM RORAIMA LEVOU O GOVERNO DO ESTADO A DECRETAR SITUAÇÃO DE EMERGÊNCIA EM SAÚDE PÚBLICA DE IMPORTÂNCIA NACIONAL NOS MUNICÍPIOS DE PACARAIMA E BOA VISTA. A REGIÃO FAZ FRONTEIRA COM A VENEZUELA, QUE VIVE UMA FORTE CRISE</t>
        </is>
      </c>
      <c r="J2571" t="inlineStr">
        <is>
          <t>BOA VISTA, CRISE ECONÔMICA, IMIGRANTES, PACARAIMA, RORAIMA, VENEZUELA</t>
        </is>
      </c>
      <c r="K2571" t="n">
        <v>6</v>
      </c>
      <c r="L2571" t="n">
        <v>1</v>
      </c>
      <c r="M2571" t="n">
        <v>0</v>
      </c>
      <c r="N2571" t="n">
        <v>0</v>
      </c>
      <c r="O2571" t="n">
        <v>11</v>
      </c>
      <c r="P2571">
        <f>HYPERLINK("https://portalamazonia.com/noticias/cidades/roraima-decreta-emergencia-com-aumento-de-fluxo-de-venezuelanos", "URL")</f>
        <v/>
      </c>
      <c r="Q2571">
        <f>HYPERLINK("https://raw.githubusercontent.com/marcosmapl/dataset_imigrantes/main/materias_filtered/portal_amazonia/venezuelanos/2016/11_dez/html/5541.5541_1571.html", "HTML")</f>
        <v/>
      </c>
      <c r="R2571">
        <f>HYPERLINK("https://raw.githubusercontent.com/marcosmapl/dataset_imigrantes/main/materias_filtered/portal_amazonia/venezuelanos/2016/11_dez/txt/5541.5541_1571.txt", "TXT")</f>
        <v/>
      </c>
    </row>
    <row r="2572">
      <c r="A2572" s="1" t="n">
        <v>2570</v>
      </c>
      <c r="B2572" t="n">
        <v>2016</v>
      </c>
      <c r="C2572" s="2" t="n">
        <v>42712.90953703703</v>
      </c>
      <c r="D2572" t="inlineStr">
        <is>
          <t>A CRITICA</t>
        </is>
      </c>
      <c r="E2572" t="inlineStr">
        <is>
          <t>VENEZUELANOS</t>
        </is>
      </c>
      <c r="F2572" t="inlineStr"/>
      <c r="G2572" t="inlineStr">
        <is>
          <t>DÉBORA BRITO (AGÊNCIA BRASIL)</t>
        </is>
      </c>
      <c r="H2572" t="inlineStr">
        <is>
          <t>GOVERNO DE RORAIMA DECRETA EMERGÊNCIA COM AUMENTO DE FLUXO DE VENEZUELANOS</t>
        </is>
      </c>
      <c r="I2572" t="inlineStr">
        <is>
          <t>REGIÃO DE PACARAIMA E BOA VISTA FAZ FRONTEIRA COM A VENEZUELA E RECEBEU CERCA DE 30 MIL ESTRANGEIROS NOS ÚLTIMOS ANOS. AGENDAMENTOS DE PEDIDO DE REFÚGIO JÁ CHEGA AO ANO DE 2018</t>
        </is>
      </c>
      <c r="J2572" t="inlineStr"/>
      <c r="K2572" t="n">
        <v>0</v>
      </c>
      <c r="L2572" t="n">
        <v>1</v>
      </c>
      <c r="M2572" t="n">
        <v>0</v>
      </c>
      <c r="N2572" t="n">
        <v>0</v>
      </c>
      <c r="O2572" t="n">
        <v>0</v>
      </c>
      <c r="P2572">
        <f>HYPERLINK("https://www.acritica.com/governo-de-roraima-decreta-emergencia-com-aumento-de-fluxo-de-venezuelanos-1.174008", "URL")</f>
        <v/>
      </c>
      <c r="Q2572">
        <f>HYPERLINK("https://raw.githubusercontent.com/marcosmapl/dataset_imigrantes/main/materias_filtered/a_critica/venezuelanos/2016/11_dez/html/1.174008_710.html", "HTML")</f>
        <v/>
      </c>
      <c r="R2572">
        <f>HYPERLINK("https://raw.githubusercontent.com/marcosmapl/dataset_imigrantes/main/materias_filtered/a_critica/venezuelanos/2016/11_dez/txt/1.174008_710.txt", "TXT")</f>
        <v/>
      </c>
    </row>
    <row r="2573">
      <c r="A2573" s="1" t="n">
        <v>2571</v>
      </c>
      <c r="B2573" t="n">
        <v>2016</v>
      </c>
      <c r="C2573" s="2" t="n">
        <v>42711.67638888889</v>
      </c>
      <c r="D2573" t="inlineStr">
        <is>
          <t>G1</t>
        </is>
      </c>
      <c r="E2573" t="inlineStr">
        <is>
          <t>HAITIANOS</t>
        </is>
      </c>
      <c r="F2573" t="inlineStr"/>
      <c r="G2573" t="inlineStr">
        <is>
          <t>1 SC</t>
        </is>
      </c>
      <c r="H2573" t="inlineStr">
        <is>
          <t>CINEMA DO CIC EXIBE MOSTRA GRATUITA DO CINEASTA HAITIANO RAOUL PECK</t>
        </is>
      </c>
      <c r="I2573" t="inlineStr"/>
      <c r="J2573" t="inlineStr">
        <is>
          <t>FLORIANÓPOLIS</t>
        </is>
      </c>
      <c r="K2573" t="n">
        <v>1</v>
      </c>
      <c r="L2573" t="n">
        <v>5</v>
      </c>
      <c r="M2573" t="n">
        <v>0</v>
      </c>
      <c r="N2573" t="n">
        <v>0</v>
      </c>
      <c r="O2573" t="n">
        <v>10</v>
      </c>
      <c r="P2573">
        <f>HYPERLINK("http://g1.globo.com/sc/santa-catarina/noticia/2016/12/cinema-do-cic-exibe-mostra-gratuita-do-cineasta-haitiano-raoul-peck.html", "URL")</f>
        <v/>
      </c>
      <c r="Q2573">
        <f>HYPERLINK("https://raw.githubusercontent.com/marcosmapl/dataset_imigrantes/main/materias_filtered/g1/haitianos/2016/11_dez/html/g1_a922ee6e-2310-11ed-b24f-6dbe51e79fca_2868.html", "HTML")</f>
        <v/>
      </c>
      <c r="R2573">
        <f>HYPERLINK("https://raw.githubusercontent.com/marcosmapl/dataset_imigrantes/main/materias_filtered/g1/haitianos/2016/11_dez/txt/g1_a922ee6e-2310-11ed-b24f-6dbe51e79fca_2868.txt", "TXT")</f>
        <v/>
      </c>
    </row>
    <row r="2574">
      <c r="A2574" s="1" t="n">
        <v>2572</v>
      </c>
      <c r="B2574" t="n">
        <v>2016</v>
      </c>
      <c r="C2574" s="2" t="n">
        <v>42709.72291666667</v>
      </c>
      <c r="D2574" t="inlineStr">
        <is>
          <t>A CRITICA</t>
        </is>
      </c>
      <c r="E2574" t="inlineStr">
        <is>
          <t>HAITIANOS</t>
        </is>
      </c>
      <c r="F2574" t="inlineStr">
        <is>
          <t>ESPORTES</t>
        </is>
      </c>
      <c r="G2574" t="inlineStr">
        <is>
          <t>ACRÍTICA.COM</t>
        </is>
      </c>
      <c r="H2574" t="inlineStr">
        <is>
          <t>ICBEU MANAUS REALIZA CORRIDA SOLIDÁRIA NA VILA OLÍMPICA EM PROL DO HAITI NESTE DOMINGO (11)</t>
        </is>
      </c>
      <c r="I2574" t="inlineStr">
        <is>
          <t>AS INSCRIÇÕES DEVEM SER FEITAS DE FORMA PRESENCIAL NA SEDE DO ICBEU MANAUS ENTRE 15 DE NOVEMBRO A 7 DE DEZEMBRO, A R$ 25 (DE 4 A 17 ANOS) E A R$ 50 (+ 18 ANOS)</t>
        </is>
      </c>
      <c r="J2574" t="inlineStr"/>
      <c r="K2574" t="n">
        <v>0</v>
      </c>
      <c r="L2574" t="n">
        <v>1</v>
      </c>
      <c r="M2574" t="n">
        <v>0</v>
      </c>
      <c r="N2574" t="n">
        <v>0</v>
      </c>
      <c r="O2574" t="n">
        <v>0</v>
      </c>
      <c r="P2574">
        <f>HYPERLINK("https://www.acritica.com/esportes/icbeu-manaus-realiza-corrida-solidaria-na-vila-olimpica-em-prol-do-haiti-neste-domingo-11-1.173351", "URL")</f>
        <v/>
      </c>
      <c r="Q2574">
        <f>HYPERLINK("https://raw.githubusercontent.com/marcosmapl/dataset_imigrantes/main/materias_filtered/a_critica/haitianos/2016/11_dez/html/1.173351_117.html", "HTML")</f>
        <v/>
      </c>
      <c r="R2574">
        <f>HYPERLINK("https://raw.githubusercontent.com/marcosmapl/dataset_imigrantes/main/materias_filtered/a_critica/haitianos/2016/11_dez/txt/1.173351_117.txt", "TXT")</f>
        <v/>
      </c>
    </row>
    <row r="2575">
      <c r="A2575" s="1" t="n">
        <v>2573</v>
      </c>
      <c r="B2575" t="n">
        <v>2016</v>
      </c>
      <c r="C2575" s="2" t="n">
        <v>42706.63375</v>
      </c>
      <c r="D2575" t="inlineStr">
        <is>
          <t>A CRITICA</t>
        </is>
      </c>
      <c r="E2575" t="inlineStr">
        <is>
          <t>VENEZUELANOS</t>
        </is>
      </c>
      <c r="F2575" t="inlineStr">
        <is>
          <t>ESPORTES</t>
        </is>
      </c>
      <c r="G2575" t="inlineStr">
        <is>
          <t>REUTERS</t>
        </is>
      </c>
      <c r="H2575" t="inlineStr">
        <is>
          <t>VÍTIMAS DO VOO DA CHAPECOENSE COMEÇAM A SER REPATRIADAS</t>
        </is>
      </c>
      <c r="I2575" t="inlineStr">
        <is>
          <t>COMBOIO COM OS BRASILEIROS MORTOS IRÁ PARTIR DE UMA CASA FUNERÁRIA DE MEDELLÍN AINDA NESTA SEXTA-FEIRA E PERCORRER UMA ESTRADA MONTANHOSA RUMO AO AEROPORTO DE RIONEGRO, DE ONDE OS CORPOS SERÃO ENVIADOS DE VOLTA AO BRASIL.</t>
        </is>
      </c>
      <c r="J2575" t="inlineStr"/>
      <c r="K2575" t="n">
        <v>0</v>
      </c>
      <c r="L2575" t="n">
        <v>1</v>
      </c>
      <c r="M2575" t="n">
        <v>0</v>
      </c>
      <c r="N2575" t="n">
        <v>0</v>
      </c>
      <c r="O2575" t="n">
        <v>0</v>
      </c>
      <c r="P2575">
        <f>HYPERLINK("https://www.acritica.com/esportes/vitimas-do-voo-da-chapecoense-comecam-a-ser-repatriadas-1.172394", "URL")</f>
        <v/>
      </c>
      <c r="Q2575">
        <f>HYPERLINK("https://raw.githubusercontent.com/marcosmapl/dataset_imigrantes/main/materias_filtered/a_critica/venezuelanos/2016/11_dez/html/1.172394_1019.html", "HTML")</f>
        <v/>
      </c>
      <c r="R2575">
        <f>HYPERLINK("https://raw.githubusercontent.com/marcosmapl/dataset_imigrantes/main/materias_filtered/a_critica/venezuelanos/2016/11_dez/txt/1.172394_1019.txt", "TXT")</f>
        <v/>
      </c>
    </row>
    <row r="2576">
      <c r="A2576" s="1" t="n">
        <v>2574</v>
      </c>
      <c r="B2576" t="n">
        <v>2016</v>
      </c>
      <c r="C2576" s="2" t="n">
        <v>42706.49166666667</v>
      </c>
      <c r="D2576" t="inlineStr">
        <is>
          <t>PORTAL AMAZONIA</t>
        </is>
      </c>
      <c r="E2576" t="inlineStr">
        <is>
          <t>VENEZUELANOS</t>
        </is>
      </c>
      <c r="F2576" t="inlineStr">
        <is>
          <t>CIDADES</t>
        </is>
      </c>
      <c r="G2576" t="inlineStr">
        <is>
          <t>REDAÇÃO</t>
        </is>
      </c>
      <c r="H2576" t="inlineStr">
        <is>
          <t>MP PEDE APREENSÃO DE ADOLESCENTES VENEZUELANOS NAS RUAS DE BOA VISTA</t>
        </is>
      </c>
      <c r="I2576" t="inlineStr">
        <is>
          <t>A PROMOTORIA DE JUSTIÇA DE DEFESA DA INFÂNCIA E JUVENTUDE DO MINISTÉRIO PÚBLICO DO ESTADO DE RORAIMA (MPE-RR) AJUIZOU, NESTA QUARTA-FEIRA (30), UMA AÇÃO CIVIL NA JUSTIÇA PEDINDO O RECOLHIMENTO DE JOVENS VENEZUELANOS EXPLORADOS NAS RUAS DE BOA VI</t>
        </is>
      </c>
      <c r="J2576" t="inlineStr">
        <is>
          <t>BOA VISTA, CRIANÇAS, CRISE ECONÔMICA, CRISE POLÍTICA, RORAIMA, VENEZUELA</t>
        </is>
      </c>
      <c r="K2576" t="n">
        <v>6</v>
      </c>
      <c r="L2576" t="n">
        <v>1</v>
      </c>
      <c r="M2576" t="n">
        <v>0</v>
      </c>
      <c r="N2576" t="n">
        <v>0</v>
      </c>
      <c r="O2576" t="n">
        <v>11</v>
      </c>
      <c r="P2576">
        <f>HYPERLINK("https://portalamazonia.com/noticias/cidades/mp-pede-apreensao-de-adolescentes-venezuelanos-nas-ruas-de-boa-vista", "URL")</f>
        <v/>
      </c>
      <c r="Q2576">
        <f>HYPERLINK("https://raw.githubusercontent.com/marcosmapl/dataset_imigrantes/main/materias_filtered/portal_amazonia/venezuelanos/2016/11_dez/html/5260.5260_1605.html", "HTML")</f>
        <v/>
      </c>
      <c r="R2576">
        <f>HYPERLINK("https://raw.githubusercontent.com/marcosmapl/dataset_imigrantes/main/materias_filtered/portal_amazonia/venezuelanos/2016/11_dez/txt/5260.5260_1605.txt", "TXT")</f>
        <v/>
      </c>
    </row>
    <row r="2577">
      <c r="A2577" s="1" t="n">
        <v>2575</v>
      </c>
      <c r="B2577" t="n">
        <v>2016</v>
      </c>
      <c r="C2577" s="2" t="n">
        <v>42702.83263888889</v>
      </c>
      <c r="D2577" t="inlineStr">
        <is>
          <t>A CRITICA</t>
        </is>
      </c>
      <c r="E2577" t="inlineStr">
        <is>
          <t>VENEZUELANOS</t>
        </is>
      </c>
      <c r="F2577" t="inlineStr">
        <is>
          <t>ESPORTES</t>
        </is>
      </c>
      <c r="G2577" t="inlineStr">
        <is>
          <t>ACRITICA.COM*</t>
        </is>
      </c>
      <c r="H2577" t="inlineStr">
        <is>
          <t>GARANTIDO NA FASE DE GRUPOS, FLA MIRA POSSÍVEIS RIVAIS NA 'LIBERTA'</t>
        </is>
      </c>
      <c r="I2577" t="inlineStr">
        <is>
          <t>VITÓRIA SOBRE O SANTOS MARCOU O PRIMEIRO TRIUNFO DO RUBRO-NEGRO NO RETORNO AO MARACANÃ E TAMBÉM COLOCOU O TIME DA GÁVEA DIRETO NA FASE DE GRUPOS DA TAÇA LIBERTADORES DA AMÉRICA</t>
        </is>
      </c>
      <c r="J2577" t="inlineStr"/>
      <c r="K2577" t="n">
        <v>0</v>
      </c>
      <c r="L2577" t="n">
        <v>1</v>
      </c>
      <c r="M2577" t="n">
        <v>0</v>
      </c>
      <c r="N2577" t="n">
        <v>0</v>
      </c>
      <c r="O2577" t="n">
        <v>0</v>
      </c>
      <c r="P2577">
        <f>HYPERLINK("https://www.acritica.com/esportes/garantido-na-fase-de-grupos-fla-mira-possiveis-rivais-na-liberta-1.171595", "URL")</f>
        <v/>
      </c>
      <c r="Q2577">
        <f>HYPERLINK("https://raw.githubusercontent.com/marcosmapl/dataset_imigrantes/main/materias_filtered/a_critica/venezuelanos/2016/10_nov/html/1.171595_267.html", "HTML")</f>
        <v/>
      </c>
      <c r="R2577">
        <f>HYPERLINK("https://raw.githubusercontent.com/marcosmapl/dataset_imigrantes/main/materias_filtered/a_critica/venezuelanos/2016/10_nov/txt/1.171595_267.txt", "TXT")</f>
        <v/>
      </c>
    </row>
    <row r="2578">
      <c r="A2578" s="1" t="n">
        <v>2576</v>
      </c>
      <c r="B2578" t="n">
        <v>2016</v>
      </c>
      <c r="C2578" s="2" t="n">
        <v>42698.73680555556</v>
      </c>
      <c r="D2578" t="inlineStr">
        <is>
          <t>A CRITICA</t>
        </is>
      </c>
      <c r="E2578" t="inlineStr">
        <is>
          <t>HAITIANOS</t>
        </is>
      </c>
      <c r="F2578" t="inlineStr">
        <is>
          <t>ESPORTES</t>
        </is>
      </c>
      <c r="G2578" t="inlineStr">
        <is>
          <t>ACRÍTICA.COM</t>
        </is>
      </c>
      <c r="H2578" t="inlineStr">
        <is>
          <t>COM OUTRO TRICOLOR DE AÇO PELA FRENTE, FAST CONHECE ADVERSÁRIOS DA COPINHA</t>
        </is>
      </c>
      <c r="I2578" t="inlineStr">
        <is>
          <t>REPRESENTANTE DO AMAZONAS ESTÁ NO GRUPO 21 DA COMPETIÇÃO DE FUTEBOL DE BASE MAIS IMPORTANTE DO BRASIL; ROLO COMPRESSOR ENCARA O BAHIA, SÃO BERNARDO-SP E TRINDADE-GO NA PRIMEIRA FASE DO TORNEIO</t>
        </is>
      </c>
      <c r="J2578" t="inlineStr"/>
      <c r="K2578" t="n">
        <v>0</v>
      </c>
      <c r="L2578" t="n">
        <v>1</v>
      </c>
      <c r="M2578" t="n">
        <v>0</v>
      </c>
      <c r="N2578" t="n">
        <v>0</v>
      </c>
      <c r="O2578" t="n">
        <v>1</v>
      </c>
      <c r="P2578">
        <f>HYPERLINK("https://www.acritica.com/esportes/com-outro-tricolor-de-aco-pela-frente-fast-conhece-adversarios-da-copinha-1.170908", "URL")</f>
        <v/>
      </c>
      <c r="Q2578">
        <f>HYPERLINK("https://raw.githubusercontent.com/marcosmapl/dataset_imigrantes/main/materias_filtered/a_critica/haitianos/2016/10_nov/html/1.170908_306.html", "HTML")</f>
        <v/>
      </c>
      <c r="R2578">
        <f>HYPERLINK("https://raw.githubusercontent.com/marcosmapl/dataset_imigrantes/main/materias_filtered/a_critica/haitianos/2016/10_nov/txt/1.170908_306.txt", "TXT")</f>
        <v/>
      </c>
    </row>
    <row r="2579">
      <c r="A2579" s="1" t="n">
        <v>2577</v>
      </c>
      <c r="B2579" t="n">
        <v>2016</v>
      </c>
      <c r="C2579" s="2" t="n">
        <v>42691.66850694444</v>
      </c>
      <c r="D2579" t="inlineStr">
        <is>
          <t>A CRITICA</t>
        </is>
      </c>
      <c r="E2579" t="inlineStr">
        <is>
          <t>VENEZUELANOS</t>
        </is>
      </c>
      <c r="F2579" t="inlineStr">
        <is>
          <t>ENTRETENIMENTO</t>
        </is>
      </c>
      <c r="G2579" t="inlineStr">
        <is>
          <t>ACRÍTICA.COM</t>
        </is>
      </c>
      <c r="H2579" t="inlineStr">
        <is>
          <t>PREMIADO FILME VENEZUELANO ‘AZÚ, ALMA DE PRINCESA’ É EXIBIDO NO GEBES MEDEIROS</t>
        </is>
      </c>
      <c r="I2579" t="inlineStr">
        <is>
          <t>A OBRA RETRATA UM TEMA QUE PARECE ESQUECIDO, MAS QUE ESTÁ PRESENTE NA REALIDADE DE VÁRIOS PAÍSES: A ESCRAVIDÃO</t>
        </is>
      </c>
      <c r="J2579" t="inlineStr"/>
      <c r="K2579" t="n">
        <v>0</v>
      </c>
      <c r="L2579" t="n">
        <v>1</v>
      </c>
      <c r="M2579" t="n">
        <v>0</v>
      </c>
      <c r="N2579" t="n">
        <v>0</v>
      </c>
      <c r="O2579" t="n">
        <v>0</v>
      </c>
      <c r="P2579">
        <f>HYPERLINK("https://www.acritica.com/entretenimento/premiado-filme-venezuelano-azu-alma-de-princesa-e-exibido-no-gebes-medeiros-1.102515", "URL")</f>
        <v/>
      </c>
      <c r="Q2579">
        <f>HYPERLINK("https://raw.githubusercontent.com/marcosmapl/dataset_imigrantes/main/materias_filtered/a_critica/venezuelanos/2016/10_nov/html/1.102515_830.html", "HTML")</f>
        <v/>
      </c>
      <c r="R2579">
        <f>HYPERLINK("https://raw.githubusercontent.com/marcosmapl/dataset_imigrantes/main/materias_filtered/a_critica/venezuelanos/2016/10_nov/txt/1.102515_830.txt", "TXT")</f>
        <v/>
      </c>
    </row>
    <row r="2580">
      <c r="A2580" s="1" t="n">
        <v>2578</v>
      </c>
      <c r="B2580" t="n">
        <v>2016</v>
      </c>
      <c r="C2580" s="2" t="n">
        <v>42689.70965277778</v>
      </c>
      <c r="D2580" t="inlineStr">
        <is>
          <t>A CRITICA</t>
        </is>
      </c>
      <c r="E2580" t="inlineStr">
        <is>
          <t>VENEZUELANOS</t>
        </is>
      </c>
      <c r="F2580" t="inlineStr">
        <is>
          <t>ESPORTES</t>
        </is>
      </c>
      <c r="G2580" t="inlineStr">
        <is>
          <t>JÉSSICA SANTOS</t>
        </is>
      </c>
      <c r="H2580" t="inlineStr">
        <is>
          <t>PEDRO HENRIQUE GANHA O OURO NO SUL-AMERICANO DE ATLETISMO SUB-18</t>
        </is>
      </c>
      <c r="I2580" t="inlineStr">
        <is>
          <t>O ATLETA AMAZONENSE PEDRO HENRIQUE NUNES VENCEU A PROVA DE LANÇAMENTO DE DARDO, NO SUL-AMERICANO SUB-18, OCORRIDO EM CONCÓRDIA, NA ARGENTINA</t>
        </is>
      </c>
      <c r="J2580" t="inlineStr"/>
      <c r="K2580" t="n">
        <v>0</v>
      </c>
      <c r="L2580" t="n">
        <v>1</v>
      </c>
      <c r="M2580" t="n">
        <v>0</v>
      </c>
      <c r="N2580" t="n">
        <v>0</v>
      </c>
      <c r="O2580" t="n">
        <v>0</v>
      </c>
      <c r="P2580">
        <f>HYPERLINK("https://www.acritica.com/esportes/pedro-henrique-ganha-o-ouro-no-sul-americano-de-atletismo-sub-18-1.208693", "URL")</f>
        <v/>
      </c>
      <c r="Q2580">
        <f>HYPERLINK("https://raw.githubusercontent.com/marcosmapl/dataset_imigrantes/main/materias_filtered/a_critica/venezuelanos/2016/10_nov/html/1.208693_553.html", "HTML")</f>
        <v/>
      </c>
      <c r="R2580">
        <f>HYPERLINK("https://raw.githubusercontent.com/marcosmapl/dataset_imigrantes/main/materias_filtered/a_critica/venezuelanos/2016/10_nov/txt/1.208693_553.txt", "TXT")</f>
        <v/>
      </c>
    </row>
    <row r="2581">
      <c r="A2581" s="1" t="n">
        <v>2579</v>
      </c>
      <c r="B2581" t="n">
        <v>2016</v>
      </c>
      <c r="C2581" s="2" t="n">
        <v>42687.50069444445</v>
      </c>
      <c r="D2581" t="inlineStr">
        <is>
          <t>G1</t>
        </is>
      </c>
      <c r="E2581" t="inlineStr">
        <is>
          <t>VENEZUELANOS</t>
        </is>
      </c>
      <c r="F2581" t="inlineStr"/>
      <c r="G2581" t="inlineStr">
        <is>
          <t>1 RR</t>
        </is>
      </c>
      <c r="H2581" t="inlineStr">
        <is>
          <t>VENEZUELANA É DETIDA POR FURTAR R$ 278 EM PRODUTOS DE SUPERMERCADO EM RR</t>
        </is>
      </c>
      <c r="I2581" t="inlineStr"/>
      <c r="J2581" t="inlineStr">
        <is>
          <t>BOA VISTA</t>
        </is>
      </c>
      <c r="K2581" t="n">
        <v>1</v>
      </c>
      <c r="L2581" t="n">
        <v>4</v>
      </c>
      <c r="M2581" t="n">
        <v>0</v>
      </c>
      <c r="N2581" t="n">
        <v>0</v>
      </c>
      <c r="O2581" t="n">
        <v>11</v>
      </c>
      <c r="P2581">
        <f>HYPERLINK("http://g1.globo.com/rr/roraima/noticia/2016/11/venezuelana-e-detida-por-furtar-r-278-em-produtos-de-supermercado-em-rr.html", "URL")</f>
        <v/>
      </c>
      <c r="Q2581">
        <f>HYPERLINK("https://raw.githubusercontent.com/marcosmapl/dataset_imigrantes/main/materias_filtered/g1/venezuelanos/2016/10_nov/html/g1_ae2d6800-2309-11ed-b24f-6dbe51e79fca_2457.html", "HTML")</f>
        <v/>
      </c>
      <c r="R2581">
        <f>HYPERLINK("https://raw.githubusercontent.com/marcosmapl/dataset_imigrantes/main/materias_filtered/g1/venezuelanos/2016/10_nov/txt/g1_ae2d6800-2309-11ed-b24f-6dbe51e79fca_2457.txt", "TXT")</f>
        <v/>
      </c>
    </row>
    <row r="2582">
      <c r="A2582" s="1" t="n">
        <v>2580</v>
      </c>
      <c r="B2582" t="n">
        <v>2016</v>
      </c>
      <c r="C2582" s="2" t="n">
        <v>42686.5528587963</v>
      </c>
      <c r="D2582" t="inlineStr">
        <is>
          <t>A CRITICA</t>
        </is>
      </c>
      <c r="E2582" t="inlineStr">
        <is>
          <t>HAITIANOS</t>
        </is>
      </c>
      <c r="F2582" t="inlineStr"/>
      <c r="G2582" t="inlineStr">
        <is>
          <t>IVAN RICHARD ESPOSITO - AGÊNCIA BRASIL</t>
        </is>
      </c>
      <c r="H2582" t="inlineStr">
        <is>
          <t>MINISTÉRIO DA JUSTIÇA PRORROGA POR SEIS MESES O PRAZO PARA REGISTRO DE HAITIANOS NO BRASIL</t>
        </is>
      </c>
      <c r="I2582" t="inlineStr">
        <is>
          <t>COM A PRORROGAÇÃO, MAIS DE 43 MIL HAITIANOS QUE INGRESSARAM NO BRASIL APÓS O TERREMOTO QUE DEVASTOU O PAÍS CARIBENHO EM 2010, TÊM, AGORA, ATÉ 11 DE MAIO DE 2017 PARA SE APRESENTAR À POLÍCIA FEDERAL E REGULARIZAR A SITUAÇÃO</t>
        </is>
      </c>
      <c r="J2582" t="inlineStr"/>
      <c r="K2582" t="n">
        <v>0</v>
      </c>
      <c r="L2582" t="n">
        <v>1</v>
      </c>
      <c r="M2582" t="n">
        <v>0</v>
      </c>
      <c r="N2582" t="n">
        <v>0</v>
      </c>
      <c r="O2582" t="n">
        <v>0</v>
      </c>
      <c r="P2582">
        <f>HYPERLINK("https://www.acritica.com/ministerio-da-justica-prorroga-por-seis-meses-o-prazo-para-registro-de-haitianos-no-brasil-1.101974", "URL")</f>
        <v/>
      </c>
      <c r="Q2582">
        <f>HYPERLINK("https://raw.githubusercontent.com/marcosmapl/dataset_imigrantes/main/materias_filtered/a_critica/haitianos/2016/10_nov/html/1.101974_157.html", "HTML")</f>
        <v/>
      </c>
      <c r="R2582">
        <f>HYPERLINK("https://raw.githubusercontent.com/marcosmapl/dataset_imigrantes/main/materias_filtered/a_critica/haitianos/2016/10_nov/txt/1.101974_157.txt", "TXT")</f>
        <v/>
      </c>
    </row>
    <row r="2583">
      <c r="A2583" s="1" t="n">
        <v>2581</v>
      </c>
      <c r="B2583" t="n">
        <v>2016</v>
      </c>
      <c r="C2583" s="2" t="n">
        <v>42683.72765046296</v>
      </c>
      <c r="D2583" t="inlineStr">
        <is>
          <t>A CRITICA</t>
        </is>
      </c>
      <c r="E2583" t="inlineStr">
        <is>
          <t>HAITIANOS</t>
        </is>
      </c>
      <c r="F2583" t="inlineStr"/>
      <c r="G2583" t="inlineStr">
        <is>
          <t>ALEX RODRIGUES – AGÊNCIA BRASIL</t>
        </is>
      </c>
      <c r="H2583" t="inlineStr">
        <is>
          <t>BRASIL E HAITI ASSINAM ACORDO PARA A CONSTRUÇÃO DE ESCOLA TÉCNICA</t>
        </is>
      </c>
      <c r="I2583" t="inlineStr">
        <is>
          <t>O OBJETIVO É CONTRIBUIR PARA FORMAR JOVENS PROFISSIONAIS NAS ÁREAS DE ENGENHARIA CIVIL, COSTURA, ELETRICIDADE PREDIAL, CARPINTARIA, OPERAÇÃO TURÍSTICA E MECÂNICA DE AUTOMOTIVOS E MOTOCICLETAS, QUALIFICANDO A FORÇA DE TRABALHO LOCAL</t>
        </is>
      </c>
      <c r="J2583" t="inlineStr"/>
      <c r="K2583" t="n">
        <v>0</v>
      </c>
      <c r="L2583" t="n">
        <v>1</v>
      </c>
      <c r="M2583" t="n">
        <v>0</v>
      </c>
      <c r="N2583" t="n">
        <v>0</v>
      </c>
      <c r="O2583" t="n">
        <v>0</v>
      </c>
      <c r="P2583">
        <f>HYPERLINK("https://www.acritica.com/brasil-e-haiti-assinam-acordo-para-a-construc-o-de-escola-tecnica-1.102167", "URL")</f>
        <v/>
      </c>
      <c r="Q2583">
        <f>HYPERLINK("https://raw.githubusercontent.com/marcosmapl/dataset_imigrantes/main/materias_filtered/a_critica/haitianos/2016/10_nov/html/1.102167_1123.html", "HTML")</f>
        <v/>
      </c>
      <c r="R2583">
        <f>HYPERLINK("https://raw.githubusercontent.com/marcosmapl/dataset_imigrantes/main/materias_filtered/a_critica/haitianos/2016/10_nov/txt/1.102167_1123.txt", "TXT")</f>
        <v/>
      </c>
    </row>
    <row r="2584">
      <c r="A2584" s="1" t="n">
        <v>2582</v>
      </c>
      <c r="B2584" t="n">
        <v>2016</v>
      </c>
      <c r="C2584" s="2" t="n">
        <v>42683.6183912037</v>
      </c>
      <c r="D2584" t="inlineStr">
        <is>
          <t>A CRITICA</t>
        </is>
      </c>
      <c r="E2584" t="inlineStr">
        <is>
          <t>VENEZUELANOS</t>
        </is>
      </c>
      <c r="F2584" t="inlineStr">
        <is>
          <t>ENTRETENIMENTO</t>
        </is>
      </c>
      <c r="G2584" t="inlineStr">
        <is>
          <t>ACRITICA.COM*</t>
        </is>
      </c>
      <c r="H2584" t="inlineStr">
        <is>
          <t>EXPOSIÇÃO GRATUITA NO PALÁCIO DA JUSTIÇA CELEBRA OS 120 ANOS DO TEATRO AMAZONAS</t>
        </is>
      </c>
      <c r="I2584" t="inlineStr">
        <is>
          <t>BATIZADA DE 'FRAGMENTOS', EXPOSIÇÃO É PROMOVIDA PELO GRUPO FOTÓGRAFOS DA MADRUGADA, QUE BUSCOU DAR UMA ABORDAGEM DIFERENCIADA A UM DOS PRINCIPAIS PONTOS TURÍSTICOS DA CIDADE</t>
        </is>
      </c>
      <c r="J2584" t="inlineStr"/>
      <c r="K2584" t="n">
        <v>0</v>
      </c>
      <c r="L2584" t="n">
        <v>1</v>
      </c>
      <c r="M2584" t="n">
        <v>0</v>
      </c>
      <c r="N2584" t="n">
        <v>0</v>
      </c>
      <c r="O2584" t="n">
        <v>0</v>
      </c>
      <c r="P2584">
        <f>HYPERLINK("https://www.acritica.com/entretenimento/exposic-o-gratuita-no-palacio-da-justica-celebra-os-120-anos-do-teatro-amazonas-1.102179", "URL")</f>
        <v/>
      </c>
      <c r="Q2584">
        <f>HYPERLINK("https://raw.githubusercontent.com/marcosmapl/dataset_imigrantes/main/materias_filtered/a_critica/venezuelanos/2016/10_nov/html/1.102179_882.html", "HTML")</f>
        <v/>
      </c>
      <c r="R2584">
        <f>HYPERLINK("https://raw.githubusercontent.com/marcosmapl/dataset_imigrantes/main/materias_filtered/a_critica/venezuelanos/2016/10_nov/txt/1.102179_882.txt", "TXT")</f>
        <v/>
      </c>
    </row>
    <row r="2585">
      <c r="A2585" s="1" t="n">
        <v>2583</v>
      </c>
      <c r="B2585" t="n">
        <v>2016</v>
      </c>
      <c r="C2585" s="2" t="n">
        <v>42677.95277777778</v>
      </c>
      <c r="D2585" t="inlineStr">
        <is>
          <t>A CRITICA</t>
        </is>
      </c>
      <c r="E2585" t="inlineStr">
        <is>
          <t>HAITIANOS</t>
        </is>
      </c>
      <c r="F2585" t="inlineStr">
        <is>
          <t>OPINIAO</t>
        </is>
      </c>
      <c r="G2585" t="inlineStr">
        <is>
          <t>MÃES CRI CRI</t>
        </is>
      </c>
      <c r="H2585" t="inlineStr">
        <is>
          <t>CHEGOU A HORA DE PROGRAMAR A DIVERSÃO EM FAMÍLIA DESTE FIM DE SEMANA!</t>
        </is>
      </c>
      <c r="I2585" t="inlineStr"/>
      <c r="J2585" t="inlineStr">
        <is>
          <t>MAES-CRICRI</t>
        </is>
      </c>
      <c r="K2585" t="n">
        <v>1</v>
      </c>
      <c r="L2585" t="n">
        <v>1</v>
      </c>
      <c r="M2585" t="n">
        <v>0</v>
      </c>
      <c r="N2585" t="n">
        <v>0</v>
      </c>
      <c r="O2585" t="n">
        <v>2</v>
      </c>
      <c r="P2585">
        <f>HYPERLINK("https://www.acritica.com/opiniao/chegou-a-hora-de-programar-a-divers-o-em-familia-deste-fim-de-semana-1.217935", "URL")</f>
        <v/>
      </c>
      <c r="Q2585">
        <f>HYPERLINK("https://raw.githubusercontent.com/marcosmapl/dataset_imigrantes/main/materias_filtered/a_critica/haitianos/2016/10_nov/html/1.217935_1066.html", "HTML")</f>
        <v/>
      </c>
      <c r="R2585">
        <f>HYPERLINK("https://raw.githubusercontent.com/marcosmapl/dataset_imigrantes/main/materias_filtered/a_critica/haitianos/2016/10_nov/txt/1.217935_1066.txt", "TXT")</f>
        <v/>
      </c>
    </row>
    <row r="2586">
      <c r="A2586" s="1" t="n">
        <v>2584</v>
      </c>
      <c r="B2586" t="n">
        <v>2016</v>
      </c>
      <c r="C2586" s="2" t="n">
        <v>42675.47708333333</v>
      </c>
      <c r="D2586" t="inlineStr">
        <is>
          <t>G1</t>
        </is>
      </c>
      <c r="E2586" t="inlineStr">
        <is>
          <t>HAITIANOS</t>
        </is>
      </c>
      <c r="F2586" t="inlineStr"/>
      <c r="G2586" t="inlineStr">
        <is>
          <t>1 MS</t>
        </is>
      </c>
      <c r="H2586" t="inlineStr">
        <is>
          <t>RODA DE CONVERSA ABRE PROGRAMAÇÃO DO MÊS DA CONSCIÊNCIA NEGRA EM MS</t>
        </is>
      </c>
      <c r="I2586" t="inlineStr"/>
      <c r="J2586" t="inlineStr">
        <is>
          <t>MATO GROSSO DO SUL, CAMPO GRANDE</t>
        </is>
      </c>
      <c r="K2586" t="n">
        <v>2</v>
      </c>
      <c r="L2586" t="n">
        <v>4</v>
      </c>
      <c r="M2586" t="n">
        <v>0</v>
      </c>
      <c r="N2586" t="n">
        <v>0</v>
      </c>
      <c r="O2586" t="n">
        <v>12</v>
      </c>
      <c r="P2586">
        <f>HYPERLINK("http://g1.globo.com/mato-grosso-do-sul/noticia/2016/11/roda-de-conversa-abre-programacao-do-mes-da-consciencia-negra-em-ms.html", "URL")</f>
        <v/>
      </c>
      <c r="Q2586">
        <f>HYPERLINK("https://raw.githubusercontent.com/marcosmapl/dataset_imigrantes/main/materias_filtered/g1/haitianos/2016/10_nov/html/g1_a15fdb64-2325-11ed-b24f-6dbe51e79fca_3924.html", "HTML")</f>
        <v/>
      </c>
      <c r="R2586">
        <f>HYPERLINK("https://raw.githubusercontent.com/marcosmapl/dataset_imigrantes/main/materias_filtered/g1/haitianos/2016/10_nov/txt/g1_a15fdb64-2325-11ed-b24f-6dbe51e79fca_3924.txt", "TXT")</f>
        <v/>
      </c>
    </row>
    <row r="2587">
      <c r="A2587" s="1" t="n">
        <v>2585</v>
      </c>
      <c r="B2587" t="n">
        <v>2016</v>
      </c>
      <c r="C2587" s="2" t="n">
        <v>42671.44861111111</v>
      </c>
      <c r="D2587" t="inlineStr">
        <is>
          <t>G1</t>
        </is>
      </c>
      <c r="E2587" t="inlineStr">
        <is>
          <t>HAITIANOS</t>
        </is>
      </c>
      <c r="F2587" t="inlineStr"/>
      <c r="G2587" t="inlineStr">
        <is>
          <t>ANA FIGUEIREDODO G1 AP</t>
        </is>
      </c>
      <c r="H2587" t="inlineStr">
        <is>
          <t>HAITIANOS SÃO FLAGRADOS EM TRAVESSIA IRREGULAR ENTRE AP E GUIANA FRANCESA</t>
        </is>
      </c>
      <c r="I2587" t="inlineStr"/>
      <c r="J2587" t="inlineStr">
        <is>
          <t>MACAPÁ, OIAPOQUE, AMAPÁ, GUIANA FRANCESA</t>
        </is>
      </c>
      <c r="K2587" t="n">
        <v>4</v>
      </c>
      <c r="L2587" t="n">
        <v>7</v>
      </c>
      <c r="M2587" t="n">
        <v>0</v>
      </c>
      <c r="N2587" t="n">
        <v>0</v>
      </c>
      <c r="O2587" t="n">
        <v>17</v>
      </c>
      <c r="P2587">
        <f>HYPERLINK("http://g1.globo.com/ap/amapa/noticia/2016/10/haitianos-sao-flagrados-em-travessia-irregular-entre-ap-e-guiana-francesa.html", "URL")</f>
        <v/>
      </c>
      <c r="Q2587">
        <f>HYPERLINK("https://raw.githubusercontent.com/marcosmapl/dataset_imigrantes/main/materias_filtered/g1/haitianos/2016/09_out/html/g1_4124055e-22f8-11ed-b24f-6dbe51e79fca_2125.html", "HTML")</f>
        <v/>
      </c>
      <c r="R2587">
        <f>HYPERLINK("https://raw.githubusercontent.com/marcosmapl/dataset_imigrantes/main/materias_filtered/g1/haitianos/2016/09_out/txt/g1_4124055e-22f8-11ed-b24f-6dbe51e79fca_2125.txt", "TXT")</f>
        <v/>
      </c>
    </row>
    <row r="2588">
      <c r="A2588" s="1" t="n">
        <v>2586</v>
      </c>
      <c r="B2588" t="n">
        <v>2016</v>
      </c>
      <c r="C2588" s="2" t="n">
        <v>42669.74513888889</v>
      </c>
      <c r="D2588" t="inlineStr">
        <is>
          <t>G1</t>
        </is>
      </c>
      <c r="E2588" t="inlineStr">
        <is>
          <t>VENEZUELANOS</t>
        </is>
      </c>
      <c r="F2588" t="inlineStr"/>
      <c r="G2588" t="inlineStr">
        <is>
          <t>RANCE PRESSE</t>
        </is>
      </c>
      <c r="H2588" t="inlineStr">
        <is>
          <t>OPOSIÇÃO VENEZUELANA CONVOCA GREVE GERAL DE 12 HORAS NA SEXTA-FEIRA</t>
        </is>
      </c>
      <c r="I2588" t="inlineStr"/>
      <c r="J2588" t="inlineStr">
        <is>
          <t>HENRIQUE CAPRILES, LEOPOLDO LÓPEZ, NICOLÁS MADURO, VENEZUELA</t>
        </is>
      </c>
      <c r="K2588" t="n">
        <v>4</v>
      </c>
      <c r="L2588" t="n">
        <v>5</v>
      </c>
      <c r="M2588" t="n">
        <v>0</v>
      </c>
      <c r="N2588" t="n">
        <v>0</v>
      </c>
      <c r="O2588" t="n">
        <v>17</v>
      </c>
      <c r="P2588">
        <f>HYPERLINK("http://g1.globo.com/mundo/noticia/2016/10/oposicao-venezuelana-convoca-greve-geral-de-12-horas-na-sexta-feira.html", "URL")</f>
        <v/>
      </c>
      <c r="Q2588">
        <f>HYPERLINK("https://raw.githubusercontent.com/marcosmapl/dataset_imigrantes/main/materias_filtered/g1/venezuelanos/2016/09_out/html/g1_e24b669c-2308-11ed-b24f-6dbe51e79fca_2410.html", "HTML")</f>
        <v/>
      </c>
      <c r="R2588">
        <f>HYPERLINK("https://raw.githubusercontent.com/marcosmapl/dataset_imigrantes/main/materias_filtered/g1/venezuelanos/2016/09_out/txt/g1_e24b669c-2308-11ed-b24f-6dbe51e79fca_2410.txt", "TXT")</f>
        <v/>
      </c>
    </row>
    <row r="2589">
      <c r="A2589" s="1" t="n">
        <v>2587</v>
      </c>
      <c r="B2589" t="n">
        <v>2016</v>
      </c>
      <c r="C2589" s="2" t="n">
        <v>42669.52986111111</v>
      </c>
      <c r="D2589" t="inlineStr">
        <is>
          <t>G1</t>
        </is>
      </c>
      <c r="E2589" t="inlineStr">
        <is>
          <t>VENEZUELANOS</t>
        </is>
      </c>
      <c r="F2589" t="inlineStr"/>
      <c r="G2589" t="inlineStr">
        <is>
          <t>RANCE PRESSE</t>
        </is>
      </c>
      <c r="H2589" t="inlineStr">
        <is>
          <t>OPOSIÇÃO PROTESTA CONTRA MADURO EM VÁRIAS CIDADES VENEZUELANAS</t>
        </is>
      </c>
      <c r="I2589" t="inlineStr"/>
      <c r="J2589" t="inlineStr">
        <is>
          <t>NICOLÁS MADURO, VENEZUELA</t>
        </is>
      </c>
      <c r="K2589" t="n">
        <v>2</v>
      </c>
      <c r="L2589" t="n">
        <v>7</v>
      </c>
      <c r="M2589" t="n">
        <v>0</v>
      </c>
      <c r="N2589" t="n">
        <v>0</v>
      </c>
      <c r="O2589" t="n">
        <v>19</v>
      </c>
      <c r="P2589">
        <f>HYPERLINK("http://g1.globo.com/mundo/noticia/2016/10/oposicao-protesta-contra-maduro-em-varias-cidades-venezuelanas.html", "URL")</f>
        <v/>
      </c>
      <c r="Q2589">
        <f>HYPERLINK("https://raw.githubusercontent.com/marcosmapl/dataset_imigrantes/main/materias_filtered/g1/venezuelanos/2016/09_out/html/g1_3c6fd524-2316-11ed-b24f-6dbe51e79fca_3135.html", "HTML")</f>
        <v/>
      </c>
      <c r="R2589">
        <f>HYPERLINK("https://raw.githubusercontent.com/marcosmapl/dataset_imigrantes/main/materias_filtered/g1/venezuelanos/2016/09_out/txt/g1_3c6fd524-2316-11ed-b24f-6dbe51e79fca_3135.txt", "TXT")</f>
        <v/>
      </c>
    </row>
    <row r="2590">
      <c r="A2590" s="1" t="n">
        <v>2588</v>
      </c>
      <c r="B2590" t="n">
        <v>2016</v>
      </c>
      <c r="C2590" s="2" t="n">
        <v>42668.83263888889</v>
      </c>
      <c r="D2590" t="inlineStr">
        <is>
          <t>G1</t>
        </is>
      </c>
      <c r="E2590" t="inlineStr">
        <is>
          <t>HAITIANOS</t>
        </is>
      </c>
      <c r="F2590" t="inlineStr"/>
      <c r="G2590" t="inlineStr">
        <is>
          <t>FP</t>
        </is>
      </c>
      <c r="H2590" t="inlineStr">
        <is>
          <t>ESPECIALISTA DENUNCIA CONDIÇÕES DESUMANAS DE HAITIANOS APÓS FURACÃO</t>
        </is>
      </c>
      <c r="I2590" t="inlineStr"/>
      <c r="J2590" t="inlineStr">
        <is>
          <t>HAITI, ONU</t>
        </is>
      </c>
      <c r="K2590" t="n">
        <v>2</v>
      </c>
      <c r="L2590" t="n">
        <v>6</v>
      </c>
      <c r="M2590" t="n">
        <v>0</v>
      </c>
      <c r="N2590" t="n">
        <v>0</v>
      </c>
      <c r="O2590" t="n">
        <v>12</v>
      </c>
      <c r="P2590">
        <f>HYPERLINK("http://g1.globo.com/mundo/noticia/2016/10/especialista-denuncia-condicoes-desumanas-de-haitianos-apos-furacao.html", "URL")</f>
        <v/>
      </c>
      <c r="Q2590">
        <f>HYPERLINK("https://raw.githubusercontent.com/marcosmapl/dataset_imigrantes/main/materias_filtered/g1/haitianos/2016/09_out/html/g1_e862dbea-22f5-11ed-b24f-6dbe51e79fca_1980.html", "HTML")</f>
        <v/>
      </c>
      <c r="R2590">
        <f>HYPERLINK("https://raw.githubusercontent.com/marcosmapl/dataset_imigrantes/main/materias_filtered/g1/haitianos/2016/09_out/txt/g1_e862dbea-22f5-11ed-b24f-6dbe51e79fca_1980.txt", "TXT")</f>
        <v/>
      </c>
    </row>
    <row r="2591">
      <c r="A2591" s="1" t="n">
        <v>2589</v>
      </c>
      <c r="B2591" t="n">
        <v>2016</v>
      </c>
      <c r="C2591" s="2" t="n">
        <v>42668.69726851852</v>
      </c>
      <c r="D2591" t="inlineStr">
        <is>
          <t>A CRITICA</t>
        </is>
      </c>
      <c r="E2591" t="inlineStr">
        <is>
          <t>HAITIANOS</t>
        </is>
      </c>
      <c r="F2591" t="inlineStr"/>
      <c r="G2591" t="inlineStr">
        <is>
          <t>ANDREIA VERDÉLIO –  AGÊNCIA BRASILEIRO</t>
        </is>
      </c>
      <c r="H2591" t="inlineStr">
        <is>
          <t>HAITIANOS COM PERMANÊNCIA CONCEDIDA EM 2015 DEVEM SOLICITAR REGISTRO À PF</t>
        </is>
      </c>
      <c r="I2591" t="inlineStr">
        <is>
          <t>O DESPACHO CONJUNTO DO MINISTÉRIO DA JUSTIÇA E DO MINISTÉRIO DO TRABALHO E PREVIDÊNCIA SOCIAL BENEFICIOU 43.871 HAITIANOS QUE PEDIRAM ASILO NO BRASIL</t>
        </is>
      </c>
      <c r="J2591" t="inlineStr"/>
      <c r="K2591" t="n">
        <v>0</v>
      </c>
      <c r="L2591" t="n">
        <v>1</v>
      </c>
      <c r="M2591" t="n">
        <v>0</v>
      </c>
      <c r="N2591" t="n">
        <v>0</v>
      </c>
      <c r="O2591" t="n">
        <v>0</v>
      </c>
      <c r="P2591">
        <f>HYPERLINK("https://www.acritica.com/haitianos-com-permanencia-concedida-em-2015-devem-solicitar-registro-a-pf-1.169690", "URL")</f>
        <v/>
      </c>
      <c r="Q2591">
        <f>HYPERLINK("https://raw.githubusercontent.com/marcosmapl/dataset_imigrantes/main/materias_filtered/a_critica/haitianos/2016/09_out/html/1.169690_1376.html", "HTML")</f>
        <v/>
      </c>
      <c r="R2591">
        <f>HYPERLINK("https://raw.githubusercontent.com/marcosmapl/dataset_imigrantes/main/materias_filtered/a_critica/haitianos/2016/09_out/txt/1.169690_1376.txt", "TXT")</f>
        <v/>
      </c>
    </row>
    <row r="2592">
      <c r="A2592" s="1" t="n">
        <v>2590</v>
      </c>
      <c r="B2592" t="n">
        <v>2016</v>
      </c>
      <c r="C2592" s="2" t="n">
        <v>42666.88055555556</v>
      </c>
      <c r="D2592" t="inlineStr">
        <is>
          <t>G1</t>
        </is>
      </c>
      <c r="E2592" t="inlineStr">
        <is>
          <t>HAITIANOS</t>
        </is>
      </c>
      <c r="F2592" t="inlineStr"/>
      <c r="G2592" t="inlineStr">
        <is>
          <t xml:space="preserve"> KAWAGUTIBBC BRASIL, SAO PAULO</t>
        </is>
      </c>
      <c r="H2592" t="inlineStr">
        <is>
          <t>CORONEL BRASILEIRO DIZ QUE HAITIANOS COMEÇAM A RECONSTRUIR SUL DO PAÍS, MAS CLIMA AINDA É TENSO</t>
        </is>
      </c>
      <c r="I2592" t="inlineStr"/>
      <c r="J2592" t="inlineStr">
        <is>
          <t>HAITI</t>
        </is>
      </c>
      <c r="K2592" t="n">
        <v>1</v>
      </c>
      <c r="L2592" t="n">
        <v>11</v>
      </c>
      <c r="M2592" t="n">
        <v>0</v>
      </c>
      <c r="N2592" t="n">
        <v>0</v>
      </c>
      <c r="O2592" t="n">
        <v>9</v>
      </c>
      <c r="P2592">
        <f>HYPERLINK("http://g1.globo.com/mundo/noticia/2016/10/coronel-brasileiro-diz-que-haitianos-comecam-a-reconstruir-sul-do-pais-mas-clima-ainda-e-tenso.html", "URL")</f>
        <v/>
      </c>
      <c r="Q2592">
        <f>HYPERLINK("https://raw.githubusercontent.com/marcosmapl/dataset_imigrantes/main/materias_filtered/g1/haitianos/2016/09_out/html/g1_bf0238cc-22f5-11ed-b24f-6dbe51e79fca_1969.html", "HTML")</f>
        <v/>
      </c>
      <c r="R2592">
        <f>HYPERLINK("https://raw.githubusercontent.com/marcosmapl/dataset_imigrantes/main/materias_filtered/g1/haitianos/2016/09_out/txt/g1_bf0238cc-22f5-11ed-b24f-6dbe51e79fca_1969.txt", "TXT")</f>
        <v/>
      </c>
    </row>
    <row r="2593">
      <c r="A2593" s="1" t="n">
        <v>2591</v>
      </c>
      <c r="B2593" t="n">
        <v>2016</v>
      </c>
      <c r="C2593" s="2" t="n">
        <v>42666.25</v>
      </c>
      <c r="D2593" t="inlineStr">
        <is>
          <t>G1</t>
        </is>
      </c>
      <c r="E2593" t="inlineStr">
        <is>
          <t>HAITIANOS</t>
        </is>
      </c>
      <c r="F2593" t="inlineStr"/>
      <c r="G2593" t="inlineStr">
        <is>
          <t>A MACHADO DO G1 SÃO PAULO</t>
        </is>
      </c>
      <c r="H2593" t="inlineStr">
        <is>
          <t>HAITIANO GANHA BOLSA PARA SER ATOR EM SP E QUER COMBATER RACISMO COM ARTE</t>
        </is>
      </c>
      <c r="I2593" t="inlineStr"/>
      <c r="J2593" t="inlineStr">
        <is>
          <t>HAITI</t>
        </is>
      </c>
      <c r="K2593" t="n">
        <v>1</v>
      </c>
      <c r="L2593" t="n">
        <v>7</v>
      </c>
      <c r="M2593" t="n">
        <v>0</v>
      </c>
      <c r="N2593" t="n">
        <v>0</v>
      </c>
      <c r="O2593" t="n">
        <v>13</v>
      </c>
      <c r="P2593">
        <f>HYPERLINK("http://g1.globo.com/sao-paulo/noticia/2016/10/haitiano-ganha-bolsa-para-ser-ator-em-sp-e-quer-combater-racismo-com-arte.html", "URL")</f>
        <v/>
      </c>
      <c r="Q2593">
        <f>HYPERLINK("https://raw.githubusercontent.com/marcosmapl/dataset_imigrantes/main/materias_filtered/g1/haitianos/2016/09_out/html/g1_fb00592e-2329-11ed-b24f-6dbe51e79fca_4151.html", "HTML")</f>
        <v/>
      </c>
      <c r="R2593">
        <f>HYPERLINK("https://raw.githubusercontent.com/marcosmapl/dataset_imigrantes/main/materias_filtered/g1/haitianos/2016/09_out/txt/g1_fb00592e-2329-11ed-b24f-6dbe51e79fca_4151.txt", "TXT")</f>
        <v/>
      </c>
    </row>
    <row r="2594">
      <c r="A2594" s="1" t="n">
        <v>2592</v>
      </c>
      <c r="B2594" t="n">
        <v>2016</v>
      </c>
      <c r="C2594" s="2" t="n">
        <v>42665.76008101852</v>
      </c>
      <c r="D2594" t="inlineStr">
        <is>
          <t>A CRITICA</t>
        </is>
      </c>
      <c r="E2594" t="inlineStr">
        <is>
          <t>VENEZUELANOS</t>
        </is>
      </c>
      <c r="F2594" t="inlineStr"/>
      <c r="G2594" t="inlineStr">
        <is>
          <t>AGÊNCIA BRASIL</t>
        </is>
      </c>
      <c r="H2594" t="inlineStr">
        <is>
          <t>CAÇAS DA VENEZUELA INTERCEPTAM BOEING DA AVIANCA; COMPANHIA CANCELA VOOS NO PAÍS</t>
        </is>
      </c>
      <c r="I2594" t="inlineStr">
        <is>
          <t>AERONAVE QUE FAZIA O TRAJETO BOGOTÁ (COLÔMBIA) E MADRI (ESPANHA) COM MAIS DE 200 PESSOAS A BORDO, FOI INTERCEPTADA NO AR POR DOIS CAÇAS SUKHOI DO EXÉRCITO VENEZUELANO</t>
        </is>
      </c>
      <c r="J2594" t="inlineStr"/>
      <c r="K2594" t="n">
        <v>0</v>
      </c>
      <c r="L2594" t="n">
        <v>1</v>
      </c>
      <c r="M2594" t="n">
        <v>0</v>
      </c>
      <c r="N2594" t="n">
        <v>0</v>
      </c>
      <c r="O2594" t="n">
        <v>0</v>
      </c>
      <c r="P2594">
        <f>HYPERLINK("https://www.acritica.com/cacas-da-venezuela-interceptam-boeing-da-avianca-companhia-cancela-voos-no-pais-1.169138", "URL")</f>
        <v/>
      </c>
      <c r="Q2594">
        <f>HYPERLINK("https://raw.githubusercontent.com/marcosmapl/dataset_imigrantes/main/materias_filtered/a_critica/venezuelanos/2016/09_out/html/1.169138_28.html", "HTML")</f>
        <v/>
      </c>
      <c r="R2594">
        <f>HYPERLINK("https://raw.githubusercontent.com/marcosmapl/dataset_imigrantes/main/materias_filtered/a_critica/venezuelanos/2016/09_out/txt/1.169138_28.txt", "TXT")</f>
        <v/>
      </c>
    </row>
    <row r="2595">
      <c r="A2595" s="1" t="n">
        <v>2593</v>
      </c>
      <c r="B2595" t="n">
        <v>2016</v>
      </c>
      <c r="C2595" s="2" t="n">
        <v>42663.81944444445</v>
      </c>
      <c r="D2595" t="inlineStr">
        <is>
          <t>G1</t>
        </is>
      </c>
      <c r="E2595" t="inlineStr">
        <is>
          <t>VENEZUELANOS</t>
        </is>
      </c>
      <c r="F2595" t="inlineStr"/>
      <c r="G2595" t="inlineStr">
        <is>
          <t>RANCE PRESSE</t>
        </is>
      </c>
      <c r="H2595" t="inlineStr">
        <is>
          <t>JUSTIÇA VENEZUELANA ANULA COLETA DE ASSINATURAS EM TRÊS ESTADOS</t>
        </is>
      </c>
      <c r="I2595" t="inlineStr"/>
      <c r="J2595" t="inlineStr">
        <is>
          <t>NICOLÁS MADURO, VENEZUELA</t>
        </is>
      </c>
      <c r="K2595" t="n">
        <v>2</v>
      </c>
      <c r="L2595" t="n">
        <v>6</v>
      </c>
      <c r="M2595" t="n">
        <v>0</v>
      </c>
      <c r="N2595" t="n">
        <v>0</v>
      </c>
      <c r="O2595" t="n">
        <v>18</v>
      </c>
      <c r="P2595">
        <f>HYPERLINK("http://g1.globo.com/mundo/noticia/2016/10/justica-venezuelana-anula-coleta-de-assinaturas-em-tres-estados.html", "URL")</f>
        <v/>
      </c>
      <c r="Q2595">
        <f>HYPERLINK("https://raw.githubusercontent.com/marcosmapl/dataset_imigrantes/main/materias_filtered/g1/venezuelanos/2016/09_out/html/g1_b80c65d0-231b-11ed-b24f-6dbe51e79fca_3402.html", "HTML")</f>
        <v/>
      </c>
      <c r="R2595">
        <f>HYPERLINK("https://raw.githubusercontent.com/marcosmapl/dataset_imigrantes/main/materias_filtered/g1/venezuelanos/2016/09_out/txt/g1_b80c65d0-231b-11ed-b24f-6dbe51e79fca_3402.txt", "TXT")</f>
        <v/>
      </c>
    </row>
    <row r="2596">
      <c r="A2596" s="1" t="n">
        <v>2594</v>
      </c>
      <c r="B2596" t="n">
        <v>2016</v>
      </c>
      <c r="C2596" s="2" t="n">
        <v>42663.56319444445</v>
      </c>
      <c r="D2596" t="inlineStr">
        <is>
          <t>A CRITICA</t>
        </is>
      </c>
      <c r="E2596" t="inlineStr">
        <is>
          <t>VENEZUELANOS</t>
        </is>
      </c>
      <c r="F2596" t="inlineStr"/>
      <c r="G2596" t="inlineStr">
        <is>
          <t>OSWALDO NETO</t>
        </is>
      </c>
      <c r="H2596" t="inlineStr">
        <is>
          <t>EXÉRCITO IRÁ AUXILIAR EM MIGRAÇÃO DESENFREADA DE VENEZUELANOS EM RORAIMA</t>
        </is>
      </c>
      <c r="I2596" t="inlineStr">
        <is>
          <t>EM ENTREVISTA, CHEFE DO COMANDO LOGÍSTICO DO EXÉRCITO, GENERAL THEOPHILO GASPAR, AFIRMOU QUE BASE SERÁ MONTADA NO ESTADO PARA FAZER TRIAGEM DE IMIGRANTES. "EXISTE UM PERIGO DELES SE ALIAREM COM A MARGINALIDADE QUE EXISTE LÁ"</t>
        </is>
      </c>
      <c r="J2596" t="inlineStr"/>
      <c r="K2596" t="n">
        <v>0</v>
      </c>
      <c r="L2596" t="n">
        <v>1</v>
      </c>
      <c r="M2596" t="n">
        <v>0</v>
      </c>
      <c r="N2596" t="n">
        <v>0</v>
      </c>
      <c r="O2596" t="n">
        <v>0</v>
      </c>
      <c r="P2596">
        <f>HYPERLINK("https://www.acritica.com/exercito-ira-auxiliar-em-migrac-o-desenfreada-de-venezuelanos-em-roraima-1.168970", "URL")</f>
        <v/>
      </c>
      <c r="Q2596">
        <f>HYPERLINK("https://raw.githubusercontent.com/marcosmapl/dataset_imigrantes/main/materias_filtered/a_critica/venezuelanos/2016/09_out/html/1.168970_430.html", "HTML")</f>
        <v/>
      </c>
      <c r="R2596">
        <f>HYPERLINK("https://raw.githubusercontent.com/marcosmapl/dataset_imigrantes/main/materias_filtered/a_critica/venezuelanos/2016/09_out/txt/1.168970_430.txt", "TXT")</f>
        <v/>
      </c>
    </row>
    <row r="2597">
      <c r="A2597" s="1" t="n">
        <v>2595</v>
      </c>
      <c r="B2597" t="n">
        <v>2016</v>
      </c>
      <c r="C2597" s="2" t="n">
        <v>42662.80138888889</v>
      </c>
      <c r="D2597" t="inlineStr">
        <is>
          <t>G1</t>
        </is>
      </c>
      <c r="E2597" t="inlineStr">
        <is>
          <t>HAITIANOS</t>
        </is>
      </c>
      <c r="F2597" t="inlineStr"/>
      <c r="G2597" t="inlineStr">
        <is>
          <t>1 PR</t>
        </is>
      </c>
      <c r="H2597" t="inlineStr">
        <is>
          <t>CAMPANHA BUSCA ARRECADAR ITENS PARA HAITIANOS ATINGIDOS POR FURACÃO</t>
        </is>
      </c>
      <c r="I2597" t="inlineStr"/>
      <c r="J2597" t="inlineStr"/>
      <c r="K2597" t="n">
        <v>0</v>
      </c>
      <c r="L2597" t="n">
        <v>0</v>
      </c>
      <c r="M2597" t="n">
        <v>0</v>
      </c>
      <c r="N2597" t="n">
        <v>0</v>
      </c>
      <c r="O2597" t="n">
        <v>5</v>
      </c>
      <c r="P2597">
        <f>HYPERLINK("http://g1.globo.com/pr/oeste-sudoeste/noticia/2016/10/campanha-busca-arrecadar-itens-para-haitianos-atingidos-por-furacao.html", "URL")</f>
        <v/>
      </c>
      <c r="Q2597">
        <f>HYPERLINK("https://raw.githubusercontent.com/marcosmapl/dataset_imigrantes/main/materias_filtered/g1/haitianos/2016/09_out/html/g1_f9ee40e8-22f5-11ed-b24f-6dbe51e79fca_1984.html", "HTML")</f>
        <v/>
      </c>
      <c r="R2597">
        <f>HYPERLINK("https://raw.githubusercontent.com/marcosmapl/dataset_imigrantes/main/materias_filtered/g1/haitianos/2016/09_out/txt/g1_f9ee40e8-22f5-11ed-b24f-6dbe51e79fca_1984.txt", "TXT")</f>
        <v/>
      </c>
    </row>
    <row r="2598">
      <c r="A2598" s="1" t="n">
        <v>2596</v>
      </c>
      <c r="B2598" t="n">
        <v>2016</v>
      </c>
      <c r="C2598" s="2" t="n">
        <v>42660.74502314815</v>
      </c>
      <c r="D2598" t="inlineStr">
        <is>
          <t>A CRITICA</t>
        </is>
      </c>
      <c r="E2598" t="inlineStr">
        <is>
          <t>HAITIANOS</t>
        </is>
      </c>
      <c r="F2598" t="inlineStr">
        <is>
          <t>ENTRETENIMENTO</t>
        </is>
      </c>
      <c r="G2598" t="inlineStr">
        <is>
          <t>ACRÍTICA.COM</t>
        </is>
      </c>
      <c r="H2598" t="inlineStr">
        <is>
          <t>DIA DA CULTURA CUBANA É CELEBRADO COM MOSTRA DE CINEMA EM MANAUS</t>
        </is>
      </c>
      <c r="I2598" t="inlineStr">
        <is>
          <t>TRÊS FILMES SERÃO EXIBIDOS ENTRE OS DIAS 19 E 21 DE OUTUBRO, NO TEATRO GEBES MEDEIROS, NO CENTRO, ÀS 18H30, COM ENTRADA GRATUITA</t>
        </is>
      </c>
      <c r="J2598" t="inlineStr"/>
      <c r="K2598" t="n">
        <v>0</v>
      </c>
      <c r="L2598" t="n">
        <v>1</v>
      </c>
      <c r="M2598" t="n">
        <v>0</v>
      </c>
      <c r="N2598" t="n">
        <v>0</v>
      </c>
      <c r="O2598" t="n">
        <v>0</v>
      </c>
      <c r="P2598">
        <f>HYPERLINK("https://www.acritica.com/entretenimento/dia-da-cultura-cubana-e-celebrado-com-mostra-de-cinema-em-manaus-1.168505", "URL")</f>
        <v/>
      </c>
      <c r="Q2598">
        <f>HYPERLINK("https://raw.githubusercontent.com/marcosmapl/dataset_imigrantes/main/materias_filtered/a_critica/haitianos/2016/09_out/html/1.168505_167.html", "HTML")</f>
        <v/>
      </c>
      <c r="R2598">
        <f>HYPERLINK("https://raw.githubusercontent.com/marcosmapl/dataset_imigrantes/main/materias_filtered/a_critica/haitianos/2016/09_out/txt/1.168505_167.txt", "TXT")</f>
        <v/>
      </c>
    </row>
    <row r="2599">
      <c r="A2599" s="1" t="n">
        <v>2597</v>
      </c>
      <c r="B2599" t="n">
        <v>2016</v>
      </c>
      <c r="C2599" s="2" t="n">
        <v>42660.74097222222</v>
      </c>
      <c r="D2599" t="inlineStr">
        <is>
          <t>G1</t>
        </is>
      </c>
      <c r="E2599" t="inlineStr">
        <is>
          <t>HAITIANOS</t>
        </is>
      </c>
      <c r="F2599" t="inlineStr"/>
      <c r="G2599" t="inlineStr">
        <is>
          <t xml:space="preserve"> RODRIGUESDO G1 AC</t>
        </is>
      </c>
      <c r="H2599" t="inlineStr">
        <is>
          <t>FAZENDO CAMINHO INVERSO, AC PASSA A SER ROTA PARA HAITIANOS DEIXAREM BRASIL</t>
        </is>
      </c>
      <c r="I2599" t="inlineStr"/>
      <c r="J2599" t="inlineStr">
        <is>
          <t>ASSIS BRASIL, RIO BRANCO</t>
        </is>
      </c>
      <c r="K2599" t="n">
        <v>2</v>
      </c>
      <c r="L2599" t="n">
        <v>6</v>
      </c>
      <c r="M2599" t="n">
        <v>0</v>
      </c>
      <c r="N2599" t="n">
        <v>0</v>
      </c>
      <c r="O2599" t="n">
        <v>18</v>
      </c>
      <c r="P2599">
        <f>HYPERLINK("http://g1.globo.com/ac/acre/noticia/2016/10/fazendo-caminho-inverso-ac-passa-ser-rota-para-haitianos-deixar-o-brasil.html", "URL")</f>
        <v/>
      </c>
      <c r="Q2599">
        <f>HYPERLINK("https://raw.githubusercontent.com/marcosmapl/dataset_imigrantes/main/materias_filtered/g1/haitianos/2016/09_out/html/g1_59f38594-22fa-11ed-b24f-6dbe51e79fca_2213.html", "HTML")</f>
        <v/>
      </c>
      <c r="R2599">
        <f>HYPERLINK("https://raw.githubusercontent.com/marcosmapl/dataset_imigrantes/main/materias_filtered/g1/haitianos/2016/09_out/txt/g1_59f38594-22fa-11ed-b24f-6dbe51e79fca_2213.txt", "TXT")</f>
        <v/>
      </c>
    </row>
    <row r="2600">
      <c r="A2600" s="1" t="n">
        <v>2598</v>
      </c>
      <c r="B2600" t="n">
        <v>2016</v>
      </c>
      <c r="C2600" s="2" t="n">
        <v>42658.91805555556</v>
      </c>
      <c r="D2600" t="inlineStr">
        <is>
          <t>G1</t>
        </is>
      </c>
      <c r="E2600" t="inlineStr">
        <is>
          <t>HAITIANOS</t>
        </is>
      </c>
      <c r="F2600" t="inlineStr"/>
      <c r="G2600" t="inlineStr"/>
      <c r="H2600" t="inlineStr">
        <is>
          <t>BRASIL DEIXA DE SER UM DOS PRINCIPAIS DESTINOS DOS IMIGRANTES HAITIANOS</t>
        </is>
      </c>
      <c r="I2600" t="inlineStr"/>
      <c r="J2600" t="inlineStr">
        <is>
          <t>HAITI</t>
        </is>
      </c>
      <c r="K2600" t="n">
        <v>1</v>
      </c>
      <c r="L2600" t="n">
        <v>4</v>
      </c>
      <c r="M2600" t="n">
        <v>0</v>
      </c>
      <c r="N2600" t="n">
        <v>0</v>
      </c>
      <c r="O2600" t="n">
        <v>9</v>
      </c>
      <c r="P2600">
        <f>HYPERLINK("http://g1.globo.com/jornal-nacional/noticia/2016/10/brasil-deixa-de-ser-um-dos-principais-destinos-dos-imigrantes-haitianos.html", "URL")</f>
        <v/>
      </c>
      <c r="Q2600">
        <f>HYPERLINK("https://raw.githubusercontent.com/marcosmapl/dataset_imigrantes/main/materias_filtered/g1/haitianos/2016/09_out/html/g1_a1780ac8-22f2-11ed-b24f-6dbe51e79fca_1807.html", "HTML")</f>
        <v/>
      </c>
      <c r="R2600">
        <f>HYPERLINK("https://raw.githubusercontent.com/marcosmapl/dataset_imigrantes/main/materias_filtered/g1/haitianos/2016/09_out/txt/g1_a1780ac8-22f2-11ed-b24f-6dbe51e79fca_1807.txt", "TXT")</f>
        <v/>
      </c>
    </row>
    <row r="2601">
      <c r="A2601" s="1" t="n">
        <v>2599</v>
      </c>
      <c r="B2601" t="n">
        <v>2016</v>
      </c>
      <c r="C2601" s="2" t="n">
        <v>42658.54722222222</v>
      </c>
      <c r="D2601" t="inlineStr">
        <is>
          <t>A CRITICA</t>
        </is>
      </c>
      <c r="E2601" t="inlineStr">
        <is>
          <t>VENEZUELANOS</t>
        </is>
      </c>
      <c r="F2601" t="inlineStr"/>
      <c r="G2601" t="inlineStr">
        <is>
          <t>LUANA CARVALHO</t>
        </is>
      </c>
      <c r="H2601" t="inlineStr">
        <is>
          <t>SBCP PEDE INVESTIGAÇÃO SOBRE DENÚNCIA DE ESQUEMA DE TRÁFICO DE ÓRGÃOS DE BRASILEIRAS</t>
        </is>
      </c>
      <c r="I2601" t="inlineStr">
        <is>
          <t>A DENÚNCIA DA SOCIEDADE BRASILEIRA DE CIRURGIA PLÁSTICA FOI PROTOCOLADA, SEXTA-FEIRA (14), NO MINISTÉRIO PÚBLICO DO ESTADO (MPE),TRIBUNAL DE JUSTIÇA (TJ-AM), DEFENSORIA PÚBLICA DO ESTADO (DPE) E ORDEM DOS ADVOGADOS DO BRASIL (OAB)</t>
        </is>
      </c>
      <c r="J2601" t="inlineStr"/>
      <c r="K2601" t="n">
        <v>0</v>
      </c>
      <c r="L2601" t="n">
        <v>1</v>
      </c>
      <c r="M2601" t="n">
        <v>0</v>
      </c>
      <c r="N2601" t="n">
        <v>0</v>
      </c>
      <c r="O2601" t="n">
        <v>0</v>
      </c>
      <c r="P2601">
        <f>HYPERLINK("https://www.acritica.com/sbcp-pede-investigac-o-sobre-denuncia-de-esquema-de-trafico-de-org-os-de-brasileiras-1.168301", "URL")</f>
        <v/>
      </c>
      <c r="Q2601">
        <f>HYPERLINK("https://raw.githubusercontent.com/marcosmapl/dataset_imigrantes/main/materias_filtered/a_critica/venezuelanos/2016/09_out/html/1.168301_393.html", "HTML")</f>
        <v/>
      </c>
      <c r="R2601">
        <f>HYPERLINK("https://raw.githubusercontent.com/marcosmapl/dataset_imigrantes/main/materias_filtered/a_critica/venezuelanos/2016/09_out/txt/1.168301_393.txt", "TXT")</f>
        <v/>
      </c>
    </row>
    <row r="2602">
      <c r="A2602" s="1" t="n">
        <v>2600</v>
      </c>
      <c r="B2602" t="n">
        <v>2016</v>
      </c>
      <c r="C2602" s="2" t="n">
        <v>42657.8125</v>
      </c>
      <c r="D2602" t="inlineStr">
        <is>
          <t>G1</t>
        </is>
      </c>
      <c r="E2602" t="inlineStr">
        <is>
          <t>HAITIANOS</t>
        </is>
      </c>
      <c r="F2602" t="inlineStr"/>
      <c r="G2602" t="inlineStr">
        <is>
          <t>1 MT</t>
        </is>
      </c>
      <c r="H2602" t="inlineStr">
        <is>
          <t>HAITIANO MORRE APÓS MANILHA SE SOLTAR DE RETROESCAVADEIRA EM CIDADE DE MT</t>
        </is>
      </c>
      <c r="I2602" t="inlineStr"/>
      <c r="J2602" t="inlineStr">
        <is>
          <t>SINOP</t>
        </is>
      </c>
      <c r="K2602" t="n">
        <v>1</v>
      </c>
      <c r="L2602" t="n">
        <v>6</v>
      </c>
      <c r="M2602" t="n">
        <v>0</v>
      </c>
      <c r="N2602" t="n">
        <v>0</v>
      </c>
      <c r="O2602" t="n">
        <v>11</v>
      </c>
      <c r="P2602">
        <f>HYPERLINK("http://g1.globo.com/mato-grosso/noticia/2016/10/haitiano-morre-apos-manilha-se-soltar-de-retroescavadeira-em-cidade-de-mt.html", "URL")</f>
        <v/>
      </c>
      <c r="Q2602">
        <f>HYPERLINK("https://raw.githubusercontent.com/marcosmapl/dataset_imigrantes/main/materias_filtered/g1/haitianos/2016/09_out/html/g1_754f86ac-22f1-11ed-b24f-6dbe51e79fca_1751.html", "HTML")</f>
        <v/>
      </c>
      <c r="R2602">
        <f>HYPERLINK("https://raw.githubusercontent.com/marcosmapl/dataset_imigrantes/main/materias_filtered/g1/haitianos/2016/09_out/txt/g1_754f86ac-22f1-11ed-b24f-6dbe51e79fca_1751.txt", "TXT")</f>
        <v/>
      </c>
    </row>
    <row r="2603">
      <c r="A2603" s="1" t="n">
        <v>2601</v>
      </c>
      <c r="B2603" t="n">
        <v>2016</v>
      </c>
      <c r="C2603" s="2" t="n">
        <v>42657.68724537037</v>
      </c>
      <c r="D2603" t="inlineStr">
        <is>
          <t>A CRITICA</t>
        </is>
      </c>
      <c r="E2603" t="inlineStr">
        <is>
          <t>VENEZUELANOS</t>
        </is>
      </c>
      <c r="F2603" t="inlineStr">
        <is>
          <t>MANAUS</t>
        </is>
      </c>
      <c r="G2603" t="inlineStr">
        <is>
          <t>LUANA CARVALHO</t>
        </is>
      </c>
      <c r="H2603" t="inlineStr">
        <is>
          <t>MÉDICOS FORMALIZAM DENÚNCIA DE TRÁFICO DE ÓRGÃOS DE PACIENTES NA VENEZUELA</t>
        </is>
      </c>
      <c r="I2603" t="inlineStr">
        <is>
          <t>EM MANAUS, MEMBROS DA SOCIEDADE BRASILEIRA DE CIRURGIA PLÁSTICA OFICIALIZARAM A DENÚNCIA AO MINISTÉRIO PÚBLICO, TJ-AM, DEFENSORIA E ORDEM DOS ADVOGADOS DO BRASIL</t>
        </is>
      </c>
      <c r="J2603" t="inlineStr"/>
      <c r="K2603" t="n">
        <v>0</v>
      </c>
      <c r="L2603" t="n">
        <v>1</v>
      </c>
      <c r="M2603" t="n">
        <v>0</v>
      </c>
      <c r="N2603" t="n">
        <v>0</v>
      </c>
      <c r="O2603" t="n">
        <v>0</v>
      </c>
      <c r="P2603">
        <f>HYPERLINK("https://www.acritica.com/manaus/medicos-formalizam-denuncia-de-trafico-de-org-os-de-pacientes-na-venezuela-1.168200", "URL")</f>
        <v/>
      </c>
      <c r="Q2603">
        <f>HYPERLINK("https://raw.githubusercontent.com/marcosmapl/dataset_imigrantes/main/materias_filtered/a_critica/venezuelanos/2016/09_out/html/1.168200_1358.html", "HTML")</f>
        <v/>
      </c>
      <c r="R2603">
        <f>HYPERLINK("https://raw.githubusercontent.com/marcosmapl/dataset_imigrantes/main/materias_filtered/a_critica/venezuelanos/2016/09_out/txt/1.168200_1358.txt", "TXT")</f>
        <v/>
      </c>
    </row>
    <row r="2604">
      <c r="A2604" s="1" t="n">
        <v>2602</v>
      </c>
      <c r="B2604" t="n">
        <v>2016</v>
      </c>
      <c r="C2604" s="2" t="n">
        <v>42657.36041666667</v>
      </c>
      <c r="D2604" t="inlineStr">
        <is>
          <t>G1</t>
        </is>
      </c>
      <c r="E2604" t="inlineStr">
        <is>
          <t>VENEZUELANOS</t>
        </is>
      </c>
      <c r="F2604" t="inlineStr"/>
      <c r="G2604" t="inlineStr">
        <is>
          <t>1, EM SÃO PAULO</t>
        </is>
      </c>
      <c r="H2604" t="inlineStr">
        <is>
          <t>JESUÍTAS ESCOLHEM VENEZUELANO ARTURO SOSA ABASCAL COMO SUPERIOR</t>
        </is>
      </c>
      <c r="I2604" t="inlineStr"/>
      <c r="J2604" t="inlineStr">
        <is>
          <t>PAPA FRANCISCO</t>
        </is>
      </c>
      <c r="K2604" t="n">
        <v>1</v>
      </c>
      <c r="L2604" t="n">
        <v>5</v>
      </c>
      <c r="M2604" t="n">
        <v>0</v>
      </c>
      <c r="N2604" t="n">
        <v>0</v>
      </c>
      <c r="O2604" t="n">
        <v>9</v>
      </c>
      <c r="P2604">
        <f>HYPERLINK("http://g1.globo.com/mundo/noticia/2016/10/jesuitas-escolhem-venezuelano-arturo-sosa-abascal-como-superior.html", "URL")</f>
        <v/>
      </c>
      <c r="Q2604">
        <f>HYPERLINK("https://raw.githubusercontent.com/marcosmapl/dataset_imigrantes/main/materias_filtered/g1/venezuelanos/2016/09_out/html/g1_657a3792-2312-11ed-b24f-6dbe51e79fca_2965.html", "HTML")</f>
        <v/>
      </c>
      <c r="R2604">
        <f>HYPERLINK("https://raw.githubusercontent.com/marcosmapl/dataset_imigrantes/main/materias_filtered/g1/venezuelanos/2016/09_out/txt/g1_657a3792-2312-11ed-b24f-6dbe51e79fca_2965.txt", "TXT")</f>
        <v/>
      </c>
    </row>
    <row r="2605">
      <c r="A2605" s="1" t="n">
        <v>2603</v>
      </c>
      <c r="B2605" t="n">
        <v>2016</v>
      </c>
      <c r="C2605" s="2" t="n">
        <v>42656.95069444444</v>
      </c>
      <c r="D2605" t="inlineStr">
        <is>
          <t>A CRITICA</t>
        </is>
      </c>
      <c r="E2605" t="inlineStr">
        <is>
          <t>VENEZUELANOS</t>
        </is>
      </c>
      <c r="F2605" t="inlineStr">
        <is>
          <t>MANAUS</t>
        </is>
      </c>
      <c r="G2605" t="inlineStr">
        <is>
          <t>RAFAEL SEIXAS</t>
        </is>
      </c>
      <c r="H2605" t="inlineStr">
        <is>
          <t>PRESIDENTE DA SBCP VEM A MANAUS PEDIR INVESTIGAÇÃO SOBRE SUPOSTO TRÁFICO DE ÓRGÃOS</t>
        </is>
      </c>
      <c r="I2605" t="inlineStr">
        <is>
          <t>A SUSPEITA ENVOLVE VÍTIMAS DE CIRURGIAS PLÁSTICAS REALIZADAS NA VENEZUELA, COMO O CASO DA PARINTINENSE DIONEIDE LEITE, 36, QUE MORREU EM SETEMBRO NA CIDADE DE PUERTO ORDAZ. A REUNIÃO ACONTECE NESTA SEXTA-FEIRA (14) NO HOTEL CAESAR BUSINESS</t>
        </is>
      </c>
      <c r="J2605" t="inlineStr"/>
      <c r="K2605" t="n">
        <v>0</v>
      </c>
      <c r="L2605" t="n">
        <v>1</v>
      </c>
      <c r="M2605" t="n">
        <v>0</v>
      </c>
      <c r="N2605" t="n">
        <v>0</v>
      </c>
      <c r="O2605" t="n">
        <v>0</v>
      </c>
      <c r="P2605">
        <f>HYPERLINK("https://www.acritica.com/manaus/presidente-da-sbcp-vem-a-manaus-pedir-investigac-o-sobre-suposto-trafico-de-org-os-1.167989", "URL")</f>
        <v/>
      </c>
      <c r="Q2605">
        <f>HYPERLINK("https://raw.githubusercontent.com/marcosmapl/dataset_imigrantes/main/materias_filtered/a_critica/venezuelanos/2016/09_out/html/1.167989_386.html", "HTML")</f>
        <v/>
      </c>
      <c r="R2605">
        <f>HYPERLINK("https://raw.githubusercontent.com/marcosmapl/dataset_imigrantes/main/materias_filtered/a_critica/venezuelanos/2016/09_out/txt/1.167989_386.txt", "TXT")</f>
        <v/>
      </c>
    </row>
    <row r="2606">
      <c r="A2606" s="1" t="n">
        <v>2604</v>
      </c>
      <c r="B2606" t="n">
        <v>2016</v>
      </c>
      <c r="C2606" s="2" t="n">
        <v>42656.83125</v>
      </c>
      <c r="D2606" t="inlineStr">
        <is>
          <t>PORTAL AMAZONIA</t>
        </is>
      </c>
      <c r="E2606" t="inlineStr">
        <is>
          <t>VENEZUELANOS</t>
        </is>
      </c>
      <c r="F2606" t="inlineStr">
        <is>
          <t>CIDADES</t>
        </is>
      </c>
      <c r="G2606" t="inlineStr">
        <is>
          <t>REDAÇÃO</t>
        </is>
      </c>
      <c r="H2606" t="inlineStr">
        <is>
          <t>RORAIMA QUER CRIAR GABINETE PARA IMIGRANTES DA VENEZUELA</t>
        </is>
      </c>
      <c r="I2606" t="inlineStr">
        <is>
          <t>COM O ENDURECIMENTO DA CRISE ECONÔMICA E POLÍTICA NA VENEZUELA, A REGIÃO NORTE DO BRASIL ESTÁ RECEBENDO CADA VEZ MAIS VENEZUELANOS EM BUSCA DE MELHORES CONDIÇÕES DE VIDA. A SITUAÇÃO É MAIS DELICADA EM RORAIMA, ONDE NOS ÚLTIMOS SEIS MESES, E</t>
        </is>
      </c>
      <c r="J2606" t="inlineStr">
        <is>
          <t>AMAZONIA LEGAL, CRISE ECONÔMICA, IMIGRAÇÃO, RORAIMA, VENEZUELA</t>
        </is>
      </c>
      <c r="K2606" t="n">
        <v>5</v>
      </c>
      <c r="L2606" t="n">
        <v>1</v>
      </c>
      <c r="M2606" t="n">
        <v>0</v>
      </c>
      <c r="N2606" t="n">
        <v>0</v>
      </c>
      <c r="O2606" t="n">
        <v>10</v>
      </c>
      <c r="P2606">
        <f>HYPERLINK("https://portalamazonia.com/noticias/cidades/roraima-quer-criar-gabinete-para-imigrantes-da-venezuela", "URL")</f>
        <v/>
      </c>
      <c r="Q2606">
        <f>HYPERLINK("https://raw.githubusercontent.com/marcosmapl/dataset_imigrantes/main/materias_filtered/portal_amazonia/venezuelanos/2016/09_out/html/3891.3891_1516.html", "HTML")</f>
        <v/>
      </c>
      <c r="R2606">
        <f>HYPERLINK("https://raw.githubusercontent.com/marcosmapl/dataset_imigrantes/main/materias_filtered/portal_amazonia/venezuelanos/2016/09_out/txt/3891.3891_1516.txt", "TXT")</f>
        <v/>
      </c>
    </row>
    <row r="2607">
      <c r="A2607" s="1" t="n">
        <v>2605</v>
      </c>
      <c r="B2607" t="n">
        <v>2016</v>
      </c>
      <c r="C2607" s="2" t="n">
        <v>42656.7899537037</v>
      </c>
      <c r="D2607" t="inlineStr">
        <is>
          <t>A CRITICA</t>
        </is>
      </c>
      <c r="E2607" t="inlineStr">
        <is>
          <t>VENEZUELANOS</t>
        </is>
      </c>
      <c r="F2607" t="inlineStr">
        <is>
          <t>ESPORTES</t>
        </is>
      </c>
      <c r="G2607" t="inlineStr">
        <is>
          <t>ACRÍTICA.COM</t>
        </is>
      </c>
      <c r="H2607" t="inlineStr">
        <is>
          <t>MANAUS RECEBE TORNEIO INTERNACIONAL DE POKER COM PRÊMIO DE R$ 100 MIL</t>
        </is>
      </c>
      <c r="I2607" t="inlineStr">
        <is>
          <t>O TEXAS HOLD’EM LPC 888 MANAUS CONTINUA A SER REALIZADO NA ARENA DA AMAZÔNIA ENTRE OS DIAS 19 E 23 DE OUTUBRO</t>
        </is>
      </c>
      <c r="J2607" t="inlineStr"/>
      <c r="K2607" t="n">
        <v>0</v>
      </c>
      <c r="L2607" t="n">
        <v>1</v>
      </c>
      <c r="M2607" t="n">
        <v>0</v>
      </c>
      <c r="N2607" t="n">
        <v>0</v>
      </c>
      <c r="O2607" t="n">
        <v>0</v>
      </c>
      <c r="P2607">
        <f>HYPERLINK("https://www.acritica.com/esportes/manaus-recebe-torneio-internacional-de-poker-com-premio-de-r-100-mil-1.168019", "URL")</f>
        <v/>
      </c>
      <c r="Q2607">
        <f>HYPERLINK("https://raw.githubusercontent.com/marcosmapl/dataset_imigrantes/main/materias_filtered/a_critica/venezuelanos/2016/09_out/html/1.168019_51.html", "HTML")</f>
        <v/>
      </c>
      <c r="R2607">
        <f>HYPERLINK("https://raw.githubusercontent.com/marcosmapl/dataset_imigrantes/main/materias_filtered/a_critica/venezuelanos/2016/09_out/txt/1.168019_51.txt", "TXT")</f>
        <v/>
      </c>
    </row>
    <row r="2608">
      <c r="A2608" s="1" t="n">
        <v>2606</v>
      </c>
      <c r="B2608" t="n">
        <v>2016</v>
      </c>
      <c r="C2608" s="2" t="n">
        <v>42656.70694444444</v>
      </c>
      <c r="D2608" t="inlineStr">
        <is>
          <t>G1</t>
        </is>
      </c>
      <c r="E2608" t="inlineStr">
        <is>
          <t>HAITIANOS</t>
        </is>
      </c>
      <c r="F2608" t="inlineStr"/>
      <c r="G2608" t="inlineStr">
        <is>
          <t>1 SC, COM INFORMAÇÕES DA RBS TV</t>
        </is>
      </c>
      <c r="H2608" t="inlineStr">
        <is>
          <t>APÓS 2 ANOS DE SEPARAÇÃO, HAITIANA TRAZ FILHA AO BRASIL: 'CORAÇÃO TRANQUILO'</t>
        </is>
      </c>
      <c r="I2608" t="inlineStr"/>
      <c r="J2608" t="inlineStr">
        <is>
          <t>FLORIANÓPOLIS</t>
        </is>
      </c>
      <c r="K2608" t="n">
        <v>1</v>
      </c>
      <c r="L2608" t="n">
        <v>2</v>
      </c>
      <c r="M2608" t="n">
        <v>0</v>
      </c>
      <c r="N2608" t="n">
        <v>0</v>
      </c>
      <c r="O2608" t="n">
        <v>10</v>
      </c>
      <c r="P2608">
        <f>HYPERLINK("http://g1.globo.com/sc/santa-catarina/noticia/2016/10/apos-2-anos-de-separacao-haitiana-traz-filha-ao-brasil-coracao-tranquilo.html", "URL")</f>
        <v/>
      </c>
      <c r="Q2608">
        <f>HYPERLINK("https://raw.githubusercontent.com/marcosmapl/dataset_imigrantes/main/materias_filtered/g1/haitianos/2016/09_out/html/g1_abe4db56-2321-11ed-b24f-6dbe51e79fca_3712.html", "HTML")</f>
        <v/>
      </c>
      <c r="R2608">
        <f>HYPERLINK("https://raw.githubusercontent.com/marcosmapl/dataset_imigrantes/main/materias_filtered/g1/haitianos/2016/09_out/txt/g1_abe4db56-2321-11ed-b24f-6dbe51e79fca_3712.txt", "TXT")</f>
        <v/>
      </c>
    </row>
    <row r="2609">
      <c r="A2609" s="1" t="n">
        <v>2607</v>
      </c>
      <c r="B2609" t="n">
        <v>2016</v>
      </c>
      <c r="C2609" s="2" t="n">
        <v>42656.46388888889</v>
      </c>
      <c r="D2609" t="inlineStr">
        <is>
          <t>G1</t>
        </is>
      </c>
      <c r="E2609" t="inlineStr">
        <is>
          <t>HAITIANOS</t>
        </is>
      </c>
      <c r="F2609" t="inlineStr"/>
      <c r="G2609" t="inlineStr">
        <is>
          <t>1, EM BRASÍLIA</t>
        </is>
      </c>
      <c r="H2609" t="inlineStr">
        <is>
          <t>GOVERNO BRASILEIRO ANUNCIA ENVIO DE DEZ TONELADAS DE DONATIVOS AO HAITI</t>
        </is>
      </c>
      <c r="I2609" t="inlineStr"/>
      <c r="J2609" t="inlineStr">
        <is>
          <t>BAN KI-MOON, ONU, ORGANIZAÇÃO MUNDIAL DE SAÚDE (OMS)</t>
        </is>
      </c>
      <c r="K2609" t="n">
        <v>3</v>
      </c>
      <c r="L2609" t="n">
        <v>7</v>
      </c>
      <c r="M2609" t="n">
        <v>0</v>
      </c>
      <c r="N2609" t="n">
        <v>0</v>
      </c>
      <c r="O2609" t="n">
        <v>18</v>
      </c>
      <c r="P2609">
        <f>HYPERLINK("http://g1.globo.com/mundo/noticia/2016/10/governo-brasileiro-anuncia-envio-de-dez-toneladas-de-donativos-ao-haiti.html", "URL")</f>
        <v/>
      </c>
      <c r="Q2609">
        <f>HYPERLINK("https://raw.githubusercontent.com/marcosmapl/dataset_imigrantes/main/materias_filtered/g1/haitianos/2016/09_out/html/g1_44fe2946-2318-11ed-b24f-6dbe51e79fca_3251.html", "HTML")</f>
        <v/>
      </c>
      <c r="R2609">
        <f>HYPERLINK("https://raw.githubusercontent.com/marcosmapl/dataset_imigrantes/main/materias_filtered/g1/haitianos/2016/09_out/txt/g1_44fe2946-2318-11ed-b24f-6dbe51e79fca_3251.txt", "TXT")</f>
        <v/>
      </c>
    </row>
    <row r="2610">
      <c r="A2610" s="1" t="n">
        <v>2608</v>
      </c>
      <c r="B2610" t="n">
        <v>2016</v>
      </c>
      <c r="C2610" s="2" t="n">
        <v>42655.46666666667</v>
      </c>
      <c r="D2610" t="inlineStr">
        <is>
          <t>G1</t>
        </is>
      </c>
      <c r="E2610" t="inlineStr">
        <is>
          <t>HAITIANOS</t>
        </is>
      </c>
      <c r="F2610" t="inlineStr"/>
      <c r="G2610" t="inlineStr">
        <is>
          <t>1, EM BRASÍLIA</t>
        </is>
      </c>
      <c r="H2610" t="inlineStr">
        <is>
          <t>GOVERNO BRASILEIRO ENVIA BARRACAS PARA DESABRIGADOS NO HAITI</t>
        </is>
      </c>
      <c r="I2610" t="inlineStr"/>
      <c r="J2610" t="inlineStr">
        <is>
          <t>BAN KI-MOON, ONU, ORGANIZAÇÃO MUNDIAL DE SAÚDE (OMS)</t>
        </is>
      </c>
      <c r="K2610" t="n">
        <v>3</v>
      </c>
      <c r="L2610" t="n">
        <v>7</v>
      </c>
      <c r="M2610" t="n">
        <v>0</v>
      </c>
      <c r="N2610" t="n">
        <v>0</v>
      </c>
      <c r="O2610" t="n">
        <v>17</v>
      </c>
      <c r="P2610">
        <f>HYPERLINK("http://g1.globo.com/mundo/noticia/2016/10/governo-brasileiro-envia-barracas-para-desabrigados-no-haiti.html", "URL")</f>
        <v/>
      </c>
      <c r="Q2610">
        <f>HYPERLINK("https://raw.githubusercontent.com/marcosmapl/dataset_imigrantes/main/materias_filtered/g1/haitianos/2016/09_out/html/g1_b91be9e8-22ec-11ed-b24f-6dbe51e79fca_1665.html", "HTML")</f>
        <v/>
      </c>
      <c r="R2610">
        <f>HYPERLINK("https://raw.githubusercontent.com/marcosmapl/dataset_imigrantes/main/materias_filtered/g1/haitianos/2016/09_out/txt/g1_b91be9e8-22ec-11ed-b24f-6dbe51e79fca_1665.txt", "TXT")</f>
        <v/>
      </c>
    </row>
    <row r="2611">
      <c r="A2611" s="1" t="n">
        <v>2609</v>
      </c>
      <c r="B2611" t="n">
        <v>2016</v>
      </c>
      <c r="C2611" s="2" t="n">
        <v>42655.32083333333</v>
      </c>
      <c r="D2611" t="inlineStr">
        <is>
          <t>G1</t>
        </is>
      </c>
      <c r="E2611" t="inlineStr">
        <is>
          <t>HAITIANOS</t>
        </is>
      </c>
      <c r="F2611" t="inlineStr"/>
      <c r="G2611" t="inlineStr">
        <is>
          <t>1 MS COM INFORMAÇÕES DA TV MORENA</t>
        </is>
      </c>
      <c r="H2611" t="inlineStr">
        <is>
          <t>CAMPANHA EM MS ARRECADA DINHEIRO PARA BUSCAR FILHAS DE CASAL HAITIANO</t>
        </is>
      </c>
      <c r="I2611" t="inlineStr"/>
      <c r="J2611" t="inlineStr">
        <is>
          <t>MATO GROSSO DO SUL, CAMPO GRANDE</t>
        </is>
      </c>
      <c r="K2611" t="n">
        <v>2</v>
      </c>
      <c r="L2611" t="n">
        <v>2</v>
      </c>
      <c r="M2611" t="n">
        <v>0</v>
      </c>
      <c r="N2611" t="n">
        <v>0</v>
      </c>
      <c r="O2611" t="n">
        <v>14</v>
      </c>
      <c r="P2611">
        <f>HYPERLINK("http://g1.globo.com/mato-grosso-do-sul/noticia/2016/10/campanha-em-ms-arrecada-dinheiro-para-buscar-filhas-de-casal-haitiano.html", "URL")</f>
        <v/>
      </c>
      <c r="Q2611">
        <f>HYPERLINK("https://raw.githubusercontent.com/marcosmapl/dataset_imigrantes/main/materias_filtered/g1/haitianos/2016/09_out/html/g1_c85ebbd0-22f4-11ed-b24f-6dbe51e79fca_1909.html", "HTML")</f>
        <v/>
      </c>
      <c r="R2611">
        <f>HYPERLINK("https://raw.githubusercontent.com/marcosmapl/dataset_imigrantes/main/materias_filtered/g1/haitianos/2016/09_out/txt/g1_c85ebbd0-22f4-11ed-b24f-6dbe51e79fca_1909.txt", "TXT")</f>
        <v/>
      </c>
    </row>
    <row r="2612">
      <c r="A2612" s="1" t="n">
        <v>2610</v>
      </c>
      <c r="B2612" t="n">
        <v>2016</v>
      </c>
      <c r="C2612" s="2" t="n">
        <v>42654.88402777778</v>
      </c>
      <c r="D2612" t="inlineStr">
        <is>
          <t>G1</t>
        </is>
      </c>
      <c r="E2612" t="inlineStr">
        <is>
          <t>HAITIANOS</t>
        </is>
      </c>
      <c r="F2612" t="inlineStr"/>
      <c r="G2612" t="inlineStr"/>
      <c r="H2612" t="inlineStr">
        <is>
          <t>HAITIANA ENCONTRADA SOB ESCOMBROS EM 2010 PERDEU PARENTES NO FURACÃO</t>
        </is>
      </c>
      <c r="I2612" t="inlineStr"/>
      <c r="J2612" t="inlineStr">
        <is>
          <t>HAITI</t>
        </is>
      </c>
      <c r="K2612" t="n">
        <v>1</v>
      </c>
      <c r="L2612" t="n">
        <v>4</v>
      </c>
      <c r="M2612" t="n">
        <v>0</v>
      </c>
      <c r="N2612" t="n">
        <v>0</v>
      </c>
      <c r="O2612" t="n">
        <v>9</v>
      </c>
      <c r="P2612">
        <f>HYPERLINK("http://g1.globo.com/jornal-nacional/noticia/2016/10/haitiana-encontrada-sob-escombros-em-2010-perdeu-parentes-no-furacao.html", "URL")</f>
        <v/>
      </c>
      <c r="Q2612">
        <f>HYPERLINK("https://raw.githubusercontent.com/marcosmapl/dataset_imigrantes/main/materias_filtered/g1/haitianos/2016/09_out/html/g1_5f86bf0a-231b-11ed-b24f-6dbe51e79fca_3382.html", "HTML")</f>
        <v/>
      </c>
      <c r="R2612">
        <f>HYPERLINK("https://raw.githubusercontent.com/marcosmapl/dataset_imigrantes/main/materias_filtered/g1/haitianos/2016/09_out/txt/g1_5f86bf0a-231b-11ed-b24f-6dbe51e79fca_3382.txt", "TXT")</f>
        <v/>
      </c>
    </row>
    <row r="2613">
      <c r="A2613" s="1" t="n">
        <v>2611</v>
      </c>
      <c r="B2613" t="n">
        <v>2016</v>
      </c>
      <c r="C2613" s="2" t="n">
        <v>42654.83472222222</v>
      </c>
      <c r="D2613" t="inlineStr">
        <is>
          <t>G1</t>
        </is>
      </c>
      <c r="E2613" t="inlineStr">
        <is>
          <t>HAITIANOS</t>
        </is>
      </c>
      <c r="F2613" t="inlineStr"/>
      <c r="G2613" t="inlineStr">
        <is>
          <t>RANCE PRESSE</t>
        </is>
      </c>
      <c r="H2613" t="inlineStr">
        <is>
          <t>FORÇAS DA ONU DEVEM ESTENDER PERMANÊNCIA NO HAITI POR SEIS MESES</t>
        </is>
      </c>
      <c r="I2613" t="inlineStr"/>
      <c r="J2613" t="inlineStr">
        <is>
          <t>BAN KI-MOON, HAITI, ONU</t>
        </is>
      </c>
      <c r="K2613" t="n">
        <v>3</v>
      </c>
      <c r="L2613" t="n">
        <v>7</v>
      </c>
      <c r="M2613" t="n">
        <v>0</v>
      </c>
      <c r="N2613" t="n">
        <v>0</v>
      </c>
      <c r="O2613" t="n">
        <v>17</v>
      </c>
      <c r="P2613">
        <f>HYPERLINK("http://g1.globo.com/mundo/noticia/2016/10/forcas-da-onu-devem-estender-permanencia-no-haiti-por-seis-meses.html", "URL")</f>
        <v/>
      </c>
      <c r="Q2613">
        <f>HYPERLINK("https://raw.githubusercontent.com/marcosmapl/dataset_imigrantes/main/materias_filtered/g1/haitianos/2016/09_out/html/g1_b5a72646-2315-11ed-b24f-6dbe51e79fca_3102.html", "HTML")</f>
        <v/>
      </c>
      <c r="R2613">
        <f>HYPERLINK("https://raw.githubusercontent.com/marcosmapl/dataset_imigrantes/main/materias_filtered/g1/haitianos/2016/09_out/txt/g1_b5a72646-2315-11ed-b24f-6dbe51e79fca_3102.txt", "TXT")</f>
        <v/>
      </c>
    </row>
    <row r="2614">
      <c r="A2614" s="1" t="n">
        <v>2612</v>
      </c>
      <c r="B2614" t="n">
        <v>2016</v>
      </c>
      <c r="C2614" s="2" t="n">
        <v>42653.87847222222</v>
      </c>
      <c r="D2614" t="inlineStr">
        <is>
          <t>G1</t>
        </is>
      </c>
      <c r="E2614" t="inlineStr">
        <is>
          <t>HAITIANOS</t>
        </is>
      </c>
      <c r="F2614" t="inlineStr"/>
      <c r="G2614" t="inlineStr"/>
      <c r="H2614" t="inlineStr">
        <is>
          <t>HAITIANOS AGUARDAM AJUDA HUMANITÁRIA EM ÁREAS DEVASTADAS PELO FURACÃO</t>
        </is>
      </c>
      <c r="I2614" t="inlineStr"/>
      <c r="J2614" t="inlineStr">
        <is>
          <t>HAITI</t>
        </is>
      </c>
      <c r="K2614" t="n">
        <v>1</v>
      </c>
      <c r="L2614" t="n">
        <v>4</v>
      </c>
      <c r="M2614" t="n">
        <v>0</v>
      </c>
      <c r="N2614" t="n">
        <v>0</v>
      </c>
      <c r="O2614" t="n">
        <v>9</v>
      </c>
      <c r="P2614">
        <f>HYPERLINK("http://g1.globo.com/jornal-nacional/noticia/2016/10/haitianos-aguardam-ajuda-humanitaria-em-areas-devastadas-pelo-furacao.html", "URL")</f>
        <v/>
      </c>
      <c r="Q2614">
        <f>HYPERLINK("https://raw.githubusercontent.com/marcosmapl/dataset_imigrantes/main/materias_filtered/g1/haitianos/2016/09_out/html/g1_61701f74-22f2-11ed-b24f-6dbe51e79fca_1793.html", "HTML")</f>
        <v/>
      </c>
      <c r="R2614">
        <f>HYPERLINK("https://raw.githubusercontent.com/marcosmapl/dataset_imigrantes/main/materias_filtered/g1/haitianos/2016/09_out/txt/g1_61701f74-22f2-11ed-b24f-6dbe51e79fca_1793.txt", "TXT")</f>
        <v/>
      </c>
    </row>
    <row r="2615">
      <c r="A2615" s="1" t="n">
        <v>2613</v>
      </c>
      <c r="B2615" t="n">
        <v>2016</v>
      </c>
      <c r="C2615" s="2" t="n">
        <v>42653.52986111111</v>
      </c>
      <c r="D2615" t="inlineStr">
        <is>
          <t>G1</t>
        </is>
      </c>
      <c r="E2615" t="inlineStr">
        <is>
          <t>HAITIANOS</t>
        </is>
      </c>
      <c r="F2615" t="inlineStr"/>
      <c r="G2615" t="inlineStr">
        <is>
          <t>GÊNCIA EFE</t>
        </is>
      </c>
      <c r="H2615" t="inlineStr">
        <is>
          <t>HAITI RETOMA AULAS APÓS PASSAGEM DE FURACÃO MATTHEW</t>
        </is>
      </c>
      <c r="I2615" t="inlineStr"/>
      <c r="J2615" t="inlineStr">
        <is>
          <t>HAITI</t>
        </is>
      </c>
      <c r="K2615" t="n">
        <v>1</v>
      </c>
      <c r="L2615" t="n">
        <v>8</v>
      </c>
      <c r="M2615" t="n">
        <v>0</v>
      </c>
      <c r="N2615" t="n">
        <v>0</v>
      </c>
      <c r="O2615" t="n">
        <v>16</v>
      </c>
      <c r="P2615">
        <f>HYPERLINK("http://g1.globo.com/mundo/noticia/2016/10/haiti-retoma-aulas-apos-passagem-de-furacao-matthew.html", "URL")</f>
        <v/>
      </c>
      <c r="Q2615">
        <f>HYPERLINK("https://raw.githubusercontent.com/marcosmapl/dataset_imigrantes/main/materias_filtered/g1/haitianos/2016/09_out/html/g1_816862ae-232a-11ed-b24f-6dbe51e79fca_4183.html", "HTML")</f>
        <v/>
      </c>
      <c r="R2615">
        <f>HYPERLINK("https://raw.githubusercontent.com/marcosmapl/dataset_imigrantes/main/materias_filtered/g1/haitianos/2016/09_out/txt/g1_816862ae-232a-11ed-b24f-6dbe51e79fca_4183.txt", "TXT")</f>
        <v/>
      </c>
    </row>
    <row r="2616">
      <c r="A2616" s="1" t="n">
        <v>2614</v>
      </c>
      <c r="B2616" t="n">
        <v>2016</v>
      </c>
      <c r="C2616" s="2" t="n">
        <v>42651.92222222222</v>
      </c>
      <c r="D2616" t="inlineStr">
        <is>
          <t>G1</t>
        </is>
      </c>
      <c r="E2616" t="inlineStr">
        <is>
          <t>HAITIANOS</t>
        </is>
      </c>
      <c r="F2616" t="inlineStr"/>
      <c r="G2616" t="inlineStr">
        <is>
          <t>1 SC</t>
        </is>
      </c>
      <c r="H2616" t="inlineStr">
        <is>
          <t>APÓS FURACÃO, HAITIANO QUE VIVE EM SC CRIA RÁDIO PARA INFORMAR SOBRE SEU PAÍS</t>
        </is>
      </c>
      <c r="I2616" t="inlineStr"/>
      <c r="J2616" t="inlineStr"/>
      <c r="K2616" t="n">
        <v>0</v>
      </c>
      <c r="L2616" t="n">
        <v>0</v>
      </c>
      <c r="M2616" t="n">
        <v>0</v>
      </c>
      <c r="N2616" t="n">
        <v>0</v>
      </c>
      <c r="O2616" t="n">
        <v>5</v>
      </c>
      <c r="P2616">
        <f>HYPERLINK("http://g1.globo.com/sc/santa-catarina/noticia/2016/10/apos-furacao-haitiano-que-vive-em-sc-cria-radio-para-informar-sobre-seu-pais.html", "URL")</f>
        <v/>
      </c>
      <c r="Q2616">
        <f>HYPERLINK("https://raw.githubusercontent.com/marcosmapl/dataset_imigrantes/main/materias_filtered/g1/haitianos/2016/09_out/html/g1_0202169c-231e-11ed-b24f-6dbe51e79fca_3533.html", "HTML")</f>
        <v/>
      </c>
      <c r="R2616">
        <f>HYPERLINK("https://raw.githubusercontent.com/marcosmapl/dataset_imigrantes/main/materias_filtered/g1/haitianos/2016/09_out/txt/g1_0202169c-231e-11ed-b24f-6dbe51e79fca_3533.txt", "TXT")</f>
        <v/>
      </c>
    </row>
    <row r="2617">
      <c r="A2617" s="1" t="n">
        <v>2615</v>
      </c>
      <c r="B2617" t="n">
        <v>2016</v>
      </c>
      <c r="C2617" s="2" t="n">
        <v>42651.875</v>
      </c>
      <c r="D2617" t="inlineStr">
        <is>
          <t>G1</t>
        </is>
      </c>
      <c r="E2617" t="inlineStr">
        <is>
          <t>HAITIANOS</t>
        </is>
      </c>
      <c r="F2617" t="inlineStr"/>
      <c r="G2617" t="inlineStr">
        <is>
          <t>1 CAMPINAS E REGIÃO</t>
        </is>
      </c>
      <c r="H2617" t="inlineStr">
        <is>
          <t>APÓS MATTHEW, HAITIANOS SOFREM COM FALTA DE NOTÍCIAS DAS FAMÍLIAS NO HAITI</t>
        </is>
      </c>
      <c r="I2617" t="inlineStr"/>
      <c r="J2617" t="inlineStr">
        <is>
          <t>HAITI, CAMPINAS</t>
        </is>
      </c>
      <c r="K2617" t="n">
        <v>2</v>
      </c>
      <c r="L2617" t="n">
        <v>7</v>
      </c>
      <c r="M2617" t="n">
        <v>0</v>
      </c>
      <c r="N2617" t="n">
        <v>0</v>
      </c>
      <c r="O2617" t="n">
        <v>11</v>
      </c>
      <c r="P2617">
        <f>HYPERLINK("http://g1.globo.com/sp/campinas-regiao/noticia/2016/10/apos-matthew-haitianos-sofrem-com-falta-de-noticias-das-familias-no-haiti-campinas.html", "URL")</f>
        <v/>
      </c>
      <c r="Q2617">
        <f>HYPERLINK("https://raw.githubusercontent.com/marcosmapl/dataset_imigrantes/main/materias_filtered/g1/haitianos/2016/09_out/html/g1_4bbeeafe-22f5-11ed-b24f-6dbe51e79fca_1940.html", "HTML")</f>
        <v/>
      </c>
      <c r="R2617">
        <f>HYPERLINK("https://raw.githubusercontent.com/marcosmapl/dataset_imigrantes/main/materias_filtered/g1/haitianos/2016/09_out/txt/g1_4bbeeafe-22f5-11ed-b24f-6dbe51e79fca_1940.txt", "TXT")</f>
        <v/>
      </c>
    </row>
    <row r="2618">
      <c r="A2618" s="1" t="n">
        <v>2616</v>
      </c>
      <c r="B2618" t="n">
        <v>2016</v>
      </c>
      <c r="C2618" s="2" t="n">
        <v>42651.79513888889</v>
      </c>
      <c r="D2618" t="inlineStr">
        <is>
          <t>A CRITICA</t>
        </is>
      </c>
      <c r="E2618" t="inlineStr">
        <is>
          <t>HAITIANOS</t>
        </is>
      </c>
      <c r="F2618" t="inlineStr"/>
      <c r="G2618" t="inlineStr">
        <is>
          <t>MARIANA JUNGMANN (AGÊNCIA BRASIL)</t>
        </is>
      </c>
      <c r="H2618" t="inlineStr">
        <is>
          <t>TROPAS BRASILEIRAS NO HAITI ATUAM EM ÁREA MAIS ATINGIDA PELO FURACÃO MATTHEW</t>
        </is>
      </c>
      <c r="I2618" t="inlineStr">
        <is>
          <t>OS MILITARES TRABALHAM NO CARREGAMENTO DE NAVIOS COM DONATIVOS, NA RECONSTRUÇÃO DE ESTRADAS E NA DISTRIBUIÇÃO DE MANTIMENTOS</t>
        </is>
      </c>
      <c r="J2618" t="inlineStr"/>
      <c r="K2618" t="n">
        <v>0</v>
      </c>
      <c r="L2618" t="n">
        <v>1</v>
      </c>
      <c r="M2618" t="n">
        <v>0</v>
      </c>
      <c r="N2618" t="n">
        <v>0</v>
      </c>
      <c r="O2618" t="n">
        <v>0</v>
      </c>
      <c r="P2618">
        <f>HYPERLINK("https://www.acritica.com/tropas-brasileiras-no-haiti-atuam-em-area-mais-atingida-pelo-furac-o-matthew-1.167381", "URL")</f>
        <v/>
      </c>
      <c r="Q2618">
        <f>HYPERLINK("https://raw.githubusercontent.com/marcosmapl/dataset_imigrantes/main/materias_filtered/a_critica/haitianos/2016/09_out/html/1.167381_1245.html", "HTML")</f>
        <v/>
      </c>
      <c r="R2618">
        <f>HYPERLINK("https://raw.githubusercontent.com/marcosmapl/dataset_imigrantes/main/materias_filtered/a_critica/haitianos/2016/09_out/txt/1.167381_1245.txt", "TXT")</f>
        <v/>
      </c>
    </row>
    <row r="2619">
      <c r="A2619" s="1" t="n">
        <v>2617</v>
      </c>
      <c r="B2619" t="n">
        <v>2016</v>
      </c>
      <c r="C2619" s="2" t="n">
        <v>42651.71111111111</v>
      </c>
      <c r="D2619" t="inlineStr">
        <is>
          <t>G1</t>
        </is>
      </c>
      <c r="E2619" t="inlineStr">
        <is>
          <t>HAITIANOS</t>
        </is>
      </c>
      <c r="F2619" t="inlineStr"/>
      <c r="G2619" t="inlineStr">
        <is>
          <t>EUS HENRIQUEDO G1 RO</t>
        </is>
      </c>
      <c r="H2619" t="inlineStr">
        <is>
          <t>HAITIANOS QUE MORAM EM RO CONTAM N° DE PARENTES MORTOS POR FURACÃO</t>
        </is>
      </c>
      <c r="I2619" t="inlineStr"/>
      <c r="J2619" t="inlineStr">
        <is>
          <t>HAITI, RONDÔNIA, PORTO VELHO</t>
        </is>
      </c>
      <c r="K2619" t="n">
        <v>3</v>
      </c>
      <c r="L2619" t="n">
        <v>7</v>
      </c>
      <c r="M2619" t="n">
        <v>0</v>
      </c>
      <c r="N2619" t="n">
        <v>0</v>
      </c>
      <c r="O2619" t="n">
        <v>16</v>
      </c>
      <c r="P2619">
        <f>HYPERLINK("http://g1.globo.com/ro/rondonia/noticia/2016/10/haitianos-que-moram-em-ro-contam-n-de-parentes-mortos-por-furacao.html", "URL")</f>
        <v/>
      </c>
      <c r="Q2619">
        <f>HYPERLINK("https://raw.githubusercontent.com/marcosmapl/dataset_imigrantes/main/materias_filtered/g1/haitianos/2016/09_out/html/g1_d4e16712-22f5-11ed-b24f-6dbe51e79fca_1974.html", "HTML")</f>
        <v/>
      </c>
      <c r="R2619">
        <f>HYPERLINK("https://raw.githubusercontent.com/marcosmapl/dataset_imigrantes/main/materias_filtered/g1/haitianos/2016/09_out/txt/g1_d4e16712-22f5-11ed-b24f-6dbe51e79fca_1974.txt", "TXT")</f>
        <v/>
      </c>
    </row>
    <row r="2620">
      <c r="A2620" s="1" t="n">
        <v>2618</v>
      </c>
      <c r="B2620" t="n">
        <v>2016</v>
      </c>
      <c r="C2620" s="2" t="n">
        <v>42651.59375</v>
      </c>
      <c r="D2620" t="inlineStr">
        <is>
          <t>G1</t>
        </is>
      </c>
      <c r="E2620" t="inlineStr">
        <is>
          <t>HAITIANOS</t>
        </is>
      </c>
      <c r="F2620" t="inlineStr"/>
      <c r="G2620" t="inlineStr">
        <is>
          <t>ELLA FRAGADO G1 RS</t>
        </is>
      </c>
      <c r="H2620" t="inlineStr">
        <is>
          <t>'GOSTARIA DE ESTAR COM ELES', DIZ HAITIANO EM PORTO ALEGRE SOBRE IRMÃOS</t>
        </is>
      </c>
      <c r="I2620" t="inlineStr"/>
      <c r="J2620" t="inlineStr">
        <is>
          <t>PORTO ALEGRE</t>
        </is>
      </c>
      <c r="K2620" t="n">
        <v>1</v>
      </c>
      <c r="L2620" t="n">
        <v>8</v>
      </c>
      <c r="M2620" t="n">
        <v>0</v>
      </c>
      <c r="N2620" t="n">
        <v>0</v>
      </c>
      <c r="O2620" t="n">
        <v>11</v>
      </c>
      <c r="P2620">
        <f>HYPERLINK("http://g1.globo.com/rs/rio-grande-do-sul/noticia/2016/10/gostaria-de-estar-com-eles-diz-haitiano-em-porto-alegre-sobre-irmaos.html", "URL")</f>
        <v/>
      </c>
      <c r="Q2620">
        <f>HYPERLINK("https://raw.githubusercontent.com/marcosmapl/dataset_imigrantes/main/materias_filtered/g1/haitianos/2016/09_out/html/g1_6b35a038-22f2-11ed-b24f-6dbe51e79fca_1796.html", "HTML")</f>
        <v/>
      </c>
      <c r="R2620">
        <f>HYPERLINK("https://raw.githubusercontent.com/marcosmapl/dataset_imigrantes/main/materias_filtered/g1/haitianos/2016/09_out/txt/g1_6b35a038-22f2-11ed-b24f-6dbe51e79fca_1796.txt", "TXT")</f>
        <v/>
      </c>
    </row>
    <row r="2621">
      <c r="A2621" s="1" t="n">
        <v>2619</v>
      </c>
      <c r="B2621" t="n">
        <v>2016</v>
      </c>
      <c r="C2621" s="2" t="n">
        <v>42651.42708333334</v>
      </c>
      <c r="D2621" t="inlineStr">
        <is>
          <t>G1</t>
        </is>
      </c>
      <c r="E2621" t="inlineStr">
        <is>
          <t>HAITIANOS</t>
        </is>
      </c>
      <c r="F2621" t="inlineStr"/>
      <c r="G2621" t="inlineStr"/>
      <c r="H2621" t="inlineStr">
        <is>
          <t>'NÃO SOBROU NADA', DIZ HAITIANO SOBRE PASSAGEM DO FURACÃO MATTHEW</t>
        </is>
      </c>
      <c r="I2621" t="inlineStr"/>
      <c r="J2621" t="inlineStr">
        <is>
          <t>HAITI</t>
        </is>
      </c>
      <c r="K2621" t="n">
        <v>1</v>
      </c>
      <c r="L2621" t="n">
        <v>4</v>
      </c>
      <c r="M2621" t="n">
        <v>0</v>
      </c>
      <c r="N2621" t="n">
        <v>0</v>
      </c>
      <c r="O2621" t="n">
        <v>11</v>
      </c>
      <c r="P2621">
        <f>HYPERLINK("http://g1.globo.com/globo-news/noticia/2016/10/nao-sobrou-nada-diz-haitiano-sobre-passagem-do-furacao-matthew.html", "URL")</f>
        <v/>
      </c>
      <c r="Q2621">
        <f>HYPERLINK("https://raw.githubusercontent.com/marcosmapl/dataset_imigrantes/main/materias_filtered/g1/haitianos/2016/09_out/html/g1_c031dc94-22f4-11ed-b24f-6dbe51e79fca_1908.html", "HTML")</f>
        <v/>
      </c>
      <c r="R2621">
        <f>HYPERLINK("https://raw.githubusercontent.com/marcosmapl/dataset_imigrantes/main/materias_filtered/g1/haitianos/2016/09_out/txt/g1_c031dc94-22f4-11ed-b24f-6dbe51e79fca_1908.txt", "TXT")</f>
        <v/>
      </c>
    </row>
    <row r="2622">
      <c r="A2622" s="1" t="n">
        <v>2620</v>
      </c>
      <c r="B2622" t="n">
        <v>2016</v>
      </c>
      <c r="C2622" s="2" t="n">
        <v>42651.29166666666</v>
      </c>
      <c r="D2622" t="inlineStr">
        <is>
          <t>G1</t>
        </is>
      </c>
      <c r="E2622" t="inlineStr">
        <is>
          <t>HAITIANOS</t>
        </is>
      </c>
      <c r="F2622" t="inlineStr"/>
      <c r="G2622" t="inlineStr">
        <is>
          <t>IA MELODO G1 AC</t>
        </is>
      </c>
      <c r="H2622" t="inlineStr">
        <is>
          <t>'FURACÃO DESTRUIU CASA QUE EU FIZ PARA MINHA MÃE', DIZ HAITIANO NO ACRE</t>
        </is>
      </c>
      <c r="I2622" t="inlineStr"/>
      <c r="J2622" t="inlineStr">
        <is>
          <t>ASSIS BRASIL, BRASILÉIA, RIO BRANCO</t>
        </is>
      </c>
      <c r="K2622" t="n">
        <v>3</v>
      </c>
      <c r="L2622" t="n">
        <v>6</v>
      </c>
      <c r="M2622" t="n">
        <v>0</v>
      </c>
      <c r="N2622" t="n">
        <v>0</v>
      </c>
      <c r="O2622" t="n">
        <v>20</v>
      </c>
      <c r="P2622">
        <f>HYPERLINK("http://g1.globo.com/ac/acre/noticia/2016/10/furacao-destruiu-casa-que-eu-fiz-para-minha-mae-diz-haitiano-no-acre.html", "URL")</f>
        <v/>
      </c>
      <c r="Q2622">
        <f>HYPERLINK("https://raw.githubusercontent.com/marcosmapl/dataset_imigrantes/main/materias_filtered/g1/haitianos/2016/09_out/html/g1_9c043d00-2315-11ed-b24f-6dbe51e79fca_3096.html", "HTML")</f>
        <v/>
      </c>
      <c r="R2622">
        <f>HYPERLINK("https://raw.githubusercontent.com/marcosmapl/dataset_imigrantes/main/materias_filtered/g1/haitianos/2016/09_out/txt/g1_9c043d00-2315-11ed-b24f-6dbe51e79fca_3096.txt", "TXT")</f>
        <v/>
      </c>
    </row>
    <row r="2623">
      <c r="A2623" s="1" t="n">
        <v>2621</v>
      </c>
      <c r="B2623" t="n">
        <v>2016</v>
      </c>
      <c r="C2623" s="2" t="n">
        <v>42650.74791666667</v>
      </c>
      <c r="D2623" t="inlineStr">
        <is>
          <t>PORTAL AMAZONIA</t>
        </is>
      </c>
      <c r="E2623" t="inlineStr">
        <is>
          <t>VENEZUELANOS</t>
        </is>
      </c>
      <c r="F2623" t="inlineStr">
        <is>
          <t>CIDADES</t>
        </is>
      </c>
      <c r="G2623" t="inlineStr">
        <is>
          <t>REDAÇÃO</t>
        </is>
      </c>
      <c r="H2623" t="inlineStr">
        <is>
          <t>IMIGRANTES VENEZUELANOS PREOCUPAM GOVERNO DE RORAIMA</t>
        </is>
      </c>
      <c r="I2623" t="inlineStr">
        <is>
          <t>FOTO: DIVULGAÇÃO/GOVERNO DE RORAIMAA CRISE POLÍTICA E ECONÔMICA QUE ATINGE A VENEZUELA TEM PROVOCADO A IMIGRAÇÃO, CADA VEZ MAIOR, DE VENEZUELANOS EM DIREÇÃO AO BRASIL. A MAIORIA DELES, ENTRA PELO MUNICÍPIO DE PACARAIMA, EM RORAIMA. PREOCUPADO CO</t>
        </is>
      </c>
      <c r="J2623" t="inlineStr">
        <is>
          <t>AMAZÔNIA INTERNACIONAL, IMIGRAÇÃO, PACARAIMA, RORAIMA, VENEZUELA</t>
        </is>
      </c>
      <c r="K2623" t="n">
        <v>5</v>
      </c>
      <c r="L2623" t="n">
        <v>2</v>
      </c>
      <c r="M2623" t="n">
        <v>0</v>
      </c>
      <c r="N2623" t="n">
        <v>0</v>
      </c>
      <c r="O2623" t="n">
        <v>10</v>
      </c>
      <c r="P2623">
        <f>HYPERLINK("https://portalamazonia.com/noticias/cidades/imigrantes-venezuelanos-preocupam-governo-de-roraima", "URL")</f>
        <v/>
      </c>
      <c r="Q2623">
        <f>HYPERLINK("https://raw.githubusercontent.com/marcosmapl/dataset_imigrantes/main/materias_filtered/portal_amazonia/venezuelanos/2016/09_out/html/3677.3677_1588.html", "HTML")</f>
        <v/>
      </c>
      <c r="R2623">
        <f>HYPERLINK("https://raw.githubusercontent.com/marcosmapl/dataset_imigrantes/main/materias_filtered/portal_amazonia/venezuelanos/2016/09_out/txt/3677.3677_1588.txt", "TXT")</f>
        <v/>
      </c>
    </row>
    <row r="2624">
      <c r="A2624" s="1" t="n">
        <v>2622</v>
      </c>
      <c r="B2624" t="n">
        <v>2016</v>
      </c>
      <c r="C2624" s="2" t="n">
        <v>42649.73958333334</v>
      </c>
      <c r="D2624" t="inlineStr">
        <is>
          <t>A CRITICA</t>
        </is>
      </c>
      <c r="E2624" t="inlineStr">
        <is>
          <t>VENEZUELANOS</t>
        </is>
      </c>
      <c r="F2624" t="inlineStr"/>
      <c r="G2624" t="inlineStr">
        <is>
          <t>ANTÔNIO PAULO</t>
        </is>
      </c>
      <c r="H2624" t="inlineStr">
        <is>
          <t>BANCADA DO AMAZONAS VOTOU A FAVOR DO PROJETO QUE FLEXIBILIZA A VENDA DO PRÉ-SAL</t>
        </is>
      </c>
      <c r="I2624" t="inlineStr">
        <is>
          <t>ATUALMENTE, LEI PREVÊ PARTICIPAÇÃO DA PETROBRAS EM TODOS OS CONSÓRCIOS DE EXPLORAÇÃO DE BLOCOS LICITADOS NA ÁREA DO PRÉ-SAL; APENAS HISSA ABRAHÃO FOI CONTRÁRIO AO PROJETO</t>
        </is>
      </c>
      <c r="J2624" t="inlineStr"/>
      <c r="K2624" t="n">
        <v>0</v>
      </c>
      <c r="L2624" t="n">
        <v>1</v>
      </c>
      <c r="M2624" t="n">
        <v>0</v>
      </c>
      <c r="N2624" t="n">
        <v>0</v>
      </c>
      <c r="O2624" t="n">
        <v>0</v>
      </c>
      <c r="P2624">
        <f>HYPERLINK("https://www.acritica.com/bancada-do-amazonas-votou-a-favor-do-projeto-que-flexibiliza-a-venda-do-pre-sal-1.104918", "URL")</f>
        <v/>
      </c>
      <c r="Q2624">
        <f>HYPERLINK("https://raw.githubusercontent.com/marcosmapl/dataset_imigrantes/main/materias_filtered/a_critica/venezuelanos/2016/09_out/html/1.104918_172.html", "HTML")</f>
        <v/>
      </c>
      <c r="R2624">
        <f>HYPERLINK("https://raw.githubusercontent.com/marcosmapl/dataset_imigrantes/main/materias_filtered/a_critica/venezuelanos/2016/09_out/txt/1.104918_172.txt", "TXT")</f>
        <v/>
      </c>
    </row>
    <row r="2625">
      <c r="A2625" s="1" t="n">
        <v>2623</v>
      </c>
      <c r="B2625" t="n">
        <v>2016</v>
      </c>
      <c r="C2625" s="2" t="n">
        <v>42649.62771990741</v>
      </c>
      <c r="D2625" t="inlineStr">
        <is>
          <t>A CRITICA</t>
        </is>
      </c>
      <c r="E2625" t="inlineStr">
        <is>
          <t>HAITIANOS</t>
        </is>
      </c>
      <c r="F2625" t="inlineStr"/>
      <c r="G2625" t="inlineStr">
        <is>
          <t>JOSÉ ROMILDO (AGÊNCIA BRASIL)</t>
        </is>
      </c>
      <c r="H2625" t="inlineStr">
        <is>
          <t>DOIS MILHÕES DE PESSOAS FOGEM DO LITORAL DOS EUA ANTES DA CHEGADA DO FURACÃO MATTHEW</t>
        </is>
      </c>
      <c r="I2625" t="inlineStr">
        <is>
          <t>DEPOIS DE DESTRUIR ESTRADAS, PONTES, CASAS E PROVOCAR A MORTE DE 25 PESSOAS EM PAÍSES DO CARIBE, O FURACÃO DEVERÁ ATINGIR HOJE À NOITE A COSTA DOS EUA</t>
        </is>
      </c>
      <c r="J2625" t="inlineStr"/>
      <c r="K2625" t="n">
        <v>0</v>
      </c>
      <c r="L2625" t="n">
        <v>1</v>
      </c>
      <c r="M2625" t="n">
        <v>0</v>
      </c>
      <c r="N2625" t="n">
        <v>0</v>
      </c>
      <c r="O2625" t="n">
        <v>0</v>
      </c>
      <c r="P2625">
        <f>HYPERLINK("https://www.acritica.com/dois-milh-es-de-pessoas-fogem-do-litoral-dos-eua-antes-da-chegada-do-furac-o-matthew-1.107140", "URL")</f>
        <v/>
      </c>
      <c r="Q2625">
        <f>HYPERLINK("https://raw.githubusercontent.com/marcosmapl/dataset_imigrantes/main/materias_filtered/a_critica/haitianos/2016/09_out/html/1.107140_724.html", "HTML")</f>
        <v/>
      </c>
      <c r="R2625">
        <f>HYPERLINK("https://raw.githubusercontent.com/marcosmapl/dataset_imigrantes/main/materias_filtered/a_critica/haitianos/2016/09_out/txt/1.107140_724.txt", "TXT")</f>
        <v/>
      </c>
    </row>
    <row r="2626">
      <c r="A2626" s="1" t="n">
        <v>2624</v>
      </c>
      <c r="B2626" t="n">
        <v>2016</v>
      </c>
      <c r="C2626" s="2" t="n">
        <v>42648.89375</v>
      </c>
      <c r="D2626" t="inlineStr">
        <is>
          <t>A CRITICA</t>
        </is>
      </c>
      <c r="E2626" t="inlineStr">
        <is>
          <t>VENEZUELANOS</t>
        </is>
      </c>
      <c r="F2626" t="inlineStr">
        <is>
          <t>ESPORTES</t>
        </is>
      </c>
      <c r="G2626" t="inlineStr">
        <is>
          <t>DENIR SIMPLÍCIO</t>
        </is>
      </c>
      <c r="H2626" t="inlineStr">
        <is>
          <t>RIO NEGRO ARRANCA EMPATE CONTRA PRINCESA E SEGUE VIVO NO BAREZÃO</t>
        </is>
      </c>
      <c r="I2626" t="inlineStr">
        <is>
          <t>EM PARTIDA MUITO MOVIMENTADA, O GALO DA PRAÇA DA SAUDADE TEVE FORÇAS PARA SAIR DUAS VEZES ATRÁS NO PLACAR E EMPATAR O DUELO COM O TUBARÃO, EM MANACAPURU</t>
        </is>
      </c>
      <c r="J2626" t="inlineStr"/>
      <c r="K2626" t="n">
        <v>0</v>
      </c>
      <c r="L2626" t="n">
        <v>1</v>
      </c>
      <c r="M2626" t="n">
        <v>0</v>
      </c>
      <c r="N2626" t="n">
        <v>0</v>
      </c>
      <c r="O2626" t="n">
        <v>0</v>
      </c>
      <c r="P2626">
        <f>HYPERLINK("https://www.acritica.com/esportes/rio-negro-arranca-empate-contra-princesa-e-segue-vivo-no-barez-o-1.105611", "URL")</f>
        <v/>
      </c>
      <c r="Q2626">
        <f>HYPERLINK("https://raw.githubusercontent.com/marcosmapl/dataset_imigrantes/main/materias_filtered/a_critica/venezuelanos/2016/09_out/html/1.105611_1273.html", "HTML")</f>
        <v/>
      </c>
      <c r="R2626">
        <f>HYPERLINK("https://raw.githubusercontent.com/marcosmapl/dataset_imigrantes/main/materias_filtered/a_critica/venezuelanos/2016/09_out/txt/1.105611_1273.txt", "TXT")</f>
        <v/>
      </c>
    </row>
    <row r="2627">
      <c r="A2627" s="1" t="n">
        <v>2625</v>
      </c>
      <c r="B2627" t="n">
        <v>2016</v>
      </c>
      <c r="C2627" s="2" t="n">
        <v>42647.89375</v>
      </c>
      <c r="D2627" t="inlineStr">
        <is>
          <t>G1</t>
        </is>
      </c>
      <c r="E2627" t="inlineStr">
        <is>
          <t>HAITIANOS</t>
        </is>
      </c>
      <c r="F2627" t="inlineStr"/>
      <c r="G2627" t="inlineStr"/>
      <c r="H2627" t="inlineStr">
        <is>
          <t>FURACÃO MATTHEW DEIXA MAIS DE 30 MORTOS NO HAITI</t>
        </is>
      </c>
      <c r="I2627" t="inlineStr"/>
      <c r="J2627" t="inlineStr">
        <is>
          <t>HAITI</t>
        </is>
      </c>
      <c r="K2627" t="n">
        <v>1</v>
      </c>
      <c r="L2627" t="n">
        <v>3</v>
      </c>
      <c r="M2627" t="n">
        <v>0</v>
      </c>
      <c r="N2627" t="n">
        <v>0</v>
      </c>
      <c r="O2627" t="n">
        <v>9</v>
      </c>
      <c r="P2627">
        <f>HYPERLINK("http://g1.globo.com/jornal-nacional/noticia/2016/10/furacao-matthew-deixa-mais-de-30-mortos-no-haiti.html", "URL")</f>
        <v/>
      </c>
      <c r="Q2627">
        <f>HYPERLINK("https://raw.githubusercontent.com/marcosmapl/dataset_imigrantes/main/materias_filtered/g1/haitianos/2016/09_out/html/g1_b60e6cde-2329-11ed-b24f-6dbe51e79fca_4134.html", "HTML")</f>
        <v/>
      </c>
      <c r="R2627">
        <f>HYPERLINK("https://raw.githubusercontent.com/marcosmapl/dataset_imigrantes/main/materias_filtered/g1/haitianos/2016/09_out/txt/g1_b60e6cde-2329-11ed-b24f-6dbe51e79fca_4134.txt", "TXT")</f>
        <v/>
      </c>
    </row>
    <row r="2628">
      <c r="A2628" s="1" t="n">
        <v>2626</v>
      </c>
      <c r="B2628" t="n">
        <v>2016</v>
      </c>
      <c r="C2628" s="2" t="n">
        <v>42646.78958333333</v>
      </c>
      <c r="D2628" t="inlineStr">
        <is>
          <t>G1</t>
        </is>
      </c>
      <c r="E2628" t="inlineStr">
        <is>
          <t>HAITIANOS</t>
        </is>
      </c>
      <c r="F2628" t="inlineStr"/>
      <c r="G2628" t="inlineStr">
        <is>
          <t>1, EM SÃO PAULO</t>
        </is>
      </c>
      <c r="H2628" t="inlineStr">
        <is>
          <t>FURACÃO MATTHEW DEIXA PRIMEIRAS VÍTIMAS E AVANÇA ENTRE HAITI E JAMAICA</t>
        </is>
      </c>
      <c r="I2628" t="inlineStr"/>
      <c r="J2628" t="inlineStr"/>
      <c r="K2628" t="n">
        <v>0</v>
      </c>
      <c r="L2628" t="n">
        <v>4</v>
      </c>
      <c r="M2628" t="n">
        <v>0</v>
      </c>
      <c r="N2628" t="n">
        <v>0</v>
      </c>
      <c r="O2628" t="n">
        <v>6</v>
      </c>
      <c r="P2628">
        <f>HYPERLINK("http://g1.globo.com/natureza/noticia/2016/10/furacao-matthew-deixa-primeiras-vitimas-e-avanca-entre-haiti-e-jamaica.html", "URL")</f>
        <v/>
      </c>
      <c r="Q2628">
        <f>HYPERLINK("https://raw.githubusercontent.com/marcosmapl/dataset_imigrantes/main/materias_filtered/g1/haitianos/2016/09_out/html/g1_27ffbed4-231f-11ed-b24f-6dbe51e79fca_3605.html", "HTML")</f>
        <v/>
      </c>
      <c r="R2628">
        <f>HYPERLINK("https://raw.githubusercontent.com/marcosmapl/dataset_imigrantes/main/materias_filtered/g1/haitianos/2016/09_out/txt/g1_27ffbed4-231f-11ed-b24f-6dbe51e79fca_3605.txt", "TXT")</f>
        <v/>
      </c>
    </row>
    <row r="2629">
      <c r="A2629" s="1" t="n">
        <v>2627</v>
      </c>
      <c r="B2629" t="n">
        <v>2016</v>
      </c>
      <c r="C2629" s="2" t="n">
        <v>42646.64038194445</v>
      </c>
      <c r="D2629" t="inlineStr">
        <is>
          <t>A CRITICA</t>
        </is>
      </c>
      <c r="E2629" t="inlineStr">
        <is>
          <t>VENEZUELANOS</t>
        </is>
      </c>
      <c r="F2629" t="inlineStr"/>
      <c r="G2629" t="inlineStr">
        <is>
          <t>KELLY MELO</t>
        </is>
      </c>
      <c r="H2629" t="inlineStr">
        <is>
          <t>EXPEDIÇÃO NA SERRA DA MOCIDADE DESCOBRE 80 NOVAS ESPÉCIES DE PÁSSAROS</t>
        </is>
      </c>
      <c r="I2629" t="inlineStr">
        <is>
          <t>A ÁREA NUNCA HAVIA SIDO EXPLORADA, O QUE AUMENTOU A PROBABILIDADE DE EXISTIREM ESPÉCIES AINDA NÃO CATALOGADAS PELOS CIENTISTAS</t>
        </is>
      </c>
      <c r="J2629" t="inlineStr"/>
      <c r="K2629" t="n">
        <v>0</v>
      </c>
      <c r="L2629" t="n">
        <v>1</v>
      </c>
      <c r="M2629" t="n">
        <v>0</v>
      </c>
      <c r="N2629" t="n">
        <v>0</v>
      </c>
      <c r="O2629" t="n">
        <v>0</v>
      </c>
      <c r="P2629">
        <f>HYPERLINK("https://www.acritica.com/expedic-o-na-serra-da-mocidade-descobre-80-novas-especies-de-passaros-1.107246", "URL")</f>
        <v/>
      </c>
      <c r="Q2629">
        <f>HYPERLINK("https://raw.githubusercontent.com/marcosmapl/dataset_imigrantes/main/materias_filtered/a_critica/venezuelanos/2016/09_out/html/1.107246_1093.html", "HTML")</f>
        <v/>
      </c>
      <c r="R2629">
        <f>HYPERLINK("https://raw.githubusercontent.com/marcosmapl/dataset_imigrantes/main/materias_filtered/a_critica/venezuelanos/2016/09_out/txt/1.107246_1093.txt", "TXT")</f>
        <v/>
      </c>
    </row>
    <row r="2630">
      <c r="A2630" s="1" t="n">
        <v>2628</v>
      </c>
      <c r="B2630" t="n">
        <v>2016</v>
      </c>
      <c r="C2630" s="2" t="n">
        <v>42644.99861111111</v>
      </c>
      <c r="D2630" t="inlineStr">
        <is>
          <t>G1</t>
        </is>
      </c>
      <c r="E2630" t="inlineStr">
        <is>
          <t>HAITIANOS</t>
        </is>
      </c>
      <c r="F2630" t="inlineStr"/>
      <c r="G2630" t="inlineStr">
        <is>
          <t>FE</t>
        </is>
      </c>
      <c r="H2630" t="inlineStr">
        <is>
          <t>MATTHEW FAZ EUA EVACUAREM PESSOAL DE GUANTÁNAMO; HAITI ENTRA EM ALERTA</t>
        </is>
      </c>
      <c r="I2630" t="inlineStr"/>
      <c r="J2630" t="inlineStr">
        <is>
          <t>ESTADOS UNIDOS</t>
        </is>
      </c>
      <c r="K2630" t="n">
        <v>1</v>
      </c>
      <c r="L2630" t="n">
        <v>6</v>
      </c>
      <c r="M2630" t="n">
        <v>0</v>
      </c>
      <c r="N2630" t="n">
        <v>0</v>
      </c>
      <c r="O2630" t="n">
        <v>12</v>
      </c>
      <c r="P2630">
        <f>HYPERLINK("http://g1.globo.com/mundo/noticia/2016/10/furacao-matthew-faz-eua-evacuarem-pessoal-de-prisao-de-guantanamo.html", "URL")</f>
        <v/>
      </c>
      <c r="Q2630">
        <f>HYPERLINK("https://raw.githubusercontent.com/marcosmapl/dataset_imigrantes/main/materias_filtered/g1/haitianos/2016/09_out/html/g1_bf3d1458-232a-11ed-b24f-6dbe51e79fca_4200.html", "HTML")</f>
        <v/>
      </c>
      <c r="R2630">
        <f>HYPERLINK("https://raw.githubusercontent.com/marcosmapl/dataset_imigrantes/main/materias_filtered/g1/haitianos/2016/09_out/txt/g1_bf3d1458-232a-11ed-b24f-6dbe51e79fca_4200.txt", "TXT")</f>
        <v/>
      </c>
    </row>
    <row r="2631">
      <c r="A2631" s="1" t="n">
        <v>2629</v>
      </c>
      <c r="B2631" t="n">
        <v>2016</v>
      </c>
      <c r="C2631" s="2" t="n">
        <v>42640.68055555555</v>
      </c>
      <c r="D2631" t="inlineStr">
        <is>
          <t>G1</t>
        </is>
      </c>
      <c r="E2631" t="inlineStr">
        <is>
          <t>VENEZUELANOS</t>
        </is>
      </c>
      <c r="F2631" t="inlineStr"/>
      <c r="G2631" t="inlineStr">
        <is>
          <t>BC</t>
        </is>
      </c>
      <c r="H2631" t="inlineStr">
        <is>
          <t>A EX-MISS UNIVERSO VENEZUELANA QUE SE TORNOU PERSONAGEM INVOLUNTÁRIA DO DEBATE ENTRE HILLARY E TRUMP</t>
        </is>
      </c>
      <c r="I2631" t="inlineStr"/>
      <c r="J2631" t="inlineStr">
        <is>
          <t>DONALD TRUMP, ESTADOS UNIDOS, HILLARY CLINTON</t>
        </is>
      </c>
      <c r="K2631" t="n">
        <v>3</v>
      </c>
      <c r="L2631" t="n">
        <v>7</v>
      </c>
      <c r="M2631" t="n">
        <v>0</v>
      </c>
      <c r="N2631" t="n">
        <v>0</v>
      </c>
      <c r="O2631" t="n">
        <v>24</v>
      </c>
      <c r="P2631">
        <f>HYPERLINK("http://g1.globo.com/mundo/eleicoes-nos-eua/2016/noticia/2016/09/a-ex-miss-universo-venezuelana-que-se-tornou-personagem-involuntaria-do-debate-entre-hillary-e-trump.html", "URL")</f>
        <v/>
      </c>
      <c r="Q2631">
        <f>HYPERLINK("https://raw.githubusercontent.com/marcosmapl/dataset_imigrantes/main/materias_filtered/g1/venezuelanos/2016/08_set/html/g1_02f27eea-231c-11ed-b24f-6dbe51e79fca_3423.html", "HTML")</f>
        <v/>
      </c>
      <c r="R2631">
        <f>HYPERLINK("https://raw.githubusercontent.com/marcosmapl/dataset_imigrantes/main/materias_filtered/g1/venezuelanos/2016/08_set/txt/g1_02f27eea-231c-11ed-b24f-6dbe51e79fca_3423.txt", "TXT")</f>
        <v/>
      </c>
    </row>
    <row r="2632">
      <c r="A2632" s="1" t="n">
        <v>2630</v>
      </c>
      <c r="B2632" t="n">
        <v>2016</v>
      </c>
      <c r="C2632" s="2" t="n">
        <v>42639.69166666667</v>
      </c>
      <c r="D2632" t="inlineStr">
        <is>
          <t>G1</t>
        </is>
      </c>
      <c r="E2632" t="inlineStr">
        <is>
          <t>HAITIANOS</t>
        </is>
      </c>
      <c r="F2632" t="inlineStr"/>
      <c r="G2632" t="inlineStr">
        <is>
          <t>1 RIO PRETO E ARAÇATUBA</t>
        </is>
      </c>
      <c r="H2632" t="inlineStr">
        <is>
          <t>GRÁVIDA DÁ À LUZ NO MEIO DA RUA AO TENTAR IR A PÉ PARA HOSPITAL PEDIR AJUDA</t>
        </is>
      </c>
      <c r="I2632" t="inlineStr"/>
      <c r="J2632" t="inlineStr">
        <is>
          <t>SÃO JOSÉ DO RIO PRETO</t>
        </is>
      </c>
      <c r="K2632" t="n">
        <v>1</v>
      </c>
      <c r="L2632" t="n">
        <v>4</v>
      </c>
      <c r="M2632" t="n">
        <v>0</v>
      </c>
      <c r="N2632" t="n">
        <v>0</v>
      </c>
      <c r="O2632" t="n">
        <v>12</v>
      </c>
      <c r="P2632">
        <f>HYPERLINK("http://g1.globo.com/sao-paulo/sao-jose-do-rio-preto-aracatuba/noticia/2016/09/gravida-da-luz-no-meio-da-rua-ao-tentar-ir-pe-para-hospital-pedir-ajuda.html", "URL")</f>
        <v/>
      </c>
      <c r="Q2632">
        <f>HYPERLINK("https://raw.githubusercontent.com/marcosmapl/dataset_imigrantes/main/materias_filtered/g1/haitianos/2016/08_set/html/g1_d3f07bb0-230c-11ed-b24f-6dbe51e79fca_2650.html", "HTML")</f>
        <v/>
      </c>
      <c r="R2632">
        <f>HYPERLINK("https://raw.githubusercontent.com/marcosmapl/dataset_imigrantes/main/materias_filtered/g1/haitianos/2016/08_set/txt/g1_d3f07bb0-230c-11ed-b24f-6dbe51e79fca_2650.txt", "TXT")</f>
        <v/>
      </c>
    </row>
    <row r="2633">
      <c r="A2633" s="1" t="n">
        <v>2631</v>
      </c>
      <c r="B2633" t="n">
        <v>2016</v>
      </c>
      <c r="C2633" s="2" t="n">
        <v>42638.7578125</v>
      </c>
      <c r="D2633" t="inlineStr">
        <is>
          <t>A CRITICA</t>
        </is>
      </c>
      <c r="E2633" t="inlineStr">
        <is>
          <t>VENEZUELANOS</t>
        </is>
      </c>
      <c r="F2633" t="inlineStr">
        <is>
          <t>MANAUS</t>
        </is>
      </c>
      <c r="G2633" t="inlineStr">
        <is>
          <t>KELLY MELO</t>
        </is>
      </c>
      <c r="H2633" t="inlineStr">
        <is>
          <t>SOCIEDADE BRASILEIRA DE CIRURGIA PLÁSTICA QUER QUE BRASIL INVESTIGUE TRÁFICO DE ÓRGÃOS</t>
        </is>
      </c>
      <c r="I2633" t="inlineStr">
        <is>
          <t>SÓ NESTE MÊS, TRÊS CASOS SUSPEITOS FORAM REGISTRADOS. UMA DAS VÍTIMAS MORAVA EM PARINTINS (AM)</t>
        </is>
      </c>
      <c r="J2633" t="inlineStr"/>
      <c r="K2633" t="n">
        <v>0</v>
      </c>
      <c r="L2633" t="n">
        <v>1</v>
      </c>
      <c r="M2633" t="n">
        <v>0</v>
      </c>
      <c r="N2633" t="n">
        <v>0</v>
      </c>
      <c r="O2633" t="n">
        <v>1</v>
      </c>
      <c r="P2633">
        <f>HYPERLINK("https://www.acritica.com/manaus/sociedade-brasileira-de-cirurgia-plastica-quer-que-brasil-investigue-trafico-de-org-os-1.106500", "URL")</f>
        <v/>
      </c>
      <c r="Q2633">
        <f>HYPERLINK("https://raw.githubusercontent.com/marcosmapl/dataset_imigrantes/main/materias_filtered/a_critica/venezuelanos/2016/08_set/html/1.106500_533.html", "HTML")</f>
        <v/>
      </c>
      <c r="R2633">
        <f>HYPERLINK("https://raw.githubusercontent.com/marcosmapl/dataset_imigrantes/main/materias_filtered/a_critica/venezuelanos/2016/08_set/txt/1.106500_533.txt", "TXT")</f>
        <v/>
      </c>
    </row>
    <row r="2634">
      <c r="A2634" s="1" t="n">
        <v>2632</v>
      </c>
      <c r="B2634" t="n">
        <v>2016</v>
      </c>
      <c r="C2634" s="2" t="n">
        <v>42632.62945601852</v>
      </c>
      <c r="D2634" t="inlineStr">
        <is>
          <t>A CRITICA</t>
        </is>
      </c>
      <c r="E2634" t="inlineStr">
        <is>
          <t>HAITIANOS</t>
        </is>
      </c>
      <c r="F2634" t="inlineStr"/>
      <c r="G2634" t="inlineStr">
        <is>
          <t>ANA CRISTINA CAMPOS – AGÊNCIA BRASIL</t>
        </is>
      </c>
      <c r="H2634" t="inlineStr">
        <is>
          <t>ACOLHER REFUGIADOS É RESPONSABILIDADE COMPARTILHADA, DIZ TEMER NA ONU</t>
        </is>
      </c>
      <c r="I2634" t="inlineStr">
        <is>
          <t>TEMER DEU A DECLARAÇÃO DURANTE SESSÃO PLENÁRIA DA REUNIÃO DE ALTO NÍVEL SOBRE GRANDES MOVIMENTOS DE REFUGIADOS E MIGRANTES, NA SEDE DA ORGANIZAÇÃO DAS NAÇÕES UNIDAS (ONU), EM NOVA YORK</t>
        </is>
      </c>
      <c r="J2634" t="inlineStr"/>
      <c r="K2634" t="n">
        <v>0</v>
      </c>
      <c r="L2634" t="n">
        <v>1</v>
      </c>
      <c r="M2634" t="n">
        <v>0</v>
      </c>
      <c r="N2634" t="n">
        <v>0</v>
      </c>
      <c r="O2634" t="n">
        <v>0</v>
      </c>
      <c r="P2634">
        <f>HYPERLINK("https://www.acritica.com/acolher-refugiados-e-responsabilidade-compartilhada-diz-temer-na-onu-1.106855", "URL")</f>
        <v/>
      </c>
      <c r="Q2634">
        <f>HYPERLINK("https://raw.githubusercontent.com/marcosmapl/dataset_imigrantes/main/materias_filtered/a_critica/haitianos/2016/08_set/html/1.106855_280.html", "HTML")</f>
        <v/>
      </c>
      <c r="R2634">
        <f>HYPERLINK("https://raw.githubusercontent.com/marcosmapl/dataset_imigrantes/main/materias_filtered/a_critica/haitianos/2016/08_set/txt/1.106855_280.txt", "TXT")</f>
        <v/>
      </c>
    </row>
    <row r="2635">
      <c r="A2635" s="1" t="n">
        <v>2633</v>
      </c>
      <c r="B2635" t="n">
        <v>2016</v>
      </c>
      <c r="C2635" s="2" t="n">
        <v>42631.56736111111</v>
      </c>
      <c r="D2635" t="inlineStr">
        <is>
          <t>G1</t>
        </is>
      </c>
      <c r="E2635" t="inlineStr">
        <is>
          <t>HAITIANOS</t>
        </is>
      </c>
      <c r="F2635" t="inlineStr"/>
      <c r="G2635" t="inlineStr">
        <is>
          <t>1 SC</t>
        </is>
      </c>
      <c r="H2635" t="inlineStr">
        <is>
          <t>ALUNOS DE SC ENSINAM PORTUGUÊS PARA HAITIANOS E SENEGALESES</t>
        </is>
      </c>
      <c r="I2635" t="inlineStr"/>
      <c r="J2635" t="inlineStr">
        <is>
          <t>JOAÇABA</t>
        </is>
      </c>
      <c r="K2635" t="n">
        <v>1</v>
      </c>
      <c r="L2635" t="n">
        <v>2</v>
      </c>
      <c r="M2635" t="n">
        <v>0</v>
      </c>
      <c r="N2635" t="n">
        <v>0</v>
      </c>
      <c r="O2635" t="n">
        <v>11</v>
      </c>
      <c r="P2635">
        <f>HYPERLINK("http://g1.globo.com/sc/santa-catarina/noticia/2016/09/alunos-de-sc-ensinam-portugues-para-haitianos-e-senegaleses.html", "URL")</f>
        <v/>
      </c>
      <c r="Q2635">
        <f>HYPERLINK("https://raw.githubusercontent.com/marcosmapl/dataset_imigrantes/main/materias_filtered/g1/haitianos/2016/08_set/html/g1_f56799e2-22f6-11ed-b24f-6dbe51e79fca_2050.html", "HTML")</f>
        <v/>
      </c>
      <c r="R2635">
        <f>HYPERLINK("https://raw.githubusercontent.com/marcosmapl/dataset_imigrantes/main/materias_filtered/g1/haitianos/2016/08_set/txt/g1_f56799e2-22f6-11ed-b24f-6dbe51e79fca_2050.txt", "TXT")</f>
        <v/>
      </c>
    </row>
    <row r="2636">
      <c r="A2636" s="1" t="n">
        <v>2634</v>
      </c>
      <c r="B2636" t="n">
        <v>2016</v>
      </c>
      <c r="C2636" s="2" t="n">
        <v>42629.5</v>
      </c>
      <c r="D2636" t="inlineStr">
        <is>
          <t>A CRITICA</t>
        </is>
      </c>
      <c r="E2636" t="inlineStr">
        <is>
          <t>HAITIANOS</t>
        </is>
      </c>
      <c r="F2636" t="inlineStr">
        <is>
          <t>ESPORTES</t>
        </is>
      </c>
      <c r="G2636" t="inlineStr">
        <is>
          <t>THAISSA CORDEIRO</t>
        </is>
      </c>
      <c r="H2636" t="inlineStr">
        <is>
          <t>TIME DE FUTEBOL SÓ COM HAITIANOS PARTICIPA PELA PRIMEIRA VEZ DO PELADÃO BRAHMA</t>
        </is>
      </c>
      <c r="I2636" t="inlineStr">
        <is>
          <t>O AKOLAD BONDYE PIFÓ FOI CRIADO HÁ APENAS SEIS MESES, MAS JÁ TEM PRETENSÕES GRANDES NO AMAZONAS.</t>
        </is>
      </c>
      <c r="J2636" t="inlineStr"/>
      <c r="K2636" t="n">
        <v>0</v>
      </c>
      <c r="L2636" t="n">
        <v>1</v>
      </c>
      <c r="M2636" t="n">
        <v>0</v>
      </c>
      <c r="N2636" t="n">
        <v>0</v>
      </c>
      <c r="O2636" t="n">
        <v>0</v>
      </c>
      <c r="P2636">
        <f>HYPERLINK("https://www.acritica.com/esportes/time-de-futebol-so-com-haitianos-participa-pela-primeira-vez-do-pelad-o-brahma-1.209532", "URL")</f>
        <v/>
      </c>
      <c r="Q2636">
        <f>HYPERLINK("https://raw.githubusercontent.com/marcosmapl/dataset_imigrantes/main/materias_filtered/a_critica/haitianos/2016/08_set/html/1.209532_350.html", "HTML")</f>
        <v/>
      </c>
      <c r="R2636">
        <f>HYPERLINK("https://raw.githubusercontent.com/marcosmapl/dataset_imigrantes/main/materias_filtered/a_critica/haitianos/2016/08_set/txt/1.209532_350.txt", "TXT")</f>
        <v/>
      </c>
    </row>
    <row r="2637">
      <c r="A2637" s="1" t="n">
        <v>2635</v>
      </c>
      <c r="B2637" t="n">
        <v>2016</v>
      </c>
      <c r="C2637" s="2" t="n">
        <v>42629.29722222222</v>
      </c>
      <c r="D2637" t="inlineStr">
        <is>
          <t>G1</t>
        </is>
      </c>
      <c r="E2637" t="inlineStr">
        <is>
          <t>HAITIANOS</t>
        </is>
      </c>
      <c r="F2637" t="inlineStr"/>
      <c r="G2637" t="inlineStr">
        <is>
          <t>EUTERS</t>
        </is>
      </c>
      <c r="H2637" t="inlineStr">
        <is>
          <t>ONDA DE HAITIANOS QUE DEIXOU BRASIL CHEGA NA FRONTEIRA ENTRE EUA E MÉXICO</t>
        </is>
      </c>
      <c r="I2637" t="inlineStr"/>
      <c r="J2637" t="inlineStr">
        <is>
          <t>ESTADOS UNIDOS, HAITI</t>
        </is>
      </c>
      <c r="K2637" t="n">
        <v>2</v>
      </c>
      <c r="L2637" t="n">
        <v>6</v>
      </c>
      <c r="M2637" t="n">
        <v>0</v>
      </c>
      <c r="N2637" t="n">
        <v>0</v>
      </c>
      <c r="O2637" t="n">
        <v>11</v>
      </c>
      <c r="P2637">
        <f>HYPERLINK("http://g1.globo.com/mundo/noticia/2016/09/onda-de-haitianos-que-deixou-brasil-chega-na-fronteira-entre-eua-e-mexico.html", "URL")</f>
        <v/>
      </c>
      <c r="Q2637">
        <f>HYPERLINK("https://raw.githubusercontent.com/marcosmapl/dataset_imigrantes/main/materias_filtered/g1/haitianos/2016/08_set/html/g1_341caac0-22f6-11ed-b24f-6dbe51e79fca_2000.html", "HTML")</f>
        <v/>
      </c>
      <c r="R2637">
        <f>HYPERLINK("https://raw.githubusercontent.com/marcosmapl/dataset_imigrantes/main/materias_filtered/g1/haitianos/2016/08_set/txt/g1_341caac0-22f6-11ed-b24f-6dbe51e79fca_2000.txt", "TXT")</f>
        <v/>
      </c>
    </row>
    <row r="2638">
      <c r="A2638" s="1" t="n">
        <v>2636</v>
      </c>
      <c r="B2638" t="n">
        <v>2016</v>
      </c>
      <c r="C2638" s="2" t="n">
        <v>42627.84440972222</v>
      </c>
      <c r="D2638" t="inlineStr">
        <is>
          <t>A CRITICA</t>
        </is>
      </c>
      <c r="E2638" t="inlineStr">
        <is>
          <t>VENEZUELANOS</t>
        </is>
      </c>
      <c r="F2638" t="inlineStr">
        <is>
          <t>MANAUS</t>
        </is>
      </c>
      <c r="G2638" t="inlineStr">
        <is>
          <t>DANTE GRAÇA</t>
        </is>
      </c>
      <c r="H2638" t="inlineStr">
        <is>
          <t>MÉDICO VENEZUELANO DIZ QUE CIRURGIA DE COMERCIANTE FOI AGENDADA PELO WHATSAPP</t>
        </is>
      </c>
      <c r="I2638" t="inlineStr">
        <is>
          <t>EM ENTREVISTA EXCLUSIVA, MÉDICO CLASSIFICOU MORTE DE MORADORA DE PARINTINS FOI UMA FATALIDADE. "A ELA NÃO FALTOU NENHUM TRATAMENTO"</t>
        </is>
      </c>
      <c r="J2638" t="inlineStr"/>
      <c r="K2638" t="n">
        <v>0</v>
      </c>
      <c r="L2638" t="n">
        <v>1</v>
      </c>
      <c r="M2638" t="n">
        <v>0</v>
      </c>
      <c r="N2638" t="n">
        <v>0</v>
      </c>
      <c r="O2638" t="n">
        <v>1</v>
      </c>
      <c r="P2638">
        <f>HYPERLINK("https://www.acritica.com/manaus/medico-venezuelano-diz-que-cirurgia-de-comerciante-foi-agendada-pelo-whatsapp-1.165341", "URL")</f>
        <v/>
      </c>
      <c r="Q2638">
        <f>HYPERLINK("https://raw.githubusercontent.com/marcosmapl/dataset_imigrantes/main/materias_filtered/a_critica/venezuelanos/2016/08_set/html/1.165341_928.html", "HTML")</f>
        <v/>
      </c>
      <c r="R2638">
        <f>HYPERLINK("https://raw.githubusercontent.com/marcosmapl/dataset_imigrantes/main/materias_filtered/a_critica/venezuelanos/2016/08_set/txt/1.165341_928.txt", "TXT")</f>
        <v/>
      </c>
    </row>
    <row r="2639">
      <c r="A2639" s="1" t="n">
        <v>2637</v>
      </c>
      <c r="B2639" t="n">
        <v>2016</v>
      </c>
      <c r="C2639" s="2" t="n">
        <v>42627.56666666667</v>
      </c>
      <c r="D2639" t="inlineStr">
        <is>
          <t>A CRITICA</t>
        </is>
      </c>
      <c r="E2639" t="inlineStr">
        <is>
          <t>VENEZUELANOS</t>
        </is>
      </c>
      <c r="F2639" t="inlineStr">
        <is>
          <t>MANAUS</t>
        </is>
      </c>
      <c r="G2639" t="inlineStr">
        <is>
          <t>VINICIUS LEAL</t>
        </is>
      </c>
      <c r="H2639" t="inlineStr">
        <is>
          <t>TREZE AMAZONENSES MORRERAM ESTE ANO APÓS FAZEREM CIRURGIAS PLÁSTICAS NA VENEZUELA</t>
        </is>
      </c>
      <c r="I2639" t="inlineStr">
        <is>
          <t>O PREÇO “MAIS EM CONTA” DOS PROCEDIMENTOS CIRÚRGICOS VENEZUELANOS, EM COMPARAÇÃO AOS DO BRASIL, É O PRINCIPAL ATRATIVO. O CASO MAIS RECENTE É O DA PARINTINENSE DIONEIDE LEITE, 36, QUE MORREU APÓS COMPLICAÇÕES EM CIRURGIAS</t>
        </is>
      </c>
      <c r="J2639" t="inlineStr"/>
      <c r="K2639" t="n">
        <v>0</v>
      </c>
      <c r="L2639" t="n">
        <v>1</v>
      </c>
      <c r="M2639" t="n">
        <v>0</v>
      </c>
      <c r="N2639" t="n">
        <v>0</v>
      </c>
      <c r="O2639" t="n">
        <v>3</v>
      </c>
      <c r="P2639">
        <f>HYPERLINK("https://www.acritica.com/manaus/treze-amazonenses-morreram-este-ano-apos-fazerem-cirurgias-plasticas-na-venezuela-1.165444", "URL")</f>
        <v/>
      </c>
      <c r="Q2639">
        <f>HYPERLINK("https://raw.githubusercontent.com/marcosmapl/dataset_imigrantes/main/materias_filtered/a_critica/venezuelanos/2016/08_set/html/1.165444_375.html", "HTML")</f>
        <v/>
      </c>
      <c r="R2639">
        <f>HYPERLINK("https://raw.githubusercontent.com/marcosmapl/dataset_imigrantes/main/materias_filtered/a_critica/venezuelanos/2016/08_set/txt/1.165444_375.txt", "TXT")</f>
        <v/>
      </c>
    </row>
    <row r="2640">
      <c r="A2640" s="1" t="n">
        <v>2638</v>
      </c>
      <c r="B2640" t="n">
        <v>2016</v>
      </c>
      <c r="C2640" s="2" t="n">
        <v>42626.98541666667</v>
      </c>
      <c r="D2640" t="inlineStr">
        <is>
          <t>A CRITICA</t>
        </is>
      </c>
      <c r="E2640" t="inlineStr">
        <is>
          <t>VENEZUELANOS</t>
        </is>
      </c>
      <c r="F2640" t="inlineStr">
        <is>
          <t>MANAUS</t>
        </is>
      </c>
      <c r="G2640" t="inlineStr">
        <is>
          <t>KELLY MELO</t>
        </is>
      </c>
      <c r="H2640" t="inlineStr">
        <is>
          <t>PARINTINENSE MORRE APÓS REALIZAR CIRURGIA PLÁSTICA NA VENEZUELA</t>
        </is>
      </c>
      <c r="I2640" t="inlineStr">
        <is>
          <t>A COMERCIANTE DIONEIDE LEITE, 36, CHEGOU NO PAÍS VIZINHO NO INÍCIO DO MÊS PARA REALIZAR AO MENOS SEIS PROCEDIMENTOS ESTÉTICOS. UM DELES TERIA PERFURADO O PULMÃO DELA.</t>
        </is>
      </c>
      <c r="J2640" t="inlineStr"/>
      <c r="K2640" t="n">
        <v>0</v>
      </c>
      <c r="L2640" t="n">
        <v>1</v>
      </c>
      <c r="M2640" t="n">
        <v>0</v>
      </c>
      <c r="N2640" t="n">
        <v>0</v>
      </c>
      <c r="O2640" t="n">
        <v>0</v>
      </c>
      <c r="P2640">
        <f>HYPERLINK("https://www.acritica.com/manaus/parintinense-morre-apos-realizar-cirurgia-plastica-na-venezuela-1.165249", "URL")</f>
        <v/>
      </c>
      <c r="Q2640">
        <f>HYPERLINK("https://raw.githubusercontent.com/marcosmapl/dataset_imigrantes/main/materias_filtered/a_critica/venezuelanos/2016/08_set/html/1.165249_82.html", "HTML")</f>
        <v/>
      </c>
      <c r="R2640">
        <f>HYPERLINK("https://raw.githubusercontent.com/marcosmapl/dataset_imigrantes/main/materias_filtered/a_critica/venezuelanos/2016/08_set/txt/1.165249_82.txt", "TXT")</f>
        <v/>
      </c>
    </row>
    <row r="2641">
      <c r="A2641" s="1" t="n">
        <v>2639</v>
      </c>
      <c r="B2641" t="n">
        <v>2016</v>
      </c>
      <c r="C2641" s="2" t="n">
        <v>42626.86180555556</v>
      </c>
      <c r="D2641" t="inlineStr">
        <is>
          <t>G1</t>
        </is>
      </c>
      <c r="E2641" t="inlineStr">
        <is>
          <t>HAITIANOS</t>
        </is>
      </c>
      <c r="F2641" t="inlineStr"/>
      <c r="G2641" t="inlineStr">
        <is>
          <t>1 MT</t>
        </is>
      </c>
      <c r="H2641" t="inlineStr">
        <is>
          <t>SEM EMPREGO, HAITIANOS QUE MORAM EM CUIABÁ DEPENDEM DE AUXÍLIOS</t>
        </is>
      </c>
      <c r="I2641" t="inlineStr"/>
      <c r="J2641" t="inlineStr">
        <is>
          <t>MATO GROSSO, CUIABÁ</t>
        </is>
      </c>
      <c r="K2641" t="n">
        <v>2</v>
      </c>
      <c r="L2641" t="n">
        <v>4</v>
      </c>
      <c r="M2641" t="n">
        <v>0</v>
      </c>
      <c r="N2641" t="n">
        <v>0</v>
      </c>
      <c r="O2641" t="n">
        <v>12</v>
      </c>
      <c r="P2641">
        <f>HYPERLINK("http://g1.globo.com/mato-grosso/noticia/2016/09/sem-emprego-haitianos-que-moram-em-cuiaba-dependem-de-auxilios.html", "URL")</f>
        <v/>
      </c>
      <c r="Q2641">
        <f>HYPERLINK("https://raw.githubusercontent.com/marcosmapl/dataset_imigrantes/main/materias_filtered/g1/haitianos/2016/08_set/html/g1_0fcfa576-22f8-11ed-b24f-6dbe51e79fca_2114.html", "HTML")</f>
        <v/>
      </c>
      <c r="R2641">
        <f>HYPERLINK("https://raw.githubusercontent.com/marcosmapl/dataset_imigrantes/main/materias_filtered/g1/haitianos/2016/08_set/txt/g1_0fcfa576-22f8-11ed-b24f-6dbe51e79fca_2114.txt", "TXT")</f>
        <v/>
      </c>
    </row>
    <row r="2642">
      <c r="A2642" s="1" t="n">
        <v>2640</v>
      </c>
      <c r="B2642" t="n">
        <v>2016</v>
      </c>
      <c r="C2642" s="2" t="n">
        <v>42624.71875</v>
      </c>
      <c r="D2642" t="inlineStr">
        <is>
          <t>A CRITICA</t>
        </is>
      </c>
      <c r="E2642" t="inlineStr">
        <is>
          <t>VENEZUELANOS</t>
        </is>
      </c>
      <c r="F2642" t="inlineStr">
        <is>
          <t>MANAUS</t>
        </is>
      </c>
      <c r="G2642" t="inlineStr">
        <is>
          <t>ALIK MENEZES</t>
        </is>
      </c>
      <c r="H2642" t="inlineStr">
        <is>
          <t>ESTRANGEIROS BUSCAM EM MANAUS NOVAS OPORTUNIDADES DE EMPREGO</t>
        </is>
      </c>
      <c r="I2642" t="inlineStr">
        <is>
          <t>FUGINDO DA CRISE QUE AMEAÇA PAÍSES DA AMÉRICA LATINA, UMA TURMA DE MIGRANTES CRIA LAÇOS E APROVEITA O MERCADO DE TRABALHO NA CAPITAL AMAZONENSE</t>
        </is>
      </c>
      <c r="J2642" t="inlineStr"/>
      <c r="K2642" t="n">
        <v>0</v>
      </c>
      <c r="L2642" t="n">
        <v>1</v>
      </c>
      <c r="M2642" t="n">
        <v>0</v>
      </c>
      <c r="N2642" t="n">
        <v>0</v>
      </c>
      <c r="O2642" t="n">
        <v>0</v>
      </c>
      <c r="P2642">
        <f>HYPERLINK("https://www.acritica.com/manaus/estrangeiros-buscam-em-manaus-novas-oportunidades-de-emprego-1.164994", "URL")</f>
        <v/>
      </c>
      <c r="Q2642">
        <f>HYPERLINK("https://raw.githubusercontent.com/marcosmapl/dataset_imigrantes/main/materias_filtered/a_critica/venezuelanos/2016/08_set/html/1.164994_1288.html", "HTML")</f>
        <v/>
      </c>
      <c r="R2642">
        <f>HYPERLINK("https://raw.githubusercontent.com/marcosmapl/dataset_imigrantes/main/materias_filtered/a_critica/venezuelanos/2016/08_set/txt/1.164994_1288.txt", "TXT")</f>
        <v/>
      </c>
    </row>
    <row r="2643">
      <c r="A2643" s="1" t="n">
        <v>2641</v>
      </c>
      <c r="B2643" t="n">
        <v>2016</v>
      </c>
      <c r="C2643" s="2" t="n">
        <v>42622.77185185185</v>
      </c>
      <c r="D2643" t="inlineStr">
        <is>
          <t>A CRITICA</t>
        </is>
      </c>
      <c r="E2643" t="inlineStr">
        <is>
          <t>VENEZUELANOS</t>
        </is>
      </c>
      <c r="F2643" t="inlineStr">
        <is>
          <t>ESPORTES</t>
        </is>
      </c>
      <c r="G2643" t="inlineStr">
        <is>
          <t>ACRITICA.COM*</t>
        </is>
      </c>
      <c r="H2643" t="inlineStr">
        <is>
          <t>BRASILEIRO QUEBRA RECORDE MUNDIAL E GANHA MEDALHA DE OURO NOS 400M</t>
        </is>
      </c>
      <c r="I2643" t="inlineStr">
        <is>
          <t>DANIEL MARTINS FEZ UMA PROVA PERFEITA E CONSEGUIU FATURAR O OURO NA MANHÃ DESTA SEXTA FEIRA (9), NO ESTÁDIO OLÍMPICO ENGENHÃO</t>
        </is>
      </c>
      <c r="J2643" t="inlineStr"/>
      <c r="K2643" t="n">
        <v>0</v>
      </c>
      <c r="L2643" t="n">
        <v>1</v>
      </c>
      <c r="M2643" t="n">
        <v>0</v>
      </c>
      <c r="N2643" t="n">
        <v>0</v>
      </c>
      <c r="O2643" t="n">
        <v>0</v>
      </c>
      <c r="P2643">
        <f>HYPERLINK("https://www.acritica.com/esportes/brasileiro-quebra-recorde-mundial-e-ganha-medalha-de-ouro-nos-400m-1.164870", "URL")</f>
        <v/>
      </c>
      <c r="Q2643">
        <f>HYPERLINK("https://raw.githubusercontent.com/marcosmapl/dataset_imigrantes/main/materias_filtered/a_critica/venezuelanos/2016/08_set/html/1.164870_1160.html", "HTML")</f>
        <v/>
      </c>
      <c r="R2643">
        <f>HYPERLINK("https://raw.githubusercontent.com/marcosmapl/dataset_imigrantes/main/materias_filtered/a_critica/venezuelanos/2016/08_set/txt/1.164870_1160.txt", "TXT")</f>
        <v/>
      </c>
    </row>
    <row r="2644">
      <c r="A2644" s="1" t="n">
        <v>2642</v>
      </c>
      <c r="B2644" t="n">
        <v>2016</v>
      </c>
      <c r="C2644" s="2" t="n">
        <v>42622.60689814815</v>
      </c>
      <c r="D2644" t="inlineStr">
        <is>
          <t>A CRITICA</t>
        </is>
      </c>
      <c r="E2644" t="inlineStr">
        <is>
          <t>VENEZUELANOS</t>
        </is>
      </c>
      <c r="F2644" t="inlineStr">
        <is>
          <t>ESPORTES</t>
        </is>
      </c>
      <c r="G2644" t="inlineStr">
        <is>
          <t>NATHALIA MENDES -  EBC</t>
        </is>
      </c>
      <c r="H2644" t="inlineStr">
        <is>
          <t>DANIEL MARTINS QUEBRA RECORDE MUNDIAL E FICA COM O OURO NOS 400M</t>
        </is>
      </c>
      <c r="I2644" t="inlineStr">
        <is>
          <t>ESTA É A TERCEIRA MEDALHA DE OURO DO BRASIL NOS JOGOS PARALÍMPICOS DO RIO DE JANEIRO, A SEGUNDA NO ATLETISMO</t>
        </is>
      </c>
      <c r="J2644" t="inlineStr"/>
      <c r="K2644" t="n">
        <v>0</v>
      </c>
      <c r="L2644" t="n">
        <v>1</v>
      </c>
      <c r="M2644" t="n">
        <v>0</v>
      </c>
      <c r="N2644" t="n">
        <v>0</v>
      </c>
      <c r="O2644" t="n">
        <v>0</v>
      </c>
      <c r="P2644">
        <f>HYPERLINK("https://www.acritica.com/esportes/daniel-martins-quebra-recorde-mundial-e-fica-com-o-ouro-nos-400m-1.164880", "URL")</f>
        <v/>
      </c>
      <c r="Q2644">
        <f>HYPERLINK("https://raw.githubusercontent.com/marcosmapl/dataset_imigrantes/main/materias_filtered/a_critica/venezuelanos/2016/08_set/html/1.164880_713.html", "HTML")</f>
        <v/>
      </c>
      <c r="R2644">
        <f>HYPERLINK("https://raw.githubusercontent.com/marcosmapl/dataset_imigrantes/main/materias_filtered/a_critica/venezuelanos/2016/08_set/txt/1.164880_713.txt", "TXT")</f>
        <v/>
      </c>
    </row>
    <row r="2645">
      <c r="A2645" s="1" t="n">
        <v>2643</v>
      </c>
      <c r="B2645" t="n">
        <v>2016</v>
      </c>
      <c r="C2645" s="2" t="n">
        <v>42622.50347222222</v>
      </c>
      <c r="D2645" t="inlineStr">
        <is>
          <t>A CRITICA</t>
        </is>
      </c>
      <c r="E2645" t="inlineStr">
        <is>
          <t>VENEZUELANOS</t>
        </is>
      </c>
      <c r="F2645" t="inlineStr"/>
      <c r="G2645" t="inlineStr">
        <is>
          <t>MÔNICA YANAKIEW – AGÊNCIA BRASIL</t>
        </is>
      </c>
      <c r="H2645" t="inlineStr">
        <is>
          <t>BRASIL E ARGENTINA CRIAM CONSELHO PARA AMPLIAR COOPERAÇÃO BILATERAL</t>
        </is>
      </c>
      <c r="I2645" t="inlineStr">
        <is>
          <t>O ENCONTRO OCORRE EM UM MOMENTO EM QUE O MERCADO COMUM DO SUL (MERCOSUL) ESTÁ PRATICAMENTE PARALISADO, DEVIDO A UMA CRISE INSTITUCIONAL</t>
        </is>
      </c>
      <c r="J2645" t="inlineStr"/>
      <c r="K2645" t="n">
        <v>0</v>
      </c>
      <c r="L2645" t="n">
        <v>1</v>
      </c>
      <c r="M2645" t="n">
        <v>0</v>
      </c>
      <c r="N2645" t="n">
        <v>0</v>
      </c>
      <c r="O2645" t="n">
        <v>0</v>
      </c>
      <c r="P2645">
        <f>HYPERLINK("https://www.acritica.com/brasil-e-argentina-criam-conselho-para-ampliar-cooperac-o-bilateral-1.164921", "URL")</f>
        <v/>
      </c>
      <c r="Q2645">
        <f>HYPERLINK("https://raw.githubusercontent.com/marcosmapl/dataset_imigrantes/main/materias_filtered/a_critica/venezuelanos/2016/08_set/html/1.164921_268.html", "HTML")</f>
        <v/>
      </c>
      <c r="R2645">
        <f>HYPERLINK("https://raw.githubusercontent.com/marcosmapl/dataset_imigrantes/main/materias_filtered/a_critica/venezuelanos/2016/08_set/txt/1.164921_268.txt", "TXT")</f>
        <v/>
      </c>
    </row>
    <row r="2646">
      <c r="A2646" s="1" t="n">
        <v>2644</v>
      </c>
      <c r="B2646" t="n">
        <v>2016</v>
      </c>
      <c r="C2646" s="2" t="n">
        <v>42620.82013888889</v>
      </c>
      <c r="D2646" t="inlineStr">
        <is>
          <t>G1</t>
        </is>
      </c>
      <c r="E2646" t="inlineStr">
        <is>
          <t>VENEZUELANOS</t>
        </is>
      </c>
      <c r="F2646" t="inlineStr"/>
      <c r="G2646" t="inlineStr">
        <is>
          <t>EUTERS</t>
        </is>
      </c>
      <c r="H2646" t="inlineStr">
        <is>
          <t>OPOSIÇÃO VENEZUELANA REALIZA NOVOS PROTESTOS CONTRA MADURO</t>
        </is>
      </c>
      <c r="I2646" t="inlineStr"/>
      <c r="J2646" t="inlineStr">
        <is>
          <t>NICOLÁS MADURO, VENEZUELA</t>
        </is>
      </c>
      <c r="K2646" t="n">
        <v>2</v>
      </c>
      <c r="L2646" t="n">
        <v>8</v>
      </c>
      <c r="M2646" t="n">
        <v>0</v>
      </c>
      <c r="N2646" t="n">
        <v>0</v>
      </c>
      <c r="O2646" t="n">
        <v>14</v>
      </c>
      <c r="P2646">
        <f>HYPERLINK("http://g1.globo.com/mundo/noticia/2016/09/oposicao-venezuelana-realiza-novos-protestos-contra-maduro.html", "URL")</f>
        <v/>
      </c>
      <c r="Q2646">
        <f>HYPERLINK("https://raw.githubusercontent.com/marcosmapl/dataset_imigrantes/main/materias_filtered/g1/venezuelanos/2016/08_set/html/g1_0fd02290-231f-11ed-b24f-6dbe51e79fca_3598.html", "HTML")</f>
        <v/>
      </c>
      <c r="R2646">
        <f>HYPERLINK("https://raw.githubusercontent.com/marcosmapl/dataset_imigrantes/main/materias_filtered/g1/venezuelanos/2016/08_set/txt/g1_0fd02290-231f-11ed-b24f-6dbe51e79fca_3598.txt", "TXT")</f>
        <v/>
      </c>
    </row>
    <row r="2647">
      <c r="A2647" s="1" t="n">
        <v>2645</v>
      </c>
      <c r="B2647" t="n">
        <v>2016</v>
      </c>
      <c r="C2647" s="2" t="n">
        <v>42620.41597222222</v>
      </c>
      <c r="D2647" t="inlineStr">
        <is>
          <t>G1</t>
        </is>
      </c>
      <c r="E2647" t="inlineStr">
        <is>
          <t>VENEZUELANOS</t>
        </is>
      </c>
      <c r="F2647" t="inlineStr"/>
      <c r="G2647" t="inlineStr">
        <is>
          <t>RANCE PRESSE</t>
        </is>
      </c>
      <c r="H2647" t="inlineStr">
        <is>
          <t>OPOSIÇÃO VENEZUELANA ORGANIZA NOVO PROTESTO CONTRA MADURO</t>
        </is>
      </c>
      <c r="I2647" t="inlineStr"/>
      <c r="J2647" t="inlineStr">
        <is>
          <t>VENEZUELA</t>
        </is>
      </c>
      <c r="K2647" t="n">
        <v>1</v>
      </c>
      <c r="L2647" t="n">
        <v>6</v>
      </c>
      <c r="M2647" t="n">
        <v>0</v>
      </c>
      <c r="N2647" t="n">
        <v>0</v>
      </c>
      <c r="O2647" t="n">
        <v>9</v>
      </c>
      <c r="P2647">
        <f>HYPERLINK("http://g1.globo.com/mundo/noticia/2016/09/oposicao-venezuelana-aumenta-pressao-nas-ruas-contra-maduro.html", "URL")</f>
        <v/>
      </c>
      <c r="Q2647">
        <f>HYPERLINK("https://raw.githubusercontent.com/marcosmapl/dataset_imigrantes/main/materias_filtered/g1/venezuelanos/2016/08_set/html/g1_4c7bdecc-2311-11ed-b24f-6dbe51e79fca_2910.html", "HTML")</f>
        <v/>
      </c>
      <c r="R2647">
        <f>HYPERLINK("https://raw.githubusercontent.com/marcosmapl/dataset_imigrantes/main/materias_filtered/g1/venezuelanos/2016/08_set/txt/g1_4c7bdecc-2311-11ed-b24f-6dbe51e79fca_2910.txt", "TXT")</f>
        <v/>
      </c>
    </row>
    <row r="2648">
      <c r="A2648" s="1" t="n">
        <v>2646</v>
      </c>
      <c r="B2648" t="n">
        <v>2016</v>
      </c>
      <c r="C2648" s="2" t="n">
        <v>42618.73194444444</v>
      </c>
      <c r="D2648" t="inlineStr">
        <is>
          <t>G1</t>
        </is>
      </c>
      <c r="E2648" t="inlineStr">
        <is>
          <t>HAITIANOS</t>
        </is>
      </c>
      <c r="F2648" t="inlineStr"/>
      <c r="G2648" t="inlineStr">
        <is>
          <t>É SOUZADO G1 MT</t>
        </is>
      </c>
      <c r="H2648" t="inlineStr">
        <is>
          <t>HAITIANO MORRE SOTERRADO APÓS BARRANCO DESMORONAR EM OBRA EM MT</t>
        </is>
      </c>
      <c r="I2648" t="inlineStr"/>
      <c r="J2648" t="inlineStr">
        <is>
          <t>MATO GROSSO, SORRISO</t>
        </is>
      </c>
      <c r="K2648" t="n">
        <v>2</v>
      </c>
      <c r="L2648" t="n">
        <v>5</v>
      </c>
      <c r="M2648" t="n">
        <v>0</v>
      </c>
      <c r="N2648" t="n">
        <v>0</v>
      </c>
      <c r="O2648" t="n">
        <v>11</v>
      </c>
      <c r="P2648">
        <f>HYPERLINK("http://g1.globo.com/mato-grosso/noticia/2016/09/haitiano-morre-soterrado-apos-barranco-desmoronar-em-obra-em-mt.html", "URL")</f>
        <v/>
      </c>
      <c r="Q2648">
        <f>HYPERLINK("https://raw.githubusercontent.com/marcosmapl/dataset_imigrantes/main/materias_filtered/g1/haitianos/2016/08_set/html/g1_63f812b0-2306-11ed-b24f-6dbe51e79fca_2257.html", "HTML")</f>
        <v/>
      </c>
      <c r="R2648">
        <f>HYPERLINK("https://raw.githubusercontent.com/marcosmapl/dataset_imigrantes/main/materias_filtered/g1/haitianos/2016/08_set/txt/g1_63f812b0-2306-11ed-b24f-6dbe51e79fca_2257.txt", "TXT")</f>
        <v/>
      </c>
    </row>
    <row r="2649">
      <c r="A2649" s="1" t="n">
        <v>2647</v>
      </c>
      <c r="B2649" t="n">
        <v>2016</v>
      </c>
      <c r="C2649" s="2" t="n">
        <v>42618.61805555555</v>
      </c>
      <c r="D2649" t="inlineStr">
        <is>
          <t>G1</t>
        </is>
      </c>
      <c r="E2649" t="inlineStr">
        <is>
          <t>HAITIANOS</t>
        </is>
      </c>
      <c r="F2649" t="inlineStr"/>
      <c r="G2649" t="inlineStr">
        <is>
          <t>1 AM</t>
        </is>
      </c>
      <c r="H2649" t="inlineStr">
        <is>
          <t>'IMIGRANTES HAITIANOS NO BRASIL' É TEMA DE EXPOSIÇÃO DO MUSEU AMAZÔNICO</t>
        </is>
      </c>
      <c r="I2649" t="inlineStr"/>
      <c r="J2649" t="inlineStr">
        <is>
          <t>MANAUS</t>
        </is>
      </c>
      <c r="K2649" t="n">
        <v>1</v>
      </c>
      <c r="L2649" t="n">
        <v>5</v>
      </c>
      <c r="M2649" t="n">
        <v>0</v>
      </c>
      <c r="N2649" t="n">
        <v>0</v>
      </c>
      <c r="O2649" t="n">
        <v>12</v>
      </c>
      <c r="P2649">
        <f>HYPERLINK("http://g1.globo.com/am/amazonas/manaus-acontece/noticia/2016/09/imigrantes-haitianos-no-brasil-e-tema-de-exposicao-do-museu-amazonico.html", "URL")</f>
        <v/>
      </c>
      <c r="Q2649">
        <f>HYPERLINK("https://raw.githubusercontent.com/marcosmapl/dataset_imigrantes/main/materias_filtered/g1/haitianos/2016/08_set/html/g1_09bdf6e4-22f6-11ed-b24f-6dbe51e79fca_1989.html", "HTML")</f>
        <v/>
      </c>
      <c r="R2649">
        <f>HYPERLINK("https://raw.githubusercontent.com/marcosmapl/dataset_imigrantes/main/materias_filtered/g1/haitianos/2016/08_set/txt/g1_09bdf6e4-22f6-11ed-b24f-6dbe51e79fca_1989.txt", "TXT")</f>
        <v/>
      </c>
    </row>
    <row r="2650">
      <c r="A2650" s="1" t="n">
        <v>2648</v>
      </c>
      <c r="B2650" t="n">
        <v>2016</v>
      </c>
      <c r="C2650" s="2" t="n">
        <v>42615.92013888889</v>
      </c>
      <c r="D2650" t="inlineStr">
        <is>
          <t>G1</t>
        </is>
      </c>
      <c r="E2650" t="inlineStr">
        <is>
          <t>VENEZUELANOS</t>
        </is>
      </c>
      <c r="F2650" t="inlineStr"/>
      <c r="G2650" t="inlineStr">
        <is>
          <t>ELO MARQUESDO G1 RR</t>
        </is>
      </c>
      <c r="H2650" t="inlineStr">
        <is>
          <t>CLÍNICA ODONTOLÓGICA CLANDESTINA DE DENTISTA VENEZUELANA É FECHADA EM RR</t>
        </is>
      </c>
      <c r="I2650" t="inlineStr"/>
      <c r="J2650" t="inlineStr">
        <is>
          <t>BOA VISTA</t>
        </is>
      </c>
      <c r="K2650" t="n">
        <v>1</v>
      </c>
      <c r="L2650" t="n">
        <v>5</v>
      </c>
      <c r="M2650" t="n">
        <v>0</v>
      </c>
      <c r="N2650" t="n">
        <v>0</v>
      </c>
      <c r="O2650" t="n">
        <v>11</v>
      </c>
      <c r="P2650">
        <f>HYPERLINK("http://g1.globo.com/rr/roraima/noticia/2016/09/clinica-odontologica-clandestina-de-dentista-venezuelana-e-fechada-em-rr.html", "URL")</f>
        <v/>
      </c>
      <c r="Q2650">
        <f>HYPERLINK("https://raw.githubusercontent.com/marcosmapl/dataset_imigrantes/main/materias_filtered/g1/venezuelanos/2016/08_set/html/g1_be190a24-231f-11ed-b24f-6dbe51e79fca_3641.html", "HTML")</f>
        <v/>
      </c>
      <c r="R2650">
        <f>HYPERLINK("https://raw.githubusercontent.com/marcosmapl/dataset_imigrantes/main/materias_filtered/g1/venezuelanos/2016/08_set/txt/g1_be190a24-231f-11ed-b24f-6dbe51e79fca_3641.txt", "TXT")</f>
        <v/>
      </c>
    </row>
    <row r="2651">
      <c r="A2651" s="1" t="n">
        <v>2649</v>
      </c>
      <c r="B2651" t="n">
        <v>2016</v>
      </c>
      <c r="C2651" s="2" t="n">
        <v>42615.53958333333</v>
      </c>
      <c r="D2651" t="inlineStr">
        <is>
          <t>G1</t>
        </is>
      </c>
      <c r="E2651" t="inlineStr">
        <is>
          <t>VENEZUELANOS</t>
        </is>
      </c>
      <c r="F2651" t="inlineStr"/>
      <c r="G2651" t="inlineStr">
        <is>
          <t>RANCE PRESSE</t>
        </is>
      </c>
      <c r="H2651" t="inlineStr">
        <is>
          <t>OPOSIÇÃO VENEZUELANA DENUNCIA PRISÃO DE PREFEITO APÓS MEGAPROTESTO</t>
        </is>
      </c>
      <c r="I2651" t="inlineStr"/>
      <c r="J2651" t="inlineStr">
        <is>
          <t>VENEZUELA</t>
        </is>
      </c>
      <c r="K2651" t="n">
        <v>1</v>
      </c>
      <c r="L2651" t="n">
        <v>6</v>
      </c>
      <c r="M2651" t="n">
        <v>0</v>
      </c>
      <c r="N2651" t="n">
        <v>0</v>
      </c>
      <c r="O2651" t="n">
        <v>10</v>
      </c>
      <c r="P2651">
        <f>HYPERLINK("http://g1.globo.com/mundo/noticia/2016/09/oposicao-venezuelana-denuncia-prisao-de-prefeito-apos-megaprotesto.html", "URL")</f>
        <v/>
      </c>
      <c r="Q2651">
        <f>HYPERLINK("https://raw.githubusercontent.com/marcosmapl/dataset_imigrantes/main/materias_filtered/g1/venezuelanos/2016/08_set/html/g1_e3700cc0-2322-11ed-b24f-6dbe51e79fca_3777.html", "HTML")</f>
        <v/>
      </c>
      <c r="R2651">
        <f>HYPERLINK("https://raw.githubusercontent.com/marcosmapl/dataset_imigrantes/main/materias_filtered/g1/venezuelanos/2016/08_set/txt/g1_e3700cc0-2322-11ed-b24f-6dbe51e79fca_3777.txt", "TXT")</f>
        <v/>
      </c>
    </row>
    <row r="2652">
      <c r="A2652" s="1" t="n">
        <v>2650</v>
      </c>
      <c r="B2652" t="n">
        <v>2016</v>
      </c>
      <c r="C2652" s="2" t="n">
        <v>42614.6244212963</v>
      </c>
      <c r="D2652" t="inlineStr">
        <is>
          <t>A CRITICA</t>
        </is>
      </c>
      <c r="E2652" t="inlineStr">
        <is>
          <t>VENEZUELANOS</t>
        </is>
      </c>
      <c r="F2652" t="inlineStr"/>
      <c r="G2652" t="inlineStr">
        <is>
          <t>MONICA YANAKIEW - CORRESPONDENTE DA AGÊNCIA BRASIL</t>
        </is>
      </c>
      <c r="H2652" t="inlineStr">
        <is>
          <t>IMPEACHMENT DE DILMA DIVIDE OPINIÕES NA AMÉRICA LATINA</t>
        </is>
      </c>
      <c r="I2652" t="inlineStr">
        <is>
          <t>A REAÇÃO DOS PAÍSES VIZINHOS AO IMPEACHMENT DE DILMA ROUSSEFF VARIA DA CAUTELA (ARGENTINA E CHILE) ÀS CRÍTICAS SEVERAS (VENEZUELA, EQUADOR, BOLÍVIA)</t>
        </is>
      </c>
      <c r="J2652" t="inlineStr"/>
      <c r="K2652" t="n">
        <v>0</v>
      </c>
      <c r="L2652" t="n">
        <v>1</v>
      </c>
      <c r="M2652" t="n">
        <v>0</v>
      </c>
      <c r="N2652" t="n">
        <v>0</v>
      </c>
      <c r="O2652" t="n">
        <v>0</v>
      </c>
      <c r="P2652">
        <f>HYPERLINK("https://www.acritica.com/impeachment-de-dilma-divide-opini-es-na-america-latina-1.163624", "URL")</f>
        <v/>
      </c>
      <c r="Q2652">
        <f>HYPERLINK("https://raw.githubusercontent.com/marcosmapl/dataset_imigrantes/main/materias_filtered/a_critica/venezuelanos/2016/08_set/html/1.163624_122.html", "HTML")</f>
        <v/>
      </c>
      <c r="R2652">
        <f>HYPERLINK("https://raw.githubusercontent.com/marcosmapl/dataset_imigrantes/main/materias_filtered/a_critica/venezuelanos/2016/08_set/txt/1.163624_122.txt", "TXT")</f>
        <v/>
      </c>
    </row>
    <row r="2653">
      <c r="A2653" s="1" t="n">
        <v>2651</v>
      </c>
      <c r="B2653" t="n">
        <v>2016</v>
      </c>
      <c r="C2653" s="2" t="n">
        <v>42614.56180555555</v>
      </c>
      <c r="D2653" t="inlineStr">
        <is>
          <t>G1</t>
        </is>
      </c>
      <c r="E2653" t="inlineStr">
        <is>
          <t>HAITIANOS</t>
        </is>
      </c>
      <c r="F2653" t="inlineStr"/>
      <c r="G2653" t="inlineStr">
        <is>
          <t>1 SOROCABA E JUNDIAÍ</t>
        </is>
      </c>
      <c r="H2653" t="inlineStr">
        <is>
          <t>PACIENTE HAITIANO SEM MEMÓRIA SERÁ ENTERRADO EM CEMITÉRIO DE JUNDIAÍ</t>
        </is>
      </c>
      <c r="I2653" t="inlineStr"/>
      <c r="J2653" t="inlineStr">
        <is>
          <t>JUNDIAÍ</t>
        </is>
      </c>
      <c r="K2653" t="n">
        <v>1</v>
      </c>
      <c r="L2653" t="n">
        <v>6</v>
      </c>
      <c r="M2653" t="n">
        <v>0</v>
      </c>
      <c r="N2653" t="n">
        <v>0</v>
      </c>
      <c r="O2653" t="n">
        <v>14</v>
      </c>
      <c r="P2653">
        <f>HYPERLINK("http://g1.globo.com/sao-paulo/sorocaba-jundiai/noticia/2016/09/corpo-de-haitiano-sem-memoria-e-enterrado-em-jundiai.html", "URL")</f>
        <v/>
      </c>
      <c r="Q2653">
        <f>HYPERLINK("https://raw.githubusercontent.com/marcosmapl/dataset_imigrantes/main/materias_filtered/g1/haitianos/2016/08_set/html/g1_015126fe-2326-11ed-b24f-6dbe51e79fca_3949.html", "HTML")</f>
        <v/>
      </c>
      <c r="R2653">
        <f>HYPERLINK("https://raw.githubusercontent.com/marcosmapl/dataset_imigrantes/main/materias_filtered/g1/haitianos/2016/08_set/txt/g1_015126fe-2326-11ed-b24f-6dbe51e79fca_3949.txt", "TXT")</f>
        <v/>
      </c>
    </row>
    <row r="2654">
      <c r="A2654" s="1" t="n">
        <v>2652</v>
      </c>
      <c r="B2654" t="n">
        <v>2016</v>
      </c>
      <c r="C2654" s="2" t="n">
        <v>42613.46527777778</v>
      </c>
      <c r="D2654" t="inlineStr">
        <is>
          <t>G1</t>
        </is>
      </c>
      <c r="E2654" t="inlineStr">
        <is>
          <t>HAITIANOS</t>
        </is>
      </c>
      <c r="F2654" t="inlineStr"/>
      <c r="G2654" t="inlineStr">
        <is>
          <t>1 SC</t>
        </is>
      </c>
      <c r="H2654" t="inlineStr">
        <is>
          <t>EMPRESÁRIO É INDICIADO POR HOMICÍDIO APÓS ACIDENTE COM HAITIANOS EM ITAJAÍ</t>
        </is>
      </c>
      <c r="I2654" t="inlineStr"/>
      <c r="J2654" t="inlineStr">
        <is>
          <t>ITAJAÍ</t>
        </is>
      </c>
      <c r="K2654" t="n">
        <v>1</v>
      </c>
      <c r="L2654" t="n">
        <v>3</v>
      </c>
      <c r="M2654" t="n">
        <v>0</v>
      </c>
      <c r="N2654" t="n">
        <v>0</v>
      </c>
      <c r="O2654" t="n">
        <v>12</v>
      </c>
      <c r="P2654">
        <f>HYPERLINK("http://g1.globo.com/sc/santa-catarina/noticia/2016/08/empresario-e-indiciado-por-homicidio-apos-acidente-com-haitianos-em-itajai.html", "URL")</f>
        <v/>
      </c>
      <c r="Q2654">
        <f>HYPERLINK("https://raw.githubusercontent.com/marcosmapl/dataset_imigrantes/main/materias_filtered/g1/haitianos/2016/07_ago/html/g1_633389ce-22fa-11ed-b24f-6dbe51e79fca_2216.html", "HTML")</f>
        <v/>
      </c>
      <c r="R2654">
        <f>HYPERLINK("https://raw.githubusercontent.com/marcosmapl/dataset_imigrantes/main/materias_filtered/g1/haitianos/2016/07_ago/txt/g1_633389ce-22fa-11ed-b24f-6dbe51e79fca_2216.txt", "TXT")</f>
        <v/>
      </c>
    </row>
    <row r="2655">
      <c r="A2655" s="1" t="n">
        <v>2653</v>
      </c>
      <c r="B2655" t="n">
        <v>2016</v>
      </c>
      <c r="C2655" s="2" t="n">
        <v>42611.65416666667</v>
      </c>
      <c r="D2655" t="inlineStr">
        <is>
          <t>G1</t>
        </is>
      </c>
      <c r="E2655" t="inlineStr">
        <is>
          <t>VENEZUELANOS</t>
        </is>
      </c>
      <c r="F2655" t="inlineStr"/>
      <c r="G2655" t="inlineStr">
        <is>
          <t>RANCE PRESSE</t>
        </is>
      </c>
      <c r="H2655" t="inlineStr">
        <is>
          <t>GOVERNO VENEZUELANO PROÍBE VOOS PARTICULARES E DRONES POR UMA SEMANA</t>
        </is>
      </c>
      <c r="I2655" t="inlineStr"/>
      <c r="J2655" t="inlineStr">
        <is>
          <t>NICOLÁS MADURO, VENEZUELA</t>
        </is>
      </c>
      <c r="K2655" t="n">
        <v>2</v>
      </c>
      <c r="L2655" t="n">
        <v>5</v>
      </c>
      <c r="M2655" t="n">
        <v>0</v>
      </c>
      <c r="N2655" t="n">
        <v>0</v>
      </c>
      <c r="O2655" t="n">
        <v>11</v>
      </c>
      <c r="P2655">
        <f>HYPERLINK("http://g1.globo.com/mundo/noticia/2016/08/governo-venezuelano-proibe-voos-particulares-e-drones-por-uma-semana.html", "URL")</f>
        <v/>
      </c>
      <c r="Q2655">
        <f>HYPERLINK("https://raw.githubusercontent.com/marcosmapl/dataset_imigrantes/main/materias_filtered/g1/venezuelanos/2016/07_ago/html/g1_a7ced18c-231e-11ed-b24f-6dbe51e79fca_3575.html", "HTML")</f>
        <v/>
      </c>
      <c r="R2655">
        <f>HYPERLINK("https://raw.githubusercontent.com/marcosmapl/dataset_imigrantes/main/materias_filtered/g1/venezuelanos/2016/07_ago/txt/g1_a7ced18c-231e-11ed-b24f-6dbe51e79fca_3575.txt", "TXT")</f>
        <v/>
      </c>
    </row>
    <row r="2656">
      <c r="A2656" s="1" t="n">
        <v>2654</v>
      </c>
      <c r="B2656" t="n">
        <v>2016</v>
      </c>
      <c r="C2656" s="2" t="n">
        <v>42608.58472222222</v>
      </c>
      <c r="D2656" t="inlineStr">
        <is>
          <t>G1</t>
        </is>
      </c>
      <c r="E2656" t="inlineStr">
        <is>
          <t>VENEZUELANOS</t>
        </is>
      </c>
      <c r="F2656" t="inlineStr"/>
      <c r="G2656" t="inlineStr">
        <is>
          <t>SON FÉLIX E EMILY COSTA DO G1 RR</t>
        </is>
      </c>
      <c r="H2656" t="inlineStr">
        <is>
          <t>VENEZUELANAS EM RR DIZEM QUE FORAM OBRIGADAS A TROCAR SEXO POR COMIDA</t>
        </is>
      </c>
      <c r="I2656" t="inlineStr"/>
      <c r="J2656" t="inlineStr">
        <is>
          <t>BOA VISTA</t>
        </is>
      </c>
      <c r="K2656" t="n">
        <v>1</v>
      </c>
      <c r="L2656" t="n">
        <v>4</v>
      </c>
      <c r="M2656" t="n">
        <v>0</v>
      </c>
      <c r="N2656" t="n">
        <v>0</v>
      </c>
      <c r="O2656" t="n">
        <v>14</v>
      </c>
      <c r="P2656">
        <f>HYPERLINK("http://g1.globo.com/rr/roraima/noticia/2016/08/venezuelanas-em-rr-dizem-que-foram-obrigadas-trocar-sexo-por-comida.html", "URL")</f>
        <v/>
      </c>
      <c r="Q2656">
        <f>HYPERLINK("https://raw.githubusercontent.com/marcosmapl/dataset_imigrantes/main/materias_filtered/g1/venezuelanos/2016/07_ago/html/g1_c9c3642a-231d-11ed-b24f-6dbe51e79fca_3520.html", "HTML")</f>
        <v/>
      </c>
      <c r="R2656">
        <f>HYPERLINK("https://raw.githubusercontent.com/marcosmapl/dataset_imigrantes/main/materias_filtered/g1/venezuelanos/2016/07_ago/txt/g1_c9c3642a-231d-11ed-b24f-6dbe51e79fca_3520.txt", "TXT")</f>
        <v/>
      </c>
    </row>
    <row r="2657">
      <c r="A2657" s="1" t="n">
        <v>2655</v>
      </c>
      <c r="B2657" t="n">
        <v>2016</v>
      </c>
      <c r="C2657" s="2" t="n">
        <v>42605.52900462963</v>
      </c>
      <c r="D2657" t="inlineStr">
        <is>
          <t>A CRITICA</t>
        </is>
      </c>
      <c r="E2657" t="inlineStr">
        <is>
          <t>HAITIANOS</t>
        </is>
      </c>
      <c r="F2657" t="inlineStr"/>
      <c r="G2657" t="inlineStr">
        <is>
          <t>AGÊNCIA ANSA</t>
        </is>
      </c>
      <c r="H2657" t="inlineStr">
        <is>
          <t>PAPA FRANCISCO CONDENA EXPLORAÇÃO SEXUAL E TRÁFICO DE PESSOAS</t>
        </is>
      </c>
      <c r="I2657" t="inlineStr">
        <is>
          <t>"O TRÁFICO DE SERES HUMANOS, DE ÓRGÃOS, O TRABALHO FORÇADO E A PROSTITUIÇÃO SÃO ESCRAVIDÕES MODERNAS E CRIMES CONTRA A HUMANIDADE", ESCREVEU HOJE (23) O LÍDER CATÓLICO</t>
        </is>
      </c>
      <c r="J2657" t="inlineStr"/>
      <c r="K2657" t="n">
        <v>0</v>
      </c>
      <c r="L2657" t="n">
        <v>1</v>
      </c>
      <c r="M2657" t="n">
        <v>0</v>
      </c>
      <c r="N2657" t="n">
        <v>0</v>
      </c>
      <c r="O2657" t="n">
        <v>0</v>
      </c>
      <c r="P2657">
        <f>HYPERLINK("https://www.acritica.com/papa-francisco-condena-explorac-o-sexual-e-trafico-de-pessoas-1.109349", "URL")</f>
        <v/>
      </c>
      <c r="Q2657">
        <f>HYPERLINK("https://raw.githubusercontent.com/marcosmapl/dataset_imigrantes/main/materias_filtered/a_critica/haitianos/2016/07_ago/html/1.109349_153.html", "HTML")</f>
        <v/>
      </c>
      <c r="R2657">
        <f>HYPERLINK("https://raw.githubusercontent.com/marcosmapl/dataset_imigrantes/main/materias_filtered/a_critica/haitianos/2016/07_ago/txt/1.109349_153.txt", "TXT")</f>
        <v/>
      </c>
    </row>
    <row r="2658">
      <c r="A2658" s="1" t="n">
        <v>2656</v>
      </c>
      <c r="B2658" t="n">
        <v>2016</v>
      </c>
      <c r="C2658" s="2" t="n">
        <v>42604.63106481481</v>
      </c>
      <c r="D2658" t="inlineStr">
        <is>
          <t>A CRITICA</t>
        </is>
      </c>
      <c r="E2658" t="inlineStr">
        <is>
          <t>VENEZUELANOS</t>
        </is>
      </c>
      <c r="F2658" t="inlineStr"/>
      <c r="G2658" t="inlineStr">
        <is>
          <t>MILAGROS RODRÍGUEZ –  ANSA BRASIL</t>
        </is>
      </c>
      <c r="H2658" t="inlineStr">
        <is>
          <t>CADA VEZ MAIS, VENEZUELANOS BUSCAM VIDA NOVA NO EXTERIOR</t>
        </is>
      </c>
      <c r="I2658" t="inlineStr">
        <is>
          <t>O ÊXODO QUE COMEÇOU EM 1984 SE ACENTUOU COM A CHEGADA DE HUGO CHÁVEZ AO PODER E SE APROFUNDOU NOS ÚLTIMOS MESES, APÓS ANOS SEGUIDOS DE CRISE ECONÔMICA E SOCIAL</t>
        </is>
      </c>
      <c r="J2658" t="inlineStr"/>
      <c r="K2658" t="n">
        <v>0</v>
      </c>
      <c r="L2658" t="n">
        <v>1</v>
      </c>
      <c r="M2658" t="n">
        <v>0</v>
      </c>
      <c r="N2658" t="n">
        <v>0</v>
      </c>
      <c r="O2658" t="n">
        <v>0</v>
      </c>
      <c r="P2658">
        <f>HYPERLINK("https://www.acritica.com/cada-vez-mais-venezuelanos-buscam-vida-nova-no-exterior-1.110183", "URL")</f>
        <v/>
      </c>
      <c r="Q2658">
        <f>HYPERLINK("https://raw.githubusercontent.com/marcosmapl/dataset_imigrantes/main/materias_filtered/a_critica/venezuelanos/2016/07_ago/html/1.110183_561.html", "HTML")</f>
        <v/>
      </c>
      <c r="R2658">
        <f>HYPERLINK("https://raw.githubusercontent.com/marcosmapl/dataset_imigrantes/main/materias_filtered/a_critica/venezuelanos/2016/07_ago/txt/1.110183_561.txt", "TXT")</f>
        <v/>
      </c>
    </row>
    <row r="2659">
      <c r="A2659" s="1" t="n">
        <v>2657</v>
      </c>
      <c r="B2659" t="n">
        <v>2016</v>
      </c>
      <c r="C2659" s="2" t="n">
        <v>42603.80138888889</v>
      </c>
      <c r="D2659" t="inlineStr">
        <is>
          <t>G1</t>
        </is>
      </c>
      <c r="E2659" t="inlineStr">
        <is>
          <t>HAITIANOS</t>
        </is>
      </c>
      <c r="F2659" t="inlineStr"/>
      <c r="G2659" t="inlineStr">
        <is>
          <t>1 RO</t>
        </is>
      </c>
      <c r="H2659" t="inlineStr">
        <is>
          <t>CICLISTA MORRE AO SER ATROPELADO NA BR-364 POR CAMIONETE, EM RO</t>
        </is>
      </c>
      <c r="I2659" t="inlineStr"/>
      <c r="J2659" t="inlineStr">
        <is>
          <t>JI-PARANÁ</t>
        </is>
      </c>
      <c r="K2659" t="n">
        <v>1</v>
      </c>
      <c r="L2659" t="n">
        <v>4</v>
      </c>
      <c r="M2659" t="n">
        <v>0</v>
      </c>
      <c r="N2659" t="n">
        <v>0</v>
      </c>
      <c r="O2659" t="n">
        <v>10</v>
      </c>
      <c r="P2659">
        <f>HYPERLINK("http://g1.globo.com/ro/rondonia/noticia/2016/08/ciclista-morre-ao-ser-atropelado-na-br-364-por-camionete-em-ro.html", "URL")</f>
        <v/>
      </c>
      <c r="Q2659">
        <f>HYPERLINK("https://raw.githubusercontent.com/marcosmapl/dataset_imigrantes/main/materias_filtered/g1/haitianos/2016/07_ago/html/g1_5d3ca540-230f-11ed-b24f-6dbe51e79fca_2791.html", "HTML")</f>
        <v/>
      </c>
      <c r="R2659">
        <f>HYPERLINK("https://raw.githubusercontent.com/marcosmapl/dataset_imigrantes/main/materias_filtered/g1/haitianos/2016/07_ago/txt/g1_5d3ca540-230f-11ed-b24f-6dbe51e79fca_2791.txt", "TXT")</f>
        <v/>
      </c>
    </row>
    <row r="2660">
      <c r="A2660" s="1" t="n">
        <v>2658</v>
      </c>
      <c r="B2660" t="n">
        <v>2016</v>
      </c>
      <c r="C2660" s="2" t="n">
        <v>42603.58680555555</v>
      </c>
      <c r="D2660" t="inlineStr">
        <is>
          <t>A CRITICA</t>
        </is>
      </c>
      <c r="E2660" t="inlineStr">
        <is>
          <t>VENEZUELANOS</t>
        </is>
      </c>
      <c r="F2660" t="inlineStr">
        <is>
          <t>ENTRETENIMENTO</t>
        </is>
      </c>
      <c r="G2660" t="inlineStr">
        <is>
          <t>VINICIUS LEAL</t>
        </is>
      </c>
      <c r="H2660" t="inlineStr">
        <is>
          <t>ATRIZ AMAZONENSE BRILHA EM SÉRIE DE TV NA EUROPA E TENTA CARREIRA EM HOLLYWOOD</t>
        </is>
      </c>
      <c r="I2660" t="inlineStr">
        <is>
          <t>FERNANDA DINIZ, 30, NATURAL DE MANAUS, É POUCO CONHECIDA ENTRE O PÚBLICO MANAUARA, MAS JÁ TEM TRABALHOS IMPORTANTES COMO ATRIZ E MODELO NO BRASIL E PELO MUNDO AFORA</t>
        </is>
      </c>
      <c r="J2660" t="inlineStr"/>
      <c r="K2660" t="n">
        <v>0</v>
      </c>
      <c r="L2660" t="n">
        <v>1</v>
      </c>
      <c r="M2660" t="n">
        <v>0</v>
      </c>
      <c r="N2660" t="n">
        <v>0</v>
      </c>
      <c r="O2660" t="n">
        <v>0</v>
      </c>
      <c r="P2660">
        <f>HYPERLINK("https://www.acritica.com/entretenimento/atriz-amazonense-brilha-em-serie-de-tv-na-europa-e-tenta-carreira-em-hollywood-1.160310", "URL")</f>
        <v/>
      </c>
      <c r="Q2660">
        <f>HYPERLINK("https://raw.githubusercontent.com/marcosmapl/dataset_imigrantes/main/materias_filtered/a_critica/venezuelanos/2016/07_ago/html/1.160310_802.html", "HTML")</f>
        <v/>
      </c>
      <c r="R2660">
        <f>HYPERLINK("https://raw.githubusercontent.com/marcosmapl/dataset_imigrantes/main/materias_filtered/a_critica/venezuelanos/2016/07_ago/txt/1.160310_802.txt", "TXT")</f>
        <v/>
      </c>
    </row>
    <row r="2661">
      <c r="A2661" s="1" t="n">
        <v>2659</v>
      </c>
      <c r="B2661" t="n">
        <v>2016</v>
      </c>
      <c r="C2661" s="2" t="n">
        <v>42601.575</v>
      </c>
      <c r="D2661" t="inlineStr">
        <is>
          <t>A CRITICA</t>
        </is>
      </c>
      <c r="E2661" t="inlineStr">
        <is>
          <t>VENEZUELANOS</t>
        </is>
      </c>
      <c r="F2661" t="inlineStr">
        <is>
          <t>ENTRETENIMENTO</t>
        </is>
      </c>
      <c r="G2661" t="inlineStr">
        <is>
          <t>MAYRLLA MOTTA</t>
        </is>
      </c>
      <c r="H2661" t="inlineStr">
        <is>
          <t>CARLOS NAVARRO: MEIO SÉCULO DEDICADO AO PROGRESSO DA FOTOGRAFIA</t>
        </is>
      </c>
      <c r="I2661" t="inlineStr">
        <is>
          <t>VINDO DE BARCELONA, NA ESPANHA, O VENEZUELANO CHEGOU NA CAPITAL AMAZONENSE EM MEADOS DE 1973 PARA ASSUMIR A DIREÇÃO DA ANTIGA FÁBRICA DE REVELAÇÃO DE FOTOS A CORES, A SONORA.</t>
        </is>
      </c>
      <c r="J2661" t="inlineStr"/>
      <c r="K2661" t="n">
        <v>0</v>
      </c>
      <c r="L2661" t="n">
        <v>1</v>
      </c>
      <c r="M2661" t="n">
        <v>0</v>
      </c>
      <c r="N2661" t="n">
        <v>0</v>
      </c>
      <c r="O2661" t="n">
        <v>0</v>
      </c>
      <c r="P2661">
        <f>HYPERLINK("https://www.acritica.com/entretenimento/carlos-navarro-meio-seculo-dedicado-ao-progresso-da-fotografia-1.109557", "URL")</f>
        <v/>
      </c>
      <c r="Q2661">
        <f>HYPERLINK("https://raw.githubusercontent.com/marcosmapl/dataset_imigrantes/main/materias_filtered/a_critica/venezuelanos/2016/07_ago/html/1.109557_613.html", "HTML")</f>
        <v/>
      </c>
      <c r="R2661">
        <f>HYPERLINK("https://raw.githubusercontent.com/marcosmapl/dataset_imigrantes/main/materias_filtered/a_critica/venezuelanos/2016/07_ago/txt/1.109557_613.txt", "TXT")</f>
        <v/>
      </c>
    </row>
    <row r="2662">
      <c r="A2662" s="1" t="n">
        <v>2660</v>
      </c>
      <c r="B2662" t="n">
        <v>2016</v>
      </c>
      <c r="C2662" s="2" t="n">
        <v>42599.02430555555</v>
      </c>
      <c r="D2662" t="inlineStr">
        <is>
          <t>A CRITICA</t>
        </is>
      </c>
      <c r="E2662" t="inlineStr">
        <is>
          <t>VENEZUELANOS</t>
        </is>
      </c>
      <c r="F2662" t="inlineStr">
        <is>
          <t>ENTRETENIMENTO</t>
        </is>
      </c>
      <c r="G2662" t="inlineStr">
        <is>
          <t>ACRÍTICA.COM</t>
        </is>
      </c>
      <c r="H2662" t="inlineStr">
        <is>
          <t>2ª MOSTRA DE CINEMA VENEZUELANO COMEÇA NESTA QUARTA, COM ENTRADA FRANCA</t>
        </is>
      </c>
      <c r="I2662" t="inlineStr">
        <is>
          <t>AS SESSÕES ACONTECEM ENTRE OS DIAS 17 A 19 DE AGOSTO, SEMPRE ÀS 18H30, NO TEATRO GEBES MEDEIROS, LOCALIZADO DENTRO DO IDEAL CLUBE, NO CENTRO DE MANAUS, COM ENTRADA FRANCA</t>
        </is>
      </c>
      <c r="J2662" t="inlineStr"/>
      <c r="K2662" t="n">
        <v>0</v>
      </c>
      <c r="L2662" t="n">
        <v>1</v>
      </c>
      <c r="M2662" t="n">
        <v>0</v>
      </c>
      <c r="N2662" t="n">
        <v>0</v>
      </c>
      <c r="O2662" t="n">
        <v>0</v>
      </c>
      <c r="P2662">
        <f>HYPERLINK("https://www.acritica.com/entretenimento/2-mostra-de-cinema-venezuelano-comeca-nesta-quarta-com-entrada-franca-1.112775", "URL")</f>
        <v/>
      </c>
      <c r="Q2662">
        <f>HYPERLINK("https://raw.githubusercontent.com/marcosmapl/dataset_imigrantes/main/materias_filtered/a_critica/venezuelanos/2016/07_ago/html/1.112775_1278.html", "HTML")</f>
        <v/>
      </c>
      <c r="R2662">
        <f>HYPERLINK("https://raw.githubusercontent.com/marcosmapl/dataset_imigrantes/main/materias_filtered/a_critica/venezuelanos/2016/07_ago/txt/1.112775_1278.txt", "TXT")</f>
        <v/>
      </c>
    </row>
    <row r="2663">
      <c r="A2663" s="1" t="n">
        <v>2661</v>
      </c>
      <c r="B2663" t="n">
        <v>2016</v>
      </c>
      <c r="C2663" s="2" t="n">
        <v>42595.94375</v>
      </c>
      <c r="D2663" t="inlineStr">
        <is>
          <t>G1</t>
        </is>
      </c>
      <c r="E2663" t="inlineStr">
        <is>
          <t>VENEZUELANOS</t>
        </is>
      </c>
      <c r="F2663" t="inlineStr"/>
      <c r="G2663" t="inlineStr">
        <is>
          <t>FP</t>
        </is>
      </c>
      <c r="H2663" t="inlineStr">
        <is>
          <t>ANISTIA CRITICA JUSTIÇA VENEZUELANA POR CONFIRMAR CONDENAÇÃO DE LÓPEZ</t>
        </is>
      </c>
      <c r="I2663" t="inlineStr"/>
      <c r="J2663" t="inlineStr">
        <is>
          <t>LEOPOLDO LÓPEZ, NICOLÁS MADURO</t>
        </is>
      </c>
      <c r="K2663" t="n">
        <v>2</v>
      </c>
      <c r="L2663" t="n">
        <v>6</v>
      </c>
      <c r="M2663" t="n">
        <v>0</v>
      </c>
      <c r="N2663" t="n">
        <v>0</v>
      </c>
      <c r="O2663" t="n">
        <v>20</v>
      </c>
      <c r="P2663">
        <f>HYPERLINK("http://g1.globo.com/mundo/noticia/2016/08/anistia-critica-justica-venezuelana-por-confirmar-condenacao-de-lopez.html", "URL")</f>
        <v/>
      </c>
      <c r="Q2663">
        <f>HYPERLINK("https://raw.githubusercontent.com/marcosmapl/dataset_imigrantes/main/materias_filtered/g1/venezuelanos/2016/07_ago/html/g1_8f38484e-230d-11ed-b24f-6dbe51e79fca_2695.html", "HTML")</f>
        <v/>
      </c>
      <c r="R2663">
        <f>HYPERLINK("https://raw.githubusercontent.com/marcosmapl/dataset_imigrantes/main/materias_filtered/g1/venezuelanos/2016/07_ago/txt/g1_8f38484e-230d-11ed-b24f-6dbe51e79fca_2695.txt", "TXT")</f>
        <v/>
      </c>
    </row>
    <row r="2664">
      <c r="A2664" s="1" t="n">
        <v>2662</v>
      </c>
      <c r="B2664" t="n">
        <v>2016</v>
      </c>
      <c r="C2664" s="2" t="n">
        <v>42593.94375</v>
      </c>
      <c r="D2664" t="inlineStr">
        <is>
          <t>G1</t>
        </is>
      </c>
      <c r="E2664" t="inlineStr">
        <is>
          <t>VENEZUELANOS</t>
        </is>
      </c>
      <c r="F2664" t="inlineStr"/>
      <c r="G2664" t="inlineStr">
        <is>
          <t>1 AM</t>
        </is>
      </c>
      <c r="H2664" t="inlineStr">
        <is>
          <t>II MOSTRA DE CINEMA VENEZUELANO SERÁ REALIZADA EM MANAUS</t>
        </is>
      </c>
      <c r="I2664" t="inlineStr"/>
      <c r="J2664" t="inlineStr">
        <is>
          <t>MANAUS</t>
        </is>
      </c>
      <c r="K2664" t="n">
        <v>1</v>
      </c>
      <c r="L2664" t="n">
        <v>5</v>
      </c>
      <c r="M2664" t="n">
        <v>0</v>
      </c>
      <c r="N2664" t="n">
        <v>0</v>
      </c>
      <c r="O2664" t="n">
        <v>11</v>
      </c>
      <c r="P2664">
        <f>HYPERLINK("http://g1.globo.com/am/amazonas/manaus-acontece/noticia/2016/08/ii-mostra-de-cinema-venezuelano-sera-realizada-em-manaus.html", "URL")</f>
        <v/>
      </c>
      <c r="Q2664">
        <f>HYPERLINK("https://raw.githubusercontent.com/marcosmapl/dataset_imigrantes/main/materias_filtered/g1/venezuelanos/2016/07_ago/html/g1_68f8a41c-2317-11ed-b24f-6dbe51e79fca_3205.html", "HTML")</f>
        <v/>
      </c>
      <c r="R2664">
        <f>HYPERLINK("https://raw.githubusercontent.com/marcosmapl/dataset_imigrantes/main/materias_filtered/g1/venezuelanos/2016/07_ago/txt/g1_68f8a41c-2317-11ed-b24f-6dbe51e79fca_3205.txt", "TXT")</f>
        <v/>
      </c>
    </row>
    <row r="2665">
      <c r="A2665" s="1" t="n">
        <v>2663</v>
      </c>
      <c r="B2665" t="n">
        <v>2016</v>
      </c>
      <c r="C2665" s="2" t="n">
        <v>42590.54565972222</v>
      </c>
      <c r="D2665" t="inlineStr">
        <is>
          <t>A CRITICA</t>
        </is>
      </c>
      <c r="E2665" t="inlineStr">
        <is>
          <t>VENEZUELANOS</t>
        </is>
      </c>
      <c r="F2665" t="inlineStr"/>
      <c r="G2665" t="inlineStr">
        <is>
          <t>VITOR ABDALA –  AGÊNCIA BRASIL</t>
        </is>
      </c>
      <c r="H2665" t="inlineStr">
        <is>
          <t>TRÊS TURISTAS ESTRANGEIROS TÊM PRISÃO DECRETADA POR SUSPEITA DE FURTO NO RIO</t>
        </is>
      </c>
      <c r="I2665" t="inlineStr">
        <is>
          <t>UM VENEZUELANO, UM PERUANO E UMA COLOMBIANA SÃO SUSPEITOS DE FURTAR CÂMERAS E LENTES PROFISSIONAIS EM UM BAR DE IPANEMA, NA ZONA SUL DA CIDADE DO RIO DE JANEIRO</t>
        </is>
      </c>
      <c r="J2665" t="inlineStr"/>
      <c r="K2665" t="n">
        <v>0</v>
      </c>
      <c r="L2665" t="n">
        <v>1</v>
      </c>
      <c r="M2665" t="n">
        <v>0</v>
      </c>
      <c r="N2665" t="n">
        <v>0</v>
      </c>
      <c r="O2665" t="n">
        <v>0</v>
      </c>
      <c r="P2665">
        <f>HYPERLINK("https://www.acritica.com/tres-turistas-estrangeiros-tem-pris-o-decretada-por-suspeita-de-furto-no-rio-1.110035", "URL")</f>
        <v/>
      </c>
      <c r="Q2665">
        <f>HYPERLINK("https://raw.githubusercontent.com/marcosmapl/dataset_imigrantes/main/materias_filtered/a_critica/venezuelanos/2016/07_ago/html/1.110035_775.html", "HTML")</f>
        <v/>
      </c>
      <c r="R2665">
        <f>HYPERLINK("https://raw.githubusercontent.com/marcosmapl/dataset_imigrantes/main/materias_filtered/a_critica/venezuelanos/2016/07_ago/txt/1.110035_775.txt", "TXT")</f>
        <v/>
      </c>
    </row>
    <row r="2666">
      <c r="A2666" s="1" t="n">
        <v>2664</v>
      </c>
      <c r="B2666" t="n">
        <v>2016</v>
      </c>
      <c r="C2666" s="2" t="n">
        <v>42588.47569444445</v>
      </c>
      <c r="D2666" t="inlineStr">
        <is>
          <t>G1</t>
        </is>
      </c>
      <c r="E2666" t="inlineStr">
        <is>
          <t>VENEZUELANOS</t>
        </is>
      </c>
      <c r="F2666" t="inlineStr"/>
      <c r="G2666" t="inlineStr">
        <is>
          <t>SON FÉLIXDO G1 RR</t>
        </is>
      </c>
      <c r="H2666" t="inlineStr">
        <is>
          <t>VENEZUELANA É PRESA EM RR COM SETE PEDRAS DE CRACK ESCONDIDAS NA VAGINA</t>
        </is>
      </c>
      <c r="I2666" t="inlineStr"/>
      <c r="J2666" t="inlineStr">
        <is>
          <t>BOA VISTA</t>
        </is>
      </c>
      <c r="K2666" t="n">
        <v>1</v>
      </c>
      <c r="L2666" t="n">
        <v>6</v>
      </c>
      <c r="M2666" t="n">
        <v>0</v>
      </c>
      <c r="N2666" t="n">
        <v>0</v>
      </c>
      <c r="O2666" t="n">
        <v>11</v>
      </c>
      <c r="P2666">
        <f>HYPERLINK("http://g1.globo.com/rr/roraima/noticia/2016/08/venezuelana-e-presa-em-rr-com-sete-pedras-de-crack-escondidas-na-vagina.html", "URL")</f>
        <v/>
      </c>
      <c r="Q2666">
        <f>HYPERLINK("https://raw.githubusercontent.com/marcosmapl/dataset_imigrantes/main/materias_filtered/g1/venezuelanos/2016/07_ago/html/g1_ed869508-2313-11ed-b24f-6dbe51e79fca_3036.html", "HTML")</f>
        <v/>
      </c>
      <c r="R2666">
        <f>HYPERLINK("https://raw.githubusercontent.com/marcosmapl/dataset_imigrantes/main/materias_filtered/g1/venezuelanos/2016/07_ago/txt/g1_ed869508-2313-11ed-b24f-6dbe51e79fca_3036.txt", "TXT")</f>
        <v/>
      </c>
    </row>
    <row r="2667">
      <c r="A2667" s="1" t="n">
        <v>2665</v>
      </c>
      <c r="B2667" t="n">
        <v>2016</v>
      </c>
      <c r="C2667" s="2" t="n">
        <v>42587.88002314815</v>
      </c>
      <c r="D2667" t="inlineStr">
        <is>
          <t>A CRITICA</t>
        </is>
      </c>
      <c r="E2667" t="inlineStr">
        <is>
          <t>VENEZUELANOS</t>
        </is>
      </c>
      <c r="F2667" t="inlineStr"/>
      <c r="G2667" t="inlineStr">
        <is>
          <t>FLÁVIA VILLELA - AGÊNCIA BRASIL</t>
        </is>
      </c>
      <c r="H2667" t="inlineStr">
        <is>
          <t>SERRA E KERRY DIZEM QUE RELAÇÃO BRASIL-EUA ENTRA EM NOVA FASE</t>
        </is>
      </c>
      <c r="I2667" t="inlineStr">
        <is>
          <t>JOHN KERRY DISSE QUE BRASIL E ESTADOS UNIDOS SÃO PARCEIROS NATURAIS E QUE O OBJETIVO DO ENCONTRO BILATERAL FOI APROFUNDAR ESTA RELAÇÃO</t>
        </is>
      </c>
      <c r="J2667" t="inlineStr"/>
      <c r="K2667" t="n">
        <v>0</v>
      </c>
      <c r="L2667" t="n">
        <v>1</v>
      </c>
      <c r="M2667" t="n">
        <v>0</v>
      </c>
      <c r="N2667" t="n">
        <v>0</v>
      </c>
      <c r="O2667" t="n">
        <v>0</v>
      </c>
      <c r="P2667">
        <f>HYPERLINK("https://www.acritica.com/serra-e-kerry-dizem-que-relac-o-brasil-eua-entra-em-nova-fase-1.110097", "URL")</f>
        <v/>
      </c>
      <c r="Q2667">
        <f>HYPERLINK("https://raw.githubusercontent.com/marcosmapl/dataset_imigrantes/main/materias_filtered/a_critica/venezuelanos/2016/07_ago/html/1.110097_271.html", "HTML")</f>
        <v/>
      </c>
      <c r="R2667">
        <f>HYPERLINK("https://raw.githubusercontent.com/marcosmapl/dataset_imigrantes/main/materias_filtered/a_critica/venezuelanos/2016/07_ago/txt/1.110097_271.txt", "TXT")</f>
        <v/>
      </c>
    </row>
    <row r="2668">
      <c r="A2668" s="1" t="n">
        <v>2666</v>
      </c>
      <c r="B2668" t="n">
        <v>2016</v>
      </c>
      <c r="C2668" s="2" t="n">
        <v>42586.05347222222</v>
      </c>
      <c r="D2668" t="inlineStr">
        <is>
          <t>A CRITICA</t>
        </is>
      </c>
      <c r="E2668" t="inlineStr">
        <is>
          <t>VENEZUELANOS</t>
        </is>
      </c>
      <c r="F2668" t="inlineStr">
        <is>
          <t>MANAUS</t>
        </is>
      </c>
      <c r="G2668" t="inlineStr">
        <is>
          <t>KELLY MELO</t>
        </is>
      </c>
      <c r="H2668" t="inlineStr">
        <is>
          <t>TURISMO CONTINUA TÍMIDO NA VÉSPERA DOS JOGOS NA ARENA AMAZÔNIA</t>
        </is>
      </c>
      <c r="I2668" t="inlineStr">
        <is>
          <t>DIFERENTE DAS BALADAS E DO MOVIMENTO EXPERIMENTADO DURANTE A COPA DO MUNDO, QUANDO MANAUS FOI A SEDE MAIS DESTACADA, DESSA VEZ O NÚMERO DE TURISTAS É PEQUENO, MAS COMÉRCIO ESPERA QUE TUDO MUDE NESTA QUINTA</t>
        </is>
      </c>
      <c r="J2668" t="inlineStr"/>
      <c r="K2668" t="n">
        <v>0</v>
      </c>
      <c r="L2668" t="n">
        <v>1</v>
      </c>
      <c r="M2668" t="n">
        <v>0</v>
      </c>
      <c r="N2668" t="n">
        <v>0</v>
      </c>
      <c r="O2668" t="n">
        <v>0</v>
      </c>
      <c r="P2668">
        <f>HYPERLINK("https://www.acritica.com/manaus/turismo-continua-timido-na-vespera-dos-jogos-na-arena-amazonia-1.159610", "URL")</f>
        <v/>
      </c>
      <c r="Q2668">
        <f>HYPERLINK("https://raw.githubusercontent.com/marcosmapl/dataset_imigrantes/main/materias_filtered/a_critica/venezuelanos/2016/07_ago/html/1.159610_520.html", "HTML")</f>
        <v/>
      </c>
      <c r="R2668">
        <f>HYPERLINK("https://raw.githubusercontent.com/marcosmapl/dataset_imigrantes/main/materias_filtered/a_critica/venezuelanos/2016/07_ago/txt/1.159610_520.txt", "TXT")</f>
        <v/>
      </c>
    </row>
    <row r="2669">
      <c r="A2669" s="1" t="n">
        <v>2667</v>
      </c>
      <c r="B2669" t="n">
        <v>2016</v>
      </c>
      <c r="C2669" s="2" t="n">
        <v>42583.65416666667</v>
      </c>
      <c r="D2669" t="inlineStr">
        <is>
          <t>G1</t>
        </is>
      </c>
      <c r="E2669" t="inlineStr">
        <is>
          <t>VENEZUELANOS</t>
        </is>
      </c>
      <c r="F2669" t="inlineStr"/>
      <c r="G2669" t="inlineStr">
        <is>
          <t>RANCE PRESSE</t>
        </is>
      </c>
      <c r="H2669" t="inlineStr">
        <is>
          <t>PARAGUAI NÃO RECONHECE PRESIDÊNCIA VENEZUELANA NO MERCOSUL</t>
        </is>
      </c>
      <c r="I2669" t="inlineStr"/>
      <c r="J2669" t="inlineStr">
        <is>
          <t>ARGENTINA, MERCOSUL, NICOLÁS MADURO, PARAGUAI, URUGUAI, VENEZUELA</t>
        </is>
      </c>
      <c r="K2669" t="n">
        <v>6</v>
      </c>
      <c r="L2669" t="n">
        <v>3</v>
      </c>
      <c r="M2669" t="n">
        <v>0</v>
      </c>
      <c r="N2669" t="n">
        <v>0</v>
      </c>
      <c r="O2669" t="n">
        <v>20</v>
      </c>
      <c r="P2669">
        <f>HYPERLINK("http://g1.globo.com/mundo/noticia/2016/08/paraguai-nao-reconhece-presidencia-venezuelana-no-mercosul.html", "URL")</f>
        <v/>
      </c>
      <c r="Q2669">
        <f>HYPERLINK("https://raw.githubusercontent.com/marcosmapl/dataset_imigrantes/main/materias_filtered/g1/venezuelanos/2016/07_ago/html/g1_52e85984-2307-11ed-b24f-6dbe51e79fca_2311.html", "HTML")</f>
        <v/>
      </c>
      <c r="R2669">
        <f>HYPERLINK("https://raw.githubusercontent.com/marcosmapl/dataset_imigrantes/main/materias_filtered/g1/venezuelanos/2016/07_ago/txt/g1_52e85984-2307-11ed-b24f-6dbe51e79fca_2311.txt", "TXT")</f>
        <v/>
      </c>
    </row>
    <row r="2670">
      <c r="A2670" s="1" t="n">
        <v>2668</v>
      </c>
      <c r="B2670" t="n">
        <v>2016</v>
      </c>
      <c r="C2670" s="2" t="n">
        <v>42581.76180555556</v>
      </c>
      <c r="D2670" t="inlineStr">
        <is>
          <t>G1</t>
        </is>
      </c>
      <c r="E2670" t="inlineStr">
        <is>
          <t>HAITIANOS</t>
        </is>
      </c>
      <c r="F2670" t="inlineStr"/>
      <c r="G2670" t="inlineStr">
        <is>
          <t>1 SC</t>
        </is>
      </c>
      <c r="H2670" t="inlineStr">
        <is>
          <t>INTERNADO NA UTI, HAITIANO QUEIMADO EM EXPLOSÃO JÁ PASSOU POR 7 CIRURGIAS</t>
        </is>
      </c>
      <c r="I2670" t="inlineStr"/>
      <c r="J2670" t="inlineStr">
        <is>
          <t>ITAJAÍ</t>
        </is>
      </c>
      <c r="K2670" t="n">
        <v>1</v>
      </c>
      <c r="L2670" t="n">
        <v>6</v>
      </c>
      <c r="M2670" t="n">
        <v>0</v>
      </c>
      <c r="N2670" t="n">
        <v>0</v>
      </c>
      <c r="O2670" t="n">
        <v>12</v>
      </c>
      <c r="P2670">
        <f>HYPERLINK("http://g1.globo.com/sc/santa-catarina/noticia/2016/07/internado-na-uti-haitiano-queimado-em-explosao-ja-passou-por-7-cirurgias.html", "URL")</f>
        <v/>
      </c>
      <c r="Q2670">
        <f>HYPERLINK("https://raw.githubusercontent.com/marcosmapl/dataset_imigrantes/main/materias_filtered/g1/haitianos/2016/06_jul/html/g1_1fa50690-22f7-11ed-b24f-6dbe51e79fca_2061.html", "HTML")</f>
        <v/>
      </c>
      <c r="R2670">
        <f>HYPERLINK("https://raw.githubusercontent.com/marcosmapl/dataset_imigrantes/main/materias_filtered/g1/haitianos/2016/06_jul/txt/g1_1fa50690-22f7-11ed-b24f-6dbe51e79fca_2061.txt", "TXT")</f>
        <v/>
      </c>
    </row>
    <row r="2671">
      <c r="A2671" s="1" t="n">
        <v>2669</v>
      </c>
      <c r="B2671" t="n">
        <v>2016</v>
      </c>
      <c r="C2671" s="2" t="n">
        <v>42578.30208333334</v>
      </c>
      <c r="D2671" t="inlineStr">
        <is>
          <t>G1</t>
        </is>
      </c>
      <c r="E2671" t="inlineStr">
        <is>
          <t>HAITIANOS</t>
        </is>
      </c>
      <c r="F2671" t="inlineStr"/>
      <c r="G2671" t="inlineStr">
        <is>
          <t>DA CAMPOSDO G1 SOROCABA E JUNDIAÍ</t>
        </is>
      </c>
      <c r="H2671" t="inlineStr">
        <is>
          <t>HÁ 5 ANOS NO BRASIL, HAITIANO TENTA TRAZER FILHA: 'PENSO NELA E PERCO O SONO'</t>
        </is>
      </c>
      <c r="I2671" t="inlineStr"/>
      <c r="J2671" t="inlineStr">
        <is>
          <t>TABATINGA, HAITI, SOROCABA</t>
        </is>
      </c>
      <c r="K2671" t="n">
        <v>3</v>
      </c>
      <c r="L2671" t="n">
        <v>8</v>
      </c>
      <c r="M2671" t="n">
        <v>0</v>
      </c>
      <c r="N2671" t="n">
        <v>0</v>
      </c>
      <c r="O2671" t="n">
        <v>12</v>
      </c>
      <c r="P2671">
        <f>HYPERLINK("http://g1.globo.com/sao-paulo/sorocaba-jundiai/noticia/2016/07/ha-5-anos-no-brasil-haitiano-tenta-trazer-filha-penso-nela-e-perco-o-sono.html", "URL")</f>
        <v/>
      </c>
      <c r="Q2671">
        <f>HYPERLINK("https://raw.githubusercontent.com/marcosmapl/dataset_imigrantes/main/materias_filtered/g1/haitianos/2016/06_jul/html/g1_d4400950-231b-11ed-b24f-6dbe51e79fca_3410.html", "HTML")</f>
        <v/>
      </c>
      <c r="R2671">
        <f>HYPERLINK("https://raw.githubusercontent.com/marcosmapl/dataset_imigrantes/main/materias_filtered/g1/haitianos/2016/06_jul/txt/g1_d4400950-231b-11ed-b24f-6dbe51e79fca_3410.txt", "TXT")</f>
        <v/>
      </c>
    </row>
    <row r="2672">
      <c r="A2672" s="1" t="n">
        <v>2670</v>
      </c>
      <c r="B2672" t="n">
        <v>2016</v>
      </c>
      <c r="C2672" s="2" t="n">
        <v>42576.84513888889</v>
      </c>
      <c r="D2672" t="inlineStr">
        <is>
          <t>G1</t>
        </is>
      </c>
      <c r="E2672" t="inlineStr">
        <is>
          <t>HAITIANOS</t>
        </is>
      </c>
      <c r="F2672" t="inlineStr"/>
      <c r="G2672" t="inlineStr">
        <is>
          <t>1 SC</t>
        </is>
      </c>
      <c r="H2672" t="inlineStr">
        <is>
          <t>POLÍCIA OUVE TESTEMUNHAS SOBRE MORTE DE BEBÊ FILHA DE HAITIANOS</t>
        </is>
      </c>
      <c r="I2672" t="inlineStr"/>
      <c r="J2672" t="inlineStr">
        <is>
          <t>SÃO MIGUEL DO OESTE</t>
        </is>
      </c>
      <c r="K2672" t="n">
        <v>1</v>
      </c>
      <c r="L2672" t="n">
        <v>5</v>
      </c>
      <c r="M2672" t="n">
        <v>0</v>
      </c>
      <c r="N2672" t="n">
        <v>0</v>
      </c>
      <c r="O2672" t="n">
        <v>11</v>
      </c>
      <c r="P2672">
        <f>HYPERLINK("http://g1.globo.com/sc/santa-catarina/noticia/2016/07/policia-ouve-testemunhas-sobre-morte-de-bebe-filha-de-haitianos.html", "URL")</f>
        <v/>
      </c>
      <c r="Q2672">
        <f>HYPERLINK("https://raw.githubusercontent.com/marcosmapl/dataset_imigrantes/main/materias_filtered/g1/haitianos/2016/06_jul/html/g1_8c376390-22fa-11ed-b24f-6dbe51e79fca_2227.html", "HTML")</f>
        <v/>
      </c>
      <c r="R2672">
        <f>HYPERLINK("https://raw.githubusercontent.com/marcosmapl/dataset_imigrantes/main/materias_filtered/g1/haitianos/2016/06_jul/txt/g1_8c376390-22fa-11ed-b24f-6dbe51e79fca_2227.txt", "TXT")</f>
        <v/>
      </c>
    </row>
    <row r="2673">
      <c r="A2673" s="1" t="n">
        <v>2671</v>
      </c>
      <c r="B2673" t="n">
        <v>2016</v>
      </c>
      <c r="C2673" s="2" t="n">
        <v>42576.56180555555</v>
      </c>
      <c r="D2673" t="inlineStr">
        <is>
          <t>G1</t>
        </is>
      </c>
      <c r="E2673" t="inlineStr">
        <is>
          <t>HAITIANOS</t>
        </is>
      </c>
      <c r="F2673" t="inlineStr"/>
      <c r="G2673" t="inlineStr">
        <is>
          <t>1 SC</t>
        </is>
      </c>
      <c r="H2673" t="inlineStr">
        <is>
          <t>HAITIANO QUEIMADO EM ACIDENTE DE TRABALHO MORRE EM HOSPITAL EM ITAJAÍ</t>
        </is>
      </c>
      <c r="I2673" t="inlineStr"/>
      <c r="J2673" t="inlineStr">
        <is>
          <t>ITAJAÍ</t>
        </is>
      </c>
      <c r="K2673" t="n">
        <v>1</v>
      </c>
      <c r="L2673" t="n">
        <v>4</v>
      </c>
      <c r="M2673" t="n">
        <v>0</v>
      </c>
      <c r="N2673" t="n">
        <v>0</v>
      </c>
      <c r="O2673" t="n">
        <v>11</v>
      </c>
      <c r="P2673">
        <f>HYPERLINK("http://g1.globo.com/sc/santa-catarina/noticia/2016/07/haitiano-queimado-em-acidente-de-trabalho-morre-em-hospital-em-itajai.html", "URL")</f>
        <v/>
      </c>
      <c r="Q2673">
        <f>HYPERLINK("https://raw.githubusercontent.com/marcosmapl/dataset_imigrantes/main/materias_filtered/g1/haitianos/2016/06_jul/html/g1_913f2080-22f0-11ed-b24f-6dbe51e79fca_1710.html", "HTML")</f>
        <v/>
      </c>
      <c r="R2673">
        <f>HYPERLINK("https://raw.githubusercontent.com/marcosmapl/dataset_imigrantes/main/materias_filtered/g1/haitianos/2016/06_jul/txt/g1_913f2080-22f0-11ed-b24f-6dbe51e79fca_1710.txt", "TXT")</f>
        <v/>
      </c>
    </row>
    <row r="2674">
      <c r="A2674" s="1" t="n">
        <v>2672</v>
      </c>
      <c r="B2674" t="n">
        <v>2016</v>
      </c>
      <c r="C2674" s="2" t="n">
        <v>42573.62291666667</v>
      </c>
      <c r="D2674" t="inlineStr">
        <is>
          <t>G1</t>
        </is>
      </c>
      <c r="E2674" t="inlineStr">
        <is>
          <t>HAITIANOS</t>
        </is>
      </c>
      <c r="F2674" t="inlineStr"/>
      <c r="G2674" t="inlineStr">
        <is>
          <t>1 SC</t>
        </is>
      </c>
      <c r="H2674" t="inlineStr">
        <is>
          <t>COM RELATOS DE PRECONCEITO E FALTA DE EMPREGO, MUITOS HAITIANOS DEIXAM SC</t>
        </is>
      </c>
      <c r="I2674" t="inlineStr"/>
      <c r="J2674" t="inlineStr">
        <is>
          <t>NAVEGANTES</t>
        </is>
      </c>
      <c r="K2674" t="n">
        <v>1</v>
      </c>
      <c r="L2674" t="n">
        <v>4</v>
      </c>
      <c r="M2674" t="n">
        <v>0</v>
      </c>
      <c r="N2674" t="n">
        <v>0</v>
      </c>
      <c r="O2674" t="n">
        <v>12</v>
      </c>
      <c r="P2674">
        <f>HYPERLINK("http://g1.globo.com/sc/santa-catarina/noticia/2016/07/preconceito-e-desemprego-fazem-haitianos-deixarem-sc-tratam-mal.html", "URL")</f>
        <v/>
      </c>
      <c r="Q2674">
        <f>HYPERLINK("https://raw.githubusercontent.com/marcosmapl/dataset_imigrantes/main/materias_filtered/g1/haitianos/2016/06_jul/html/g1_592ef118-22f3-11ed-b24f-6dbe51e79fca_1837.html", "HTML")</f>
        <v/>
      </c>
      <c r="R2674">
        <f>HYPERLINK("https://raw.githubusercontent.com/marcosmapl/dataset_imigrantes/main/materias_filtered/g1/haitianos/2016/06_jul/txt/g1_592ef118-22f3-11ed-b24f-6dbe51e79fca_1837.txt", "TXT")</f>
        <v/>
      </c>
    </row>
    <row r="2675">
      <c r="A2675" s="1" t="n">
        <v>2673</v>
      </c>
      <c r="B2675" t="n">
        <v>2016</v>
      </c>
      <c r="C2675" s="2" t="n">
        <v>42572.50625</v>
      </c>
      <c r="D2675" t="inlineStr">
        <is>
          <t>G1</t>
        </is>
      </c>
      <c r="E2675" t="inlineStr">
        <is>
          <t>HAITIANOS</t>
        </is>
      </c>
      <c r="F2675" t="inlineStr"/>
      <c r="G2675" t="inlineStr">
        <is>
          <t>1 SC</t>
        </is>
      </c>
      <c r="H2675" t="inlineStr">
        <is>
          <t>TRANSFERÊNCIA DE HAITIANOS EM ESTADO GRAVE PARA ALA DE QUEIMADOS É INCERTA</t>
        </is>
      </c>
      <c r="I2675" t="inlineStr"/>
      <c r="J2675" t="inlineStr">
        <is>
          <t>ITAJAÍ</t>
        </is>
      </c>
      <c r="K2675" t="n">
        <v>1</v>
      </c>
      <c r="L2675" t="n">
        <v>3</v>
      </c>
      <c r="M2675" t="n">
        <v>0</v>
      </c>
      <c r="N2675" t="n">
        <v>0</v>
      </c>
      <c r="O2675" t="n">
        <v>10</v>
      </c>
      <c r="P2675">
        <f>HYPERLINK("http://g1.globo.com/sc/santa-catarina/noticia/2016/07/transferencia-de-haitianos-em-estado-grave-para-ala-de-queimados-e-incerta.html", "URL")</f>
        <v/>
      </c>
      <c r="Q2675">
        <f>HYPERLINK("https://raw.githubusercontent.com/marcosmapl/dataset_imigrantes/main/materias_filtered/g1/haitianos/2016/06_jul/html/g1_7e279b90-22f9-11ed-b24f-6dbe51e79fca_2165.html", "HTML")</f>
        <v/>
      </c>
      <c r="R2675">
        <f>HYPERLINK("https://raw.githubusercontent.com/marcosmapl/dataset_imigrantes/main/materias_filtered/g1/haitianos/2016/06_jul/txt/g1_7e279b90-22f9-11ed-b24f-6dbe51e79fca_2165.txt", "TXT")</f>
        <v/>
      </c>
    </row>
    <row r="2676">
      <c r="A2676" s="1" t="n">
        <v>2674</v>
      </c>
      <c r="B2676" t="n">
        <v>2016</v>
      </c>
      <c r="C2676" s="2" t="n">
        <v>42571.67708333334</v>
      </c>
      <c r="D2676" t="inlineStr">
        <is>
          <t>G1</t>
        </is>
      </c>
      <c r="E2676" t="inlineStr">
        <is>
          <t>HAITIANOS</t>
        </is>
      </c>
      <c r="F2676" t="inlineStr"/>
      <c r="G2676" t="inlineStr">
        <is>
          <t>1 SC</t>
        </is>
      </c>
      <c r="H2676" t="inlineStr">
        <is>
          <t>POLÍCIA DE SC APURA MORTE DE BEBÊ DE HAITIANOS QUE PASSOU MAL EM CRECHE</t>
        </is>
      </c>
      <c r="I2676" t="inlineStr"/>
      <c r="J2676" t="inlineStr">
        <is>
          <t>SÃO MIGUEL DO OESTE</t>
        </is>
      </c>
      <c r="K2676" t="n">
        <v>1</v>
      </c>
      <c r="L2676" t="n">
        <v>5</v>
      </c>
      <c r="M2676" t="n">
        <v>0</v>
      </c>
      <c r="N2676" t="n">
        <v>0</v>
      </c>
      <c r="O2676" t="n">
        <v>10</v>
      </c>
      <c r="P2676">
        <f>HYPERLINK("http://g1.globo.com/sc/santa-catarina/noticia/2016/07/policia-de-sc-apura-morte-de-bebe-de-haitianos-apos-passar-mal-em-creche.html", "URL")</f>
        <v/>
      </c>
      <c r="Q2676">
        <f>HYPERLINK("https://raw.githubusercontent.com/marcosmapl/dataset_imigrantes/main/materias_filtered/g1/haitianos/2016/06_jul/html/g1_15b9a140-22f7-11ed-b24f-6dbe51e79fca_2058.html", "HTML")</f>
        <v/>
      </c>
      <c r="R2676">
        <f>HYPERLINK("https://raw.githubusercontent.com/marcosmapl/dataset_imigrantes/main/materias_filtered/g1/haitianos/2016/06_jul/txt/g1_15b9a140-22f7-11ed-b24f-6dbe51e79fca_2058.txt", "TXT")</f>
        <v/>
      </c>
    </row>
    <row r="2677">
      <c r="A2677" s="1" t="n">
        <v>2675</v>
      </c>
      <c r="B2677" t="n">
        <v>2016</v>
      </c>
      <c r="C2677" s="2" t="n">
        <v>42571.48888888889</v>
      </c>
      <c r="D2677" t="inlineStr">
        <is>
          <t>G1</t>
        </is>
      </c>
      <c r="E2677" t="inlineStr">
        <is>
          <t>HAITIANOS</t>
        </is>
      </c>
      <c r="F2677" t="inlineStr"/>
      <c r="G2677" t="inlineStr">
        <is>
          <t>1 SC</t>
        </is>
      </c>
      <c r="H2677" t="inlineStr">
        <is>
          <t>BEBÊ, FILHA DE HAITIANOS, MORRE EM CRECHE EM SÃO MIGUEL DO OESTE, SC</t>
        </is>
      </c>
      <c r="I2677" t="inlineStr"/>
      <c r="J2677" t="inlineStr">
        <is>
          <t>SÃO MIGUEL DO OESTE</t>
        </is>
      </c>
      <c r="K2677" t="n">
        <v>1</v>
      </c>
      <c r="L2677" t="n">
        <v>5</v>
      </c>
      <c r="M2677" t="n">
        <v>0</v>
      </c>
      <c r="N2677" t="n">
        <v>0</v>
      </c>
      <c r="O2677" t="n">
        <v>9</v>
      </c>
      <c r="P2677">
        <f>HYPERLINK("http://g1.globo.com/sc/santa-catarina/noticia/2016/07/bebe-filha-de-haitianos-morre-em-creche-em-sao-miguel-do-oeste-sc.html", "URL")</f>
        <v/>
      </c>
      <c r="Q2677">
        <f>HYPERLINK("https://raw.githubusercontent.com/marcosmapl/dataset_imigrantes/main/materias_filtered/g1/haitianos/2016/06_jul/html/g1_57fb28d6-22f1-11ed-b24f-6dbe51e79fca_1745.html", "HTML")</f>
        <v/>
      </c>
      <c r="R2677">
        <f>HYPERLINK("https://raw.githubusercontent.com/marcosmapl/dataset_imigrantes/main/materias_filtered/g1/haitianos/2016/06_jul/txt/g1_57fb28d6-22f1-11ed-b24f-6dbe51e79fca_1745.txt", "TXT")</f>
        <v/>
      </c>
    </row>
    <row r="2678">
      <c r="A2678" s="1" t="n">
        <v>2676</v>
      </c>
      <c r="B2678" t="n">
        <v>2016</v>
      </c>
      <c r="C2678" s="2" t="n">
        <v>42567.58194444444</v>
      </c>
      <c r="D2678" t="inlineStr">
        <is>
          <t>G1</t>
        </is>
      </c>
      <c r="E2678" t="inlineStr">
        <is>
          <t>HAITIANOS</t>
        </is>
      </c>
      <c r="F2678" t="inlineStr"/>
      <c r="G2678" t="inlineStr">
        <is>
          <t>1 SC</t>
        </is>
      </c>
      <c r="H2678" t="inlineStr">
        <is>
          <t>DOIS HAITIANOS ESTÃO NA UTI EM ITAJAÍ APÓS EXPLOSÃO DE MÁQUINA</t>
        </is>
      </c>
      <c r="I2678" t="inlineStr"/>
      <c r="J2678" t="inlineStr">
        <is>
          <t>ITAJAÍ</t>
        </is>
      </c>
      <c r="K2678" t="n">
        <v>1</v>
      </c>
      <c r="L2678" t="n">
        <v>3</v>
      </c>
      <c r="M2678" t="n">
        <v>0</v>
      </c>
      <c r="N2678" t="n">
        <v>0</v>
      </c>
      <c r="O2678" t="n">
        <v>10</v>
      </c>
      <c r="P2678">
        <f>HYPERLINK("http://g1.globo.com/sc/santa-catarina/noticia/2016/07/dois-haitianos-estao-na-uti-em-itajai-apos-explosao-de-maquina.html", "URL")</f>
        <v/>
      </c>
      <c r="Q2678">
        <f>HYPERLINK("https://raw.githubusercontent.com/marcosmapl/dataset_imigrantes/main/materias_filtered/g1/haitianos/2016/06_jul/html/g1_271d2686-22f3-11ed-b24f-6dbe51e79fca_1826.html", "HTML")</f>
        <v/>
      </c>
      <c r="R2678">
        <f>HYPERLINK("https://raw.githubusercontent.com/marcosmapl/dataset_imigrantes/main/materias_filtered/g1/haitianos/2016/06_jul/txt/g1_271d2686-22f3-11ed-b24f-6dbe51e79fca_1826.txt", "TXT")</f>
        <v/>
      </c>
    </row>
    <row r="2679">
      <c r="A2679" s="1" t="n">
        <v>2677</v>
      </c>
      <c r="B2679" t="n">
        <v>2016</v>
      </c>
      <c r="C2679" s="2" t="n">
        <v>42562.86491898148</v>
      </c>
      <c r="D2679" t="inlineStr">
        <is>
          <t>A CRITICA</t>
        </is>
      </c>
      <c r="E2679" t="inlineStr">
        <is>
          <t>VENEZUELANOS</t>
        </is>
      </c>
      <c r="F2679" t="inlineStr">
        <is>
          <t>ENTRETENIMENTO</t>
        </is>
      </c>
      <c r="G2679" t="inlineStr">
        <is>
          <t>ACRÍTICA.COM</t>
        </is>
      </c>
      <c r="H2679" t="inlineStr">
        <is>
          <t>HERÓI DA INDEPENDÊNCIA VENEZUELANA É HOMENAGEADO COM FILME EM MANAUS</t>
        </is>
      </c>
      <c r="I2679" t="inlineStr">
        <is>
          <t>EM COMEMORAÇÃO AOS 200 ANOS DA MORTE DO GENERAL FRANCISCO DE MIRANDA SERÁ EXIBIDO O FILME “MIRANDA REGRESA”, DE 2006, NO TEATRO GEBES MEDEIROS, GRATUITAMENTE</t>
        </is>
      </c>
      <c r="J2679" t="inlineStr"/>
      <c r="K2679" t="n">
        <v>0</v>
      </c>
      <c r="L2679" t="n">
        <v>1</v>
      </c>
      <c r="M2679" t="n">
        <v>0</v>
      </c>
      <c r="N2679" t="n">
        <v>0</v>
      </c>
      <c r="O2679" t="n">
        <v>0</v>
      </c>
      <c r="P2679">
        <f>HYPERLINK("https://www.acritica.com/entretenimento/heroi-da-independencia-venezuelana-e-homenageado-com-filme-em-manaus-1.111027", "URL")</f>
        <v/>
      </c>
      <c r="Q2679">
        <f>HYPERLINK("https://raw.githubusercontent.com/marcosmapl/dataset_imigrantes/main/materias_filtered/a_critica/venezuelanos/2016/06_jul/html/1.111027_556.html", "HTML")</f>
        <v/>
      </c>
      <c r="R2679">
        <f>HYPERLINK("https://raw.githubusercontent.com/marcosmapl/dataset_imigrantes/main/materias_filtered/a_critica/venezuelanos/2016/06_jul/txt/1.111027_556.txt", "TXT")</f>
        <v/>
      </c>
    </row>
    <row r="2680">
      <c r="A2680" s="1" t="n">
        <v>2678</v>
      </c>
      <c r="B2680" t="n">
        <v>2016</v>
      </c>
      <c r="C2680" s="2" t="n">
        <v>42561.92152777778</v>
      </c>
      <c r="D2680" t="inlineStr">
        <is>
          <t>A CRITICA</t>
        </is>
      </c>
      <c r="E2680" t="inlineStr">
        <is>
          <t>VENEZUELANOS</t>
        </is>
      </c>
      <c r="F2680" t="inlineStr"/>
      <c r="G2680" t="inlineStr">
        <is>
          <t>REUTERS BRASIL</t>
        </is>
      </c>
      <c r="H2680" t="inlineStr">
        <is>
          <t>VENEZUELANOS APROVEITAM ABERTURA DE FRONTEIRA PARA COMPRAR ALIMENTOS E REMÉDIO</t>
        </is>
      </c>
      <c r="I2680" t="inlineStr">
        <is>
          <t>SOMENTE NAS CIDADES COLOMBIANAS PRÓXIMAS A VENEZUELA COMO LA PARADA, CÚCUTA E VILLA DEL ROSARIO PASSARAM CERCA DE 15 MIL VENEZUELANOS NESTE DOMINGO, DISSE A JORNALISTAS O GOVERNADOR DE NORTE DEL SANTANDER NA COLÔMBIA, WILLIAM VILLAMIZAR</t>
        </is>
      </c>
      <c r="J2680" t="inlineStr"/>
      <c r="K2680" t="n">
        <v>0</v>
      </c>
      <c r="L2680" t="n">
        <v>1</v>
      </c>
      <c r="M2680" t="n">
        <v>0</v>
      </c>
      <c r="N2680" t="n">
        <v>0</v>
      </c>
      <c r="O2680" t="n">
        <v>0</v>
      </c>
      <c r="P2680">
        <f>HYPERLINK("https://www.acritica.com/venezuelanos-aproveitam-abertura-de-fronteira-para-comprar-alimentos-e-remedio-1.111418", "URL")</f>
        <v/>
      </c>
      <c r="Q2680">
        <f>HYPERLINK("https://raw.githubusercontent.com/marcosmapl/dataset_imigrantes/main/materias_filtered/a_critica/venezuelanos/2016/06_jul/html/1.111418_118.html", "HTML")</f>
        <v/>
      </c>
      <c r="R2680">
        <f>HYPERLINK("https://raw.githubusercontent.com/marcosmapl/dataset_imigrantes/main/materias_filtered/a_critica/venezuelanos/2016/06_jul/txt/1.111418_118.txt", "TXT")</f>
        <v/>
      </c>
    </row>
    <row r="2681">
      <c r="A2681" s="1" t="n">
        <v>2679</v>
      </c>
      <c r="B2681" t="n">
        <v>2016</v>
      </c>
      <c r="C2681" s="2" t="n">
        <v>42560.775</v>
      </c>
      <c r="D2681" t="inlineStr">
        <is>
          <t>A CRITICA</t>
        </is>
      </c>
      <c r="E2681" t="inlineStr">
        <is>
          <t>VENEZUELANOS</t>
        </is>
      </c>
      <c r="F2681" t="inlineStr"/>
      <c r="G2681" t="inlineStr">
        <is>
          <t>NICHOLAS CASEY</t>
        </is>
      </c>
      <c r="H2681" t="inlineStr">
        <is>
          <t>SAQUES COLETIVOS NA VENEZUELA REVELAM A DIMENSÃO DA FOME DA POPULAÇÃO</t>
        </is>
      </c>
      <c r="I2681" t="inlineStr">
        <is>
          <t>MESMO EM UM PAÍS COM A MAIOR RESERVA DE PETRÓLEO DO MUNDO, É POSSÍVEL QUE AS PESSOAS SE REBELEM PORQUE NÃO HÁ COMIDA SUFICIENTE: ESSA É PRECISAMENTE A VENEZUELA QUE SEUS LÍDERES JURARAM EVITAR.</t>
        </is>
      </c>
      <c r="J2681" t="inlineStr"/>
      <c r="K2681" t="n">
        <v>0</v>
      </c>
      <c r="L2681" t="n">
        <v>1</v>
      </c>
      <c r="M2681" t="n">
        <v>0</v>
      </c>
      <c r="N2681" t="n">
        <v>0</v>
      </c>
      <c r="O2681" t="n">
        <v>0</v>
      </c>
      <c r="P2681">
        <f>HYPERLINK("https://www.acritica.com/saques-coletivos-na-venezuela-revelam-a-dimens-o-da-fome-da-populac-o-1.111869", "URL")</f>
        <v/>
      </c>
      <c r="Q2681">
        <f>HYPERLINK("https://raw.githubusercontent.com/marcosmapl/dataset_imigrantes/main/materias_filtered/a_critica/venezuelanos/2016/06_jul/html/1.111869_851.html", "HTML")</f>
        <v/>
      </c>
      <c r="R2681">
        <f>HYPERLINK("https://raw.githubusercontent.com/marcosmapl/dataset_imigrantes/main/materias_filtered/a_critica/venezuelanos/2016/06_jul/txt/1.111869_851.txt", "TXT")</f>
        <v/>
      </c>
    </row>
    <row r="2682">
      <c r="A2682" s="1" t="n">
        <v>2680</v>
      </c>
      <c r="B2682" t="n">
        <v>2016</v>
      </c>
      <c r="C2682" s="2" t="n">
        <v>42559.57083333333</v>
      </c>
      <c r="D2682" t="inlineStr">
        <is>
          <t>G1</t>
        </is>
      </c>
      <c r="E2682" t="inlineStr">
        <is>
          <t>VENEZUELANOS</t>
        </is>
      </c>
      <c r="F2682" t="inlineStr"/>
      <c r="G2682" t="inlineStr">
        <is>
          <t>SE SOARESDO G1 MT</t>
        </is>
      </c>
      <c r="H2682" t="inlineStr">
        <is>
          <t>POLÍCIA APREENDE R$ 31 MILHÕES EM MOEDA VENEZUELANA EM MATO GROSSO</t>
        </is>
      </c>
      <c r="I2682" t="inlineStr"/>
      <c r="J2682" t="inlineStr">
        <is>
          <t>POLÍCIA FEDERAL, CUIABÁ, VÁRZEA GRANDE</t>
        </is>
      </c>
      <c r="K2682" t="n">
        <v>3</v>
      </c>
      <c r="L2682" t="n">
        <v>6</v>
      </c>
      <c r="M2682" t="n">
        <v>0</v>
      </c>
      <c r="N2682" t="n">
        <v>0</v>
      </c>
      <c r="O2682" t="n">
        <v>12</v>
      </c>
      <c r="P2682">
        <f>HYPERLINK("http://g1.globo.com/mato-grosso/noticia/2016/07/pf-apreende-27-malas-em-mt-com-r-31-milhoes-em-moeda-venezuelana.html", "URL")</f>
        <v/>
      </c>
      <c r="Q2682">
        <f>HYPERLINK("https://raw.githubusercontent.com/marcosmapl/dataset_imigrantes/main/materias_filtered/g1/venezuelanos/2016/06_jul/html/g1_648cd84a-2311-11ed-b24f-6dbe51e79fca_2913.html", "HTML")</f>
        <v/>
      </c>
      <c r="R2682">
        <f>HYPERLINK("https://raw.githubusercontent.com/marcosmapl/dataset_imigrantes/main/materias_filtered/g1/venezuelanos/2016/06_jul/txt/g1_648cd84a-2311-11ed-b24f-6dbe51e79fca_2913.txt", "TXT")</f>
        <v/>
      </c>
    </row>
    <row r="2683">
      <c r="A2683" s="1" t="n">
        <v>2681</v>
      </c>
      <c r="B2683" t="n">
        <v>2016</v>
      </c>
      <c r="C2683" s="2" t="n">
        <v>42559.01527777778</v>
      </c>
      <c r="D2683" t="inlineStr">
        <is>
          <t>A CRITICA</t>
        </is>
      </c>
      <c r="E2683" t="inlineStr">
        <is>
          <t>VENEZUELANOS</t>
        </is>
      </c>
      <c r="F2683" t="inlineStr"/>
      <c r="G2683" t="inlineStr">
        <is>
          <t>IVAN RICHARD - AGÊNCIA BRASIL</t>
        </is>
      </c>
      <c r="H2683" t="inlineStr">
        <is>
          <t>URUGUAI AFIRMA QUE PASSARÁ COMANDO DO MERCOSUL PARA A VENEZUELA</t>
        </is>
      </c>
      <c r="I2683" t="inlineStr">
        <is>
          <t>A SUCESSÃO É ALVO DE CRÍTICAS INTERNAS, PRINCIPALMENTE DO PARAGUAI, POR CAUSA DA CRISE INSTALADA NO PAÍS BOLIVARIANO PRESIDIDO POR NICOLÁS MADURO</t>
        </is>
      </c>
      <c r="J2683" t="inlineStr"/>
      <c r="K2683" t="n">
        <v>0</v>
      </c>
      <c r="L2683" t="n">
        <v>1</v>
      </c>
      <c r="M2683" t="n">
        <v>0</v>
      </c>
      <c r="N2683" t="n">
        <v>0</v>
      </c>
      <c r="O2683" t="n">
        <v>0</v>
      </c>
      <c r="P2683">
        <f>HYPERLINK("https://www.acritica.com/uruguai-afirma-que-passara-comando-do-mercosul-para-a-venezuela-1.112589", "URL")</f>
        <v/>
      </c>
      <c r="Q2683">
        <f>HYPERLINK("https://raw.githubusercontent.com/marcosmapl/dataset_imigrantes/main/materias_filtered/a_critica/venezuelanos/2016/06_jul/html/1.112589_1126.html", "HTML")</f>
        <v/>
      </c>
      <c r="R2683">
        <f>HYPERLINK("https://raw.githubusercontent.com/marcosmapl/dataset_imigrantes/main/materias_filtered/a_critica/venezuelanos/2016/06_jul/txt/1.112589_1126.txt", "TXT")</f>
        <v/>
      </c>
    </row>
    <row r="2684">
      <c r="A2684" s="1" t="n">
        <v>2682</v>
      </c>
      <c r="B2684" t="n">
        <v>2016</v>
      </c>
      <c r="C2684" s="2" t="n">
        <v>42556.99791666667</v>
      </c>
      <c r="D2684" t="inlineStr">
        <is>
          <t>G1</t>
        </is>
      </c>
      <c r="E2684" t="inlineStr">
        <is>
          <t>VENEZUELANOS</t>
        </is>
      </c>
      <c r="F2684" t="inlineStr"/>
      <c r="G2684" t="inlineStr">
        <is>
          <t>1, EM SÃO PAULO</t>
        </is>
      </c>
      <c r="H2684" t="inlineStr">
        <is>
          <t>BRASIL DEFENDE ADIAR POSSE DA VENEZUELA NA PRESIDÊNCIA DO MERCOSUL</t>
        </is>
      </c>
      <c r="I2684" t="inlineStr"/>
      <c r="J2684" t="inlineStr">
        <is>
          <t>MERCOSUL, URUGUAI, VENEZUELA, JOSÉ SERRA</t>
        </is>
      </c>
      <c r="K2684" t="n">
        <v>4</v>
      </c>
      <c r="L2684" t="n">
        <v>3</v>
      </c>
      <c r="M2684" t="n">
        <v>0</v>
      </c>
      <c r="N2684" t="n">
        <v>0</v>
      </c>
      <c r="O2684" t="n">
        <v>14</v>
      </c>
      <c r="P2684">
        <f>HYPERLINK("http://g1.globo.com/mundo/noticia/2016/07/brasil-defende-adiar-posse-da-venezuela-na-presidencia-do-mercosul.html", "URL")</f>
        <v/>
      </c>
      <c r="Q2684">
        <f>HYPERLINK("https://raw.githubusercontent.com/marcosmapl/dataset_imigrantes/main/materias_filtered/g1/venezuelanos/2016/06_jul/html/g1_af8da234-231b-11ed-b24f-6dbe51e79fca_3401.html", "HTML")</f>
        <v/>
      </c>
      <c r="R2684">
        <f>HYPERLINK("https://raw.githubusercontent.com/marcosmapl/dataset_imigrantes/main/materias_filtered/g1/venezuelanos/2016/06_jul/txt/g1_af8da234-231b-11ed-b24f-6dbe51e79fca_3401.txt", "TXT")</f>
        <v/>
      </c>
    </row>
    <row r="2685">
      <c r="A2685" s="1" t="n">
        <v>2683</v>
      </c>
      <c r="B2685" t="n">
        <v>2016</v>
      </c>
      <c r="C2685" s="2" t="n">
        <v>42552.48611111111</v>
      </c>
      <c r="D2685" t="inlineStr">
        <is>
          <t>G1</t>
        </is>
      </c>
      <c r="E2685" t="inlineStr">
        <is>
          <t>HAITIANOS</t>
        </is>
      </c>
      <c r="F2685" t="inlineStr"/>
      <c r="G2685" t="inlineStr">
        <is>
          <t>1 SC</t>
        </is>
      </c>
      <c r="H2685" t="inlineStr">
        <is>
          <t>INSCRIÇÕES PARA HAITIANOS EM CURSOS DA UFFS TERMINAM NESTA SEXTA-FEIRA</t>
        </is>
      </c>
      <c r="I2685" t="inlineStr"/>
      <c r="J2685" t="inlineStr">
        <is>
          <t>CHAPECÓ</t>
        </is>
      </c>
      <c r="K2685" t="n">
        <v>1</v>
      </c>
      <c r="L2685" t="n">
        <v>3</v>
      </c>
      <c r="M2685" t="n">
        <v>0</v>
      </c>
      <c r="N2685" t="n">
        <v>0</v>
      </c>
      <c r="O2685" t="n">
        <v>11</v>
      </c>
      <c r="P2685">
        <f>HYPERLINK("http://g1.globo.com/sc/santa-catarina/noticia/2016/07/inscricoes-para-haitianos-em-cursos-da-uffs-terminam-nesta-sexta-feira.html", "URL")</f>
        <v/>
      </c>
      <c r="Q2685">
        <f>HYPERLINK("https://raw.githubusercontent.com/marcosmapl/dataset_imigrantes/main/materias_filtered/g1/haitianos/2016/06_jul/html/g1_9eb0cac6-22f9-11ed-b24f-6dbe51e79fca_2174.html", "HTML")</f>
        <v/>
      </c>
      <c r="R2685">
        <f>HYPERLINK("https://raw.githubusercontent.com/marcosmapl/dataset_imigrantes/main/materias_filtered/g1/haitianos/2016/06_jul/txt/g1_9eb0cac6-22f9-11ed-b24f-6dbe51e79fca_2174.txt", "TXT")</f>
        <v/>
      </c>
    </row>
    <row r="2686">
      <c r="A2686" s="1" t="n">
        <v>2684</v>
      </c>
      <c r="B2686" t="n">
        <v>2016</v>
      </c>
      <c r="C2686" s="2" t="n">
        <v>42549.76527777778</v>
      </c>
      <c r="D2686" t="inlineStr">
        <is>
          <t>G1</t>
        </is>
      </c>
      <c r="E2686" t="inlineStr">
        <is>
          <t>HAITIANOS</t>
        </is>
      </c>
      <c r="F2686" t="inlineStr"/>
      <c r="G2686" t="inlineStr">
        <is>
          <t>EUTERS</t>
        </is>
      </c>
      <c r="H2686" t="inlineStr">
        <is>
          <t>FLÓRIDA TEM PRIMEIRO BEBÊ COM MICROCEFALIA LIGADA AO VÍRUS DA ZIKA</t>
        </is>
      </c>
      <c r="I2686" t="inlineStr"/>
      <c r="J2686" t="inlineStr">
        <is>
          <t>ESTADOS UNIDOS</t>
        </is>
      </c>
      <c r="K2686" t="n">
        <v>1</v>
      </c>
      <c r="L2686" t="n">
        <v>7</v>
      </c>
      <c r="M2686" t="n">
        <v>0</v>
      </c>
      <c r="N2686" t="n">
        <v>0</v>
      </c>
      <c r="O2686" t="n">
        <v>17</v>
      </c>
      <c r="P2686">
        <f>HYPERLINK("http://g1.globo.com/bemestar/noticia/2016/06/florida-tem-primeiro-bebe-com-microcefalia-ligada-ao-virus-da-zika.html", "URL")</f>
        <v/>
      </c>
      <c r="Q2686">
        <f>HYPERLINK("https://raw.githubusercontent.com/marcosmapl/dataset_imigrantes/main/materias_filtered/g1/haitianos/2016/05_jun/html/g1_8c0e5360-2318-11ed-b24f-6dbe51e79fca_3265.html", "HTML")</f>
        <v/>
      </c>
      <c r="R2686">
        <f>HYPERLINK("https://raw.githubusercontent.com/marcosmapl/dataset_imigrantes/main/materias_filtered/g1/haitianos/2016/05_jun/txt/g1_8c0e5360-2318-11ed-b24f-6dbe51e79fca_3265.txt", "TXT")</f>
        <v/>
      </c>
    </row>
    <row r="2687">
      <c r="A2687" s="1" t="n">
        <v>2685</v>
      </c>
      <c r="B2687" t="n">
        <v>2016</v>
      </c>
      <c r="C2687" s="2" t="n">
        <v>42544.95347222222</v>
      </c>
      <c r="D2687" t="inlineStr">
        <is>
          <t>A CRITICA</t>
        </is>
      </c>
      <c r="E2687" t="inlineStr">
        <is>
          <t>VENEZUELANOS</t>
        </is>
      </c>
      <c r="F2687" t="inlineStr"/>
      <c r="G2687" t="inlineStr">
        <is>
          <t>SARAH MARSH - REUTERS</t>
        </is>
      </c>
      <c r="H2687" t="inlineStr">
        <is>
          <t>FARC ASSINAM ACORDO DE CESSAR-FOGO HISTÓRICO COM GOVERNO DA COLÔMBIA</t>
        </is>
      </c>
      <c r="I2687" t="inlineStr">
        <is>
          <t>REBELDES DAS FORÇAS ARMADAS REVOLUCIONÁRIAS DA COLÔMBIA E GOVERNO COLOMBIANO ASSINARAM ACORDO QUE OS DEIXA PRÓXIMOS DE ENCERRAR ÚLTIMA INSURGÊNCIA. PACTO ABRE CAMINHO PARA ACORDO DE PAZ APÓS MAIS DE 50 ANOS</t>
        </is>
      </c>
      <c r="J2687" t="inlineStr"/>
      <c r="K2687" t="n">
        <v>0</v>
      </c>
      <c r="L2687" t="n">
        <v>1</v>
      </c>
      <c r="M2687" t="n">
        <v>0</v>
      </c>
      <c r="N2687" t="n">
        <v>0</v>
      </c>
      <c r="O2687" t="n">
        <v>0</v>
      </c>
      <c r="P2687">
        <f>HYPERLINK("https://www.acritica.com/farc-assinam-acordo-de-cessar-fogo-historico-com-governo-da-colombia-1.212012", "URL")</f>
        <v/>
      </c>
      <c r="Q2687">
        <f>HYPERLINK("https://raw.githubusercontent.com/marcosmapl/dataset_imigrantes/main/materias_filtered/a_critica/venezuelanos/2016/05_jun/html/1.212012_1020.html", "HTML")</f>
        <v/>
      </c>
      <c r="R2687">
        <f>HYPERLINK("https://raw.githubusercontent.com/marcosmapl/dataset_imigrantes/main/materias_filtered/a_critica/venezuelanos/2016/05_jun/txt/1.212012_1020.txt", "TXT")</f>
        <v/>
      </c>
    </row>
    <row r="2688">
      <c r="A2688" s="1" t="n">
        <v>2686</v>
      </c>
      <c r="B2688" t="n">
        <v>2016</v>
      </c>
      <c r="C2688" s="2" t="n">
        <v>42542.47638888889</v>
      </c>
      <c r="D2688" t="inlineStr">
        <is>
          <t>G1</t>
        </is>
      </c>
      <c r="E2688" t="inlineStr">
        <is>
          <t>AMBOS</t>
        </is>
      </c>
      <c r="F2688" t="inlineStr"/>
      <c r="G2688" t="inlineStr">
        <is>
          <t>1 AM</t>
        </is>
      </c>
      <c r="H2688" t="inlineStr">
        <is>
          <t>NO AM, AÇÃO 'POR UM SORRISO' ARRECADA DOAÇÕES PARA CRIANÇAS IMIGRANTES</t>
        </is>
      </c>
      <c r="I2688" t="inlineStr"/>
      <c r="J2688" t="inlineStr">
        <is>
          <t>MANAUS</t>
        </is>
      </c>
      <c r="K2688" t="n">
        <v>1</v>
      </c>
      <c r="L2688" t="n">
        <v>5</v>
      </c>
      <c r="M2688" t="n">
        <v>0</v>
      </c>
      <c r="N2688" t="n">
        <v>0</v>
      </c>
      <c r="O2688" t="n">
        <v>11</v>
      </c>
      <c r="P2688">
        <f>HYPERLINK("http://g1.globo.com/am/amazonas/noticia/2016/06/no-am-acao-por-um-sorriso-arrecada-doacoes-para-criancas-imigrantes.html", "URL")</f>
        <v/>
      </c>
      <c r="Q2688">
        <f>HYPERLINK("https://raw.githubusercontent.com/marcosmapl/dataset_imigrantes/main/materias_filtered/g1/ambos/2016/05_jun/html/g1_94f1e122-2309-11ed-b24f-6dbe51e79fca_2454.html", "HTML")</f>
        <v/>
      </c>
      <c r="R2688">
        <f>HYPERLINK("https://raw.githubusercontent.com/marcosmapl/dataset_imigrantes/main/materias_filtered/g1/ambos/2016/05_jun/txt/g1_94f1e122-2309-11ed-b24f-6dbe51e79fca_2454.txt", "TXT")</f>
        <v/>
      </c>
    </row>
    <row r="2689">
      <c r="A2689" s="1" t="n">
        <v>2687</v>
      </c>
      <c r="B2689" t="n">
        <v>2016</v>
      </c>
      <c r="C2689" s="2" t="n">
        <v>42540.7691087963</v>
      </c>
      <c r="D2689" t="inlineStr">
        <is>
          <t>A CRITICA</t>
        </is>
      </c>
      <c r="E2689" t="inlineStr">
        <is>
          <t>VENEZUELANOS</t>
        </is>
      </c>
      <c r="F2689" t="inlineStr">
        <is>
          <t>ESPORTES</t>
        </is>
      </c>
      <c r="G2689" t="inlineStr">
        <is>
          <t>CAMILA LEONEL</t>
        </is>
      </c>
      <c r="H2689" t="inlineStr">
        <is>
          <t>TOCHA OLÍMPICA REÚNE CENTENAS DE PESSOAS NO LARGO DA SÃO SEBASTIÃO</t>
        </is>
      </c>
      <c r="I2689" t="inlineStr">
        <is>
          <t>LARGO DA SÃO SEBASTIÃO FOI DOMINADO POR CURIOSOS QUE ACOMPANHARAM O REVEZAMENTO DA TOCHA OLÍMPICA. ESTRANGEIROS COMPARECERAM AO LOCAL.</t>
        </is>
      </c>
      <c r="J2689" t="inlineStr"/>
      <c r="K2689" t="n">
        <v>0</v>
      </c>
      <c r="L2689" t="n">
        <v>1</v>
      </c>
      <c r="M2689" t="n">
        <v>0</v>
      </c>
      <c r="N2689" t="n">
        <v>0</v>
      </c>
      <c r="O2689" t="n">
        <v>0</v>
      </c>
      <c r="P2689">
        <f>HYPERLINK("https://www.acritica.com/esportes/tocha-olimpica-reune-centenas-de-pessoas-no-largo-da-s-o-sebasti-o-1.139557", "URL")</f>
        <v/>
      </c>
      <c r="Q2689">
        <f>HYPERLINK("https://raw.githubusercontent.com/marcosmapl/dataset_imigrantes/main/materias_filtered/a_critica/venezuelanos/2016/05_jun/html/1.139557_985.html", "HTML")</f>
        <v/>
      </c>
      <c r="R2689">
        <f>HYPERLINK("https://raw.githubusercontent.com/marcosmapl/dataset_imigrantes/main/materias_filtered/a_critica/venezuelanos/2016/05_jun/txt/1.139557_985.txt", "TXT")</f>
        <v/>
      </c>
    </row>
    <row r="2690">
      <c r="A2690" s="1" t="n">
        <v>2688</v>
      </c>
      <c r="B2690" t="n">
        <v>2016</v>
      </c>
      <c r="C2690" s="2" t="n">
        <v>42538.625</v>
      </c>
      <c r="D2690" t="inlineStr">
        <is>
          <t>A CRITICA</t>
        </is>
      </c>
      <c r="E2690" t="inlineStr">
        <is>
          <t>HAITIANOS</t>
        </is>
      </c>
      <c r="F2690" t="inlineStr">
        <is>
          <t>ENTRETENIMENTO</t>
        </is>
      </c>
      <c r="G2690" t="inlineStr">
        <is>
          <t>ACRÍTICA.COM</t>
        </is>
      </c>
      <c r="H2690" t="inlineStr">
        <is>
          <t>'É CLARO QUE EU VOU FAZER A MINHA DANCINHA', AVISA NUNES FILHO, SOBRE ATO OLÍMPICO</t>
        </is>
      </c>
      <c r="I2690" t="inlineStr">
        <is>
          <t>O PRÍNCIPE DO BREGA SERÁ UMA DAS PERSONALIDADES A CARREGAR A TOCHA OLÍMPICA DURANTE O REVEZAMENTO EM MANAUS</t>
        </is>
      </c>
      <c r="J2690" t="inlineStr"/>
      <c r="K2690" t="n">
        <v>0</v>
      </c>
      <c r="L2690" t="n">
        <v>1</v>
      </c>
      <c r="M2690" t="n">
        <v>0</v>
      </c>
      <c r="N2690" t="n">
        <v>0</v>
      </c>
      <c r="O2690" t="n">
        <v>0</v>
      </c>
      <c r="P2690">
        <f>HYPERLINK("https://www.acritica.com/entretenimento/e-claro-que-eu-vou-fazer-a-minha-dancinha-avisa-nunes-filho-sobre-ato-olimpico-1.113182", "URL")</f>
        <v/>
      </c>
      <c r="Q2690">
        <f>HYPERLINK("https://raw.githubusercontent.com/marcosmapl/dataset_imigrantes/main/materias_filtered/a_critica/haitianos/2016/05_jun/html/1.113182_896.html", "HTML")</f>
        <v/>
      </c>
      <c r="R2690">
        <f>HYPERLINK("https://raw.githubusercontent.com/marcosmapl/dataset_imigrantes/main/materias_filtered/a_critica/haitianos/2016/05_jun/txt/1.113182_896.txt", "TXT")</f>
        <v/>
      </c>
    </row>
    <row r="2691">
      <c r="A2691" s="1" t="n">
        <v>2689</v>
      </c>
      <c r="B2691" t="n">
        <v>2016</v>
      </c>
      <c r="C2691" s="2" t="n">
        <v>42537.79513888889</v>
      </c>
      <c r="D2691" t="inlineStr">
        <is>
          <t>A CRITICA</t>
        </is>
      </c>
      <c r="E2691" t="inlineStr">
        <is>
          <t>HAITIANOS</t>
        </is>
      </c>
      <c r="F2691" t="inlineStr">
        <is>
          <t>ESPORTES</t>
        </is>
      </c>
      <c r="G2691" t="inlineStr">
        <is>
          <t>ACRITICA.COM*</t>
        </is>
      </c>
      <c r="H2691" t="inlineStr">
        <is>
          <t>NUNES FILHO E DAVID ASSAYAG ESTÃO ENTRE OS CONDUTORES DA TOCHA OLÍMPICA EM MANAUS</t>
        </is>
      </c>
      <c r="I2691" t="inlineStr">
        <is>
          <t>ALÉM DOS ARTISTAS, TAMBÉM ESTÁ NA LISTA DE ATLETAS AMAZONENSES QUE PARTICIPARÃO DO REVEZAMENTO DURANTE SUA PASSAGEM PELA CAPITAL AMAZONENSE, COMO A JUDOCA RITA DE CÁSSIA</t>
        </is>
      </c>
      <c r="J2691" t="inlineStr"/>
      <c r="K2691" t="n">
        <v>0</v>
      </c>
      <c r="L2691" t="n">
        <v>1</v>
      </c>
      <c r="M2691" t="n">
        <v>0</v>
      </c>
      <c r="N2691" t="n">
        <v>0</v>
      </c>
      <c r="O2691" t="n">
        <v>0</v>
      </c>
      <c r="P2691">
        <f>HYPERLINK("https://www.acritica.com/esportes/nunes-filho-e-david-assayag-est-o-entre-os-condutores-da-tocha-olimpica-em-manaus-1.113282", "URL")</f>
        <v/>
      </c>
      <c r="Q2691">
        <f>HYPERLINK("https://raw.githubusercontent.com/marcosmapl/dataset_imigrantes/main/materias_filtered/a_critica/haitianos/2016/05_jun/html/1.113282_1326.html", "HTML")</f>
        <v/>
      </c>
      <c r="R2691">
        <f>HYPERLINK("https://raw.githubusercontent.com/marcosmapl/dataset_imigrantes/main/materias_filtered/a_critica/haitianos/2016/05_jun/txt/1.113282_1326.txt", "TXT")</f>
        <v/>
      </c>
    </row>
    <row r="2692">
      <c r="A2692" s="1" t="n">
        <v>2690</v>
      </c>
      <c r="B2692" t="n">
        <v>2016</v>
      </c>
      <c r="C2692" s="2" t="n">
        <v>42534.66196759259</v>
      </c>
      <c r="D2692" t="inlineStr">
        <is>
          <t>A CRITICA</t>
        </is>
      </c>
      <c r="E2692" t="inlineStr">
        <is>
          <t>VENEZUELANOS</t>
        </is>
      </c>
      <c r="F2692" t="inlineStr">
        <is>
          <t>ESPORTES</t>
        </is>
      </c>
      <c r="G2692" t="inlineStr">
        <is>
          <t>ACRÍTICA.COM</t>
        </is>
      </c>
      <c r="H2692" t="inlineStr">
        <is>
          <t>MÉXICO E VENEZUELA DISPUTAM LIDERANÇA DO GRUPO C NESTA SEGUNDA (13)</t>
        </is>
      </c>
      <c r="I2692" t="inlineStr">
        <is>
          <t>EQUIPES SOMAM SEIS PONTOS NA TABELA, AMBAS JÁ ESTÃO CLASSIFICADAS PARA A PRÓXIMA FASE DA COPA AMÉRICA.</t>
        </is>
      </c>
      <c r="J2692" t="inlineStr"/>
      <c r="K2692" t="n">
        <v>0</v>
      </c>
      <c r="L2692" t="n">
        <v>1</v>
      </c>
      <c r="M2692" t="n">
        <v>0</v>
      </c>
      <c r="N2692" t="n">
        <v>0</v>
      </c>
      <c r="O2692" t="n">
        <v>0</v>
      </c>
      <c r="P2692">
        <f>HYPERLINK("https://www.acritica.com/esportes/mexico-e-venezuela-disputam-lideranca-do-grupo-c-nesta-segunda-13-1.138688", "URL")</f>
        <v/>
      </c>
      <c r="Q2692">
        <f>HYPERLINK("https://raw.githubusercontent.com/marcosmapl/dataset_imigrantes/main/materias_filtered/a_critica/venezuelanos/2016/05_jun/html/1.138688_236.html", "HTML")</f>
        <v/>
      </c>
      <c r="R2692">
        <f>HYPERLINK("https://raw.githubusercontent.com/marcosmapl/dataset_imigrantes/main/materias_filtered/a_critica/venezuelanos/2016/05_jun/txt/1.138688_236.txt", "TXT")</f>
        <v/>
      </c>
    </row>
    <row r="2693">
      <c r="A2693" s="1" t="n">
        <v>2691</v>
      </c>
      <c r="B2693" t="n">
        <v>2016</v>
      </c>
      <c r="C2693" s="2" t="n">
        <v>42534.41319444445</v>
      </c>
      <c r="D2693" t="inlineStr">
        <is>
          <t>G1</t>
        </is>
      </c>
      <c r="E2693" t="inlineStr">
        <is>
          <t>HAITIANOS</t>
        </is>
      </c>
      <c r="F2693" t="inlineStr"/>
      <c r="G2693" t="inlineStr">
        <is>
          <t>NA MORAISDO G1 RO</t>
        </is>
      </c>
      <c r="H2693" t="inlineStr">
        <is>
          <t>CICLISTA HAITIANA É ATROPELADA POR CARRO EM CICLOVIA DE PORTO VELHO</t>
        </is>
      </c>
      <c r="I2693" t="inlineStr"/>
      <c r="J2693" t="inlineStr">
        <is>
          <t>RONDÔNIA, PORTO VELHO</t>
        </is>
      </c>
      <c r="K2693" t="n">
        <v>2</v>
      </c>
      <c r="L2693" t="n">
        <v>5</v>
      </c>
      <c r="M2693" t="n">
        <v>0</v>
      </c>
      <c r="N2693" t="n">
        <v>0</v>
      </c>
      <c r="O2693" t="n">
        <v>12</v>
      </c>
      <c r="P2693">
        <f>HYPERLINK("http://g1.globo.com/ro/rondonia/noticia/2016/06/ciclista-haitiana-e-atropelada-por-carro-em-ciclovia-de-porto-velho.html", "URL")</f>
        <v/>
      </c>
      <c r="Q2693">
        <f>HYPERLINK("https://raw.githubusercontent.com/marcosmapl/dataset_imigrantes/main/materias_filtered/g1/haitianos/2016/05_jun/html/g1_953aee6e-230c-11ed-b24f-6dbe51e79fca_2634.html", "HTML")</f>
        <v/>
      </c>
      <c r="R2693">
        <f>HYPERLINK("https://raw.githubusercontent.com/marcosmapl/dataset_imigrantes/main/materias_filtered/g1/haitianos/2016/05_jun/txt/g1_953aee6e-230c-11ed-b24f-6dbe51e79fca_2634.txt", "TXT")</f>
        <v/>
      </c>
    </row>
    <row r="2694">
      <c r="A2694" s="1" t="n">
        <v>2692</v>
      </c>
      <c r="B2694" t="n">
        <v>2016</v>
      </c>
      <c r="C2694" s="2" t="n">
        <v>42532.75069444445</v>
      </c>
      <c r="D2694" t="inlineStr">
        <is>
          <t>A CRITICA</t>
        </is>
      </c>
      <c r="E2694" t="inlineStr">
        <is>
          <t>VENEZUELANOS</t>
        </is>
      </c>
      <c r="F2694" t="inlineStr"/>
      <c r="G2694" t="inlineStr">
        <is>
          <t>REUTERS BRASIL</t>
        </is>
      </c>
      <c r="H2694" t="inlineStr">
        <is>
          <t>BRASIL, ARGENTINA, CHILE E URUGUAI RECHAÇAM VIOLÊNCIA CONTRA DEPUTADOS NA VENEZUELA</t>
        </is>
      </c>
      <c r="I2694" t="inlineStr">
        <is>
          <t>UM COMUNICADO CONJUNTO DAS CHANCELARIAS DOS QUATRO PAÍSES, EMITIDO NESTE SÁBADO, PEDE QUE "COMO PROMETEU O GOVERNO (VENEZUELANO), SEJAM INVESTIGADAS AS RESPONSABILIDADES PELA VIOLÊNCIA"</t>
        </is>
      </c>
      <c r="J2694" t="inlineStr"/>
      <c r="K2694" t="n">
        <v>0</v>
      </c>
      <c r="L2694" t="n">
        <v>1</v>
      </c>
      <c r="M2694" t="n">
        <v>0</v>
      </c>
      <c r="N2694" t="n">
        <v>0</v>
      </c>
      <c r="O2694" t="n">
        <v>0</v>
      </c>
      <c r="P2694">
        <f>HYPERLINK("https://www.acritica.com/brasil-argentina-chile-e-uruguai-rechacam-violencia-contra-deputados-na-venezuela-1.138524", "URL")</f>
        <v/>
      </c>
      <c r="Q2694">
        <f>HYPERLINK("https://raw.githubusercontent.com/marcosmapl/dataset_imigrantes/main/materias_filtered/a_critica/venezuelanos/2016/05_jun/html/1.138524_970.html", "HTML")</f>
        <v/>
      </c>
      <c r="R2694">
        <f>HYPERLINK("https://raw.githubusercontent.com/marcosmapl/dataset_imigrantes/main/materias_filtered/a_critica/venezuelanos/2016/05_jun/txt/1.138524_970.txt", "TXT")</f>
        <v/>
      </c>
    </row>
    <row r="2695">
      <c r="A2695" s="1" t="n">
        <v>2693</v>
      </c>
      <c r="B2695" t="n">
        <v>2016</v>
      </c>
      <c r="C2695" s="2" t="n">
        <v>42530.04583333333</v>
      </c>
      <c r="D2695" t="inlineStr">
        <is>
          <t>A CRITICA</t>
        </is>
      </c>
      <c r="E2695" t="inlineStr">
        <is>
          <t>HAITIANOS</t>
        </is>
      </c>
      <c r="F2695" t="inlineStr">
        <is>
          <t>ESPORTES</t>
        </is>
      </c>
      <c r="G2695" t="inlineStr">
        <is>
          <t>ACRÍTICA.COM</t>
        </is>
      </c>
      <c r="H2695" t="inlineStr">
        <is>
          <t>BRASIL SABOREIA O OUTRO LADO DE UM 7 A 1 EM GOLEADA SOBRE O HAITI NA COPA AMÉRICA</t>
        </is>
      </c>
      <c r="I2695" t="inlineStr">
        <is>
          <t>EM JOGO DE MUITOS ESPAÇOS NA DEFESA HAITIANA, BRASIL APROVEITA OPORTUNIDADE E GOLEIA.</t>
        </is>
      </c>
      <c r="J2695" t="inlineStr"/>
      <c r="K2695" t="n">
        <v>0</v>
      </c>
      <c r="L2695" t="n">
        <v>1</v>
      </c>
      <c r="M2695" t="n">
        <v>0</v>
      </c>
      <c r="N2695" t="n">
        <v>0</v>
      </c>
      <c r="O2695" t="n">
        <v>0</v>
      </c>
      <c r="P2695">
        <f>HYPERLINK("https://www.acritica.com/esportes/brasil-saboreia-o-outro-lado-de-um-7-a-1-em-goleada-sobre-o-haiti-na-copa-america-1.137711", "URL")</f>
        <v/>
      </c>
      <c r="Q2695">
        <f>HYPERLINK("https://raw.githubusercontent.com/marcosmapl/dataset_imigrantes/main/materias_filtered/a_critica/haitianos/2016/05_jun/html/1.137711_801.html", "HTML")</f>
        <v/>
      </c>
      <c r="R2695">
        <f>HYPERLINK("https://raw.githubusercontent.com/marcosmapl/dataset_imigrantes/main/materias_filtered/a_critica/haitianos/2016/05_jun/txt/1.137711_801.txt", "TXT")</f>
        <v/>
      </c>
    </row>
    <row r="2696">
      <c r="A2696" s="1" t="n">
        <v>2694</v>
      </c>
      <c r="B2696" t="n">
        <v>2016</v>
      </c>
      <c r="C2696" s="2" t="n">
        <v>42529.4</v>
      </c>
      <c r="D2696" t="inlineStr">
        <is>
          <t>G1</t>
        </is>
      </c>
      <c r="E2696" t="inlineStr">
        <is>
          <t>VENEZUELANOS</t>
        </is>
      </c>
      <c r="F2696" t="inlineStr"/>
      <c r="G2696" t="inlineStr">
        <is>
          <t>EL PARDODA BBC MUNDO</t>
        </is>
      </c>
      <c r="H2696" t="inlineStr">
        <is>
          <t>COMO CRISE TRANSFORMOU CIDADE 'MAIS FRIA' DA VENEZUELA NA MAIS QUENTE</t>
        </is>
      </c>
      <c r="I2696" t="inlineStr"/>
      <c r="J2696" t="inlineStr">
        <is>
          <t>VENEZUELA</t>
        </is>
      </c>
      <c r="K2696" t="n">
        <v>1</v>
      </c>
      <c r="L2696" t="n">
        <v>6</v>
      </c>
      <c r="M2696" t="n">
        <v>0</v>
      </c>
      <c r="N2696" t="n">
        <v>0</v>
      </c>
      <c r="O2696" t="n">
        <v>17</v>
      </c>
      <c r="P2696">
        <f>HYPERLINK("http://g1.globo.com/mundo/noticia/2016/06/como-crise-transformou-cidade-mais-fria-da-venezuela-na-mais-quente.html", "URL")</f>
        <v/>
      </c>
      <c r="Q2696">
        <f>HYPERLINK("https://raw.githubusercontent.com/marcosmapl/dataset_imigrantes/main/materias_filtered/g1/venezuelanos/2016/05_jun/html/g1_014ac91e-2329-11ed-b24f-6dbe51e79fca_4094.html", "HTML")</f>
        <v/>
      </c>
      <c r="R2696">
        <f>HYPERLINK("https://raw.githubusercontent.com/marcosmapl/dataset_imigrantes/main/materias_filtered/g1/venezuelanos/2016/05_jun/txt/g1_014ac91e-2329-11ed-b24f-6dbe51e79fca_4094.txt", "TXT")</f>
        <v/>
      </c>
    </row>
    <row r="2697">
      <c r="A2697" s="1" t="n">
        <v>2695</v>
      </c>
      <c r="B2697" t="n">
        <v>2016</v>
      </c>
      <c r="C2697" s="2" t="n">
        <v>42529.27569444444</v>
      </c>
      <c r="D2697" t="inlineStr">
        <is>
          <t>G1</t>
        </is>
      </c>
      <c r="E2697" t="inlineStr">
        <is>
          <t>VENEZUELANOS</t>
        </is>
      </c>
      <c r="F2697" t="inlineStr"/>
      <c r="G2697" t="inlineStr">
        <is>
          <t>1 DF</t>
        </is>
      </c>
      <c r="H2697" t="inlineStr">
        <is>
          <t>VENEZUELANA É PRESA NO AEROPORTO DO DF SUSPEITA DE FURTAR CINCO PERFUMES</t>
        </is>
      </c>
      <c r="I2697" t="inlineStr"/>
      <c r="J2697" t="inlineStr">
        <is>
          <t>BRASÍLIA, DISTRITO FEDERAL</t>
        </is>
      </c>
      <c r="K2697" t="n">
        <v>2</v>
      </c>
      <c r="L2697" t="n">
        <v>6</v>
      </c>
      <c r="M2697" t="n">
        <v>0</v>
      </c>
      <c r="N2697" t="n">
        <v>0</v>
      </c>
      <c r="O2697" t="n">
        <v>10</v>
      </c>
      <c r="P2697">
        <f>HYPERLINK("http://g1.globo.com/distrito-federal/noticia/2016/06/venezuelana-e-presa-no-aeroporto-do-df-suspeita-de-furtar-cinco-perfumes.html", "URL")</f>
        <v/>
      </c>
      <c r="Q2697">
        <f>HYPERLINK("https://raw.githubusercontent.com/marcosmapl/dataset_imigrantes/main/materias_filtered/g1/venezuelanos/2016/05_jun/html/g1_161d572e-2308-11ed-b24f-6dbe51e79fca_2364.html", "HTML")</f>
        <v/>
      </c>
      <c r="R2697">
        <f>HYPERLINK("https://raw.githubusercontent.com/marcosmapl/dataset_imigrantes/main/materias_filtered/g1/venezuelanos/2016/05_jun/txt/g1_161d572e-2308-11ed-b24f-6dbe51e79fca_2364.txt", "TXT")</f>
        <v/>
      </c>
    </row>
    <row r="2698">
      <c r="A2698" s="1" t="n">
        <v>2696</v>
      </c>
      <c r="B2698" t="n">
        <v>2016</v>
      </c>
      <c r="C2698" s="2" t="n">
        <v>42528.38888888889</v>
      </c>
      <c r="D2698" t="inlineStr">
        <is>
          <t>G1</t>
        </is>
      </c>
      <c r="E2698" t="inlineStr">
        <is>
          <t>VENEZUELANOS</t>
        </is>
      </c>
      <c r="F2698" t="inlineStr"/>
      <c r="G2698" t="inlineStr">
        <is>
          <t>RANCE PRESSE</t>
        </is>
      </c>
      <c r="H2698" t="inlineStr">
        <is>
          <t>OPOSIÇÃO VENEZUELANA ESPERA AUTORIZAÇÃO PARA AVANÇO DE REFERENDO</t>
        </is>
      </c>
      <c r="I2698" t="inlineStr"/>
      <c r="J2698" t="inlineStr">
        <is>
          <t>NICOLÁS MADURO, VENEZUELA</t>
        </is>
      </c>
      <c r="K2698" t="n">
        <v>2</v>
      </c>
      <c r="L2698" t="n">
        <v>7</v>
      </c>
      <c r="M2698" t="n">
        <v>0</v>
      </c>
      <c r="N2698" t="n">
        <v>0</v>
      </c>
      <c r="O2698" t="n">
        <v>21</v>
      </c>
      <c r="P2698">
        <f>HYPERLINK("http://g1.globo.com/mundo/noticia/2016/06/oposicao-venezuelana-espera-autorizacao-para-avancar-com-referendo.html", "URL")</f>
        <v/>
      </c>
      <c r="Q2698">
        <f>HYPERLINK("https://raw.githubusercontent.com/marcosmapl/dataset_imigrantes/main/materias_filtered/g1/venezuelanos/2016/05_jun/html/g1_6440d248-2310-11ed-b24f-6dbe51e79fca_2858.html", "HTML")</f>
        <v/>
      </c>
      <c r="R2698">
        <f>HYPERLINK("https://raw.githubusercontent.com/marcosmapl/dataset_imigrantes/main/materias_filtered/g1/venezuelanos/2016/05_jun/txt/g1_6440d248-2310-11ed-b24f-6dbe51e79fca_2858.txt", "TXT")</f>
        <v/>
      </c>
    </row>
    <row r="2699">
      <c r="A2699" s="1" t="n">
        <v>2697</v>
      </c>
      <c r="B2699" t="n">
        <v>2016</v>
      </c>
      <c r="C2699" s="2" t="n">
        <v>42527.37222222222</v>
      </c>
      <c r="D2699" t="inlineStr">
        <is>
          <t>G1</t>
        </is>
      </c>
      <c r="E2699" t="inlineStr">
        <is>
          <t>VENEZUELANOS</t>
        </is>
      </c>
      <c r="F2699" t="inlineStr"/>
      <c r="G2699" t="inlineStr">
        <is>
          <t>RANCE PRESSE</t>
        </is>
      </c>
      <c r="H2699" t="inlineStr">
        <is>
          <t>OPOSIÇÃO VENEZUELANA VOLTA ÀS RUAS POR REFERENDO CONTRA MADURO</t>
        </is>
      </c>
      <c r="I2699" t="inlineStr"/>
      <c r="J2699" t="inlineStr">
        <is>
          <t>NICOLÁS MADURO, VENEZUELA</t>
        </is>
      </c>
      <c r="K2699" t="n">
        <v>2</v>
      </c>
      <c r="L2699" t="n">
        <v>7</v>
      </c>
      <c r="M2699" t="n">
        <v>0</v>
      </c>
      <c r="N2699" t="n">
        <v>0</v>
      </c>
      <c r="O2699" t="n">
        <v>19</v>
      </c>
      <c r="P2699">
        <f>HYPERLINK("http://g1.globo.com/mundo/noticia/2016/06/oposicao-venezuelana-volta-as-ruas-por-referendo-contra-maduro.html", "URL")</f>
        <v/>
      </c>
      <c r="Q2699">
        <f>HYPERLINK("https://raw.githubusercontent.com/marcosmapl/dataset_imigrantes/main/materias_filtered/g1/venezuelanos/2016/05_jun/html/g1_db6a4f06-2307-11ed-b24f-6dbe51e79fca_2347.html", "HTML")</f>
        <v/>
      </c>
      <c r="R2699">
        <f>HYPERLINK("https://raw.githubusercontent.com/marcosmapl/dataset_imigrantes/main/materias_filtered/g1/venezuelanos/2016/05_jun/txt/g1_db6a4f06-2307-11ed-b24f-6dbe51e79fca_2347.txt", "TXT")</f>
        <v/>
      </c>
    </row>
    <row r="2700">
      <c r="A2700" s="1" t="n">
        <v>2698</v>
      </c>
      <c r="B2700" t="n">
        <v>2016</v>
      </c>
      <c r="C2700" s="2" t="n">
        <v>42526.6125</v>
      </c>
      <c r="D2700" t="inlineStr">
        <is>
          <t>G1</t>
        </is>
      </c>
      <c r="E2700" t="inlineStr">
        <is>
          <t>VENEZUELANOS</t>
        </is>
      </c>
      <c r="F2700" t="inlineStr"/>
      <c r="G2700" t="inlineStr">
        <is>
          <t>Y COSTADO G1 RR</t>
        </is>
      </c>
      <c r="H2700" t="inlineStr">
        <is>
          <t>APÓS UMA SEMANA, VENEZUELANO SEGUE DESAPARECIDO EM RORAIMA</t>
        </is>
      </c>
      <c r="I2700" t="inlineStr"/>
      <c r="J2700" t="inlineStr">
        <is>
          <t>BOA VISTA</t>
        </is>
      </c>
      <c r="K2700" t="n">
        <v>1</v>
      </c>
      <c r="L2700" t="n">
        <v>5</v>
      </c>
      <c r="M2700" t="n">
        <v>0</v>
      </c>
      <c r="N2700" t="n">
        <v>0</v>
      </c>
      <c r="O2700" t="n">
        <v>10</v>
      </c>
      <c r="P2700">
        <f>HYPERLINK("http://g1.globo.com/rr/roraima/noticia/2016/06/apos-uma-semana-venezuelano-segue-desaparecido-em-roraima.html", "URL")</f>
        <v/>
      </c>
      <c r="Q2700">
        <f>HYPERLINK("https://raw.githubusercontent.com/marcosmapl/dataset_imigrantes/main/materias_filtered/g1/venezuelanos/2016/05_jun/html/g1_882db97a-232c-11ed-b24f-6dbe51e79fca_4311.html", "HTML")</f>
        <v/>
      </c>
      <c r="R2700">
        <f>HYPERLINK("https://raw.githubusercontent.com/marcosmapl/dataset_imigrantes/main/materias_filtered/g1/venezuelanos/2016/05_jun/txt/g1_882db97a-232c-11ed-b24f-6dbe51e79fca_4311.txt", "TXT")</f>
        <v/>
      </c>
    </row>
    <row r="2701">
      <c r="A2701" s="1" t="n">
        <v>2699</v>
      </c>
      <c r="B2701" t="n">
        <v>2016</v>
      </c>
      <c r="C2701" s="2" t="n">
        <v>42522.86273148148</v>
      </c>
      <c r="D2701" t="inlineStr">
        <is>
          <t>A CRITICA</t>
        </is>
      </c>
      <c r="E2701" t="inlineStr">
        <is>
          <t>VENEZUELANOS</t>
        </is>
      </c>
      <c r="F2701" t="inlineStr"/>
      <c r="G2701" t="inlineStr">
        <is>
          <t>NICHOLAS CASEY © 2016 NEW YORK TIMES NEWS SERVICE</t>
        </is>
      </c>
      <c r="H2701" t="inlineStr">
        <is>
          <t>HOSPITAIS DA VENEZUELA ENTRAM EM COLAPSO POR CAUSA DA CRISE ECONÔMICA DO PAÍS</t>
        </is>
      </c>
      <c r="I2701" t="inlineStr">
        <is>
          <t>A CRISE VENEZUELANA EXPLODIU EM UMA EMERGÊNCIA DE SAÚDE PÚBLICA, PROVOCANDO A MORTE DIVERSOS VENEZUELANOS - E ISSO É APENAS PARTE DE UM PROBLEMA MAIOR QUE SE TORNOU TÃO GRAVE QUE LEVOU O PRESIDENTE NICOLÁS MADURO A IMPOR UM ESTADO DE EMERGÊNCIA</t>
        </is>
      </c>
      <c r="J2701" t="inlineStr"/>
      <c r="K2701" t="n">
        <v>0</v>
      </c>
      <c r="L2701" t="n">
        <v>1</v>
      </c>
      <c r="M2701" t="n">
        <v>0</v>
      </c>
      <c r="N2701" t="n">
        <v>0</v>
      </c>
      <c r="O2701" t="n">
        <v>0</v>
      </c>
      <c r="P2701">
        <f>HYPERLINK("https://www.acritica.com/hospitais-da-venezuela-entram-em-colapso-por-causa-da-crise-economica-do-pais-1.157010", "URL")</f>
        <v/>
      </c>
      <c r="Q2701">
        <f>HYPERLINK("https://raw.githubusercontent.com/marcosmapl/dataset_imigrantes/main/materias_filtered/a_critica/venezuelanos/2016/05_jun/html/1.157010_212.html", "HTML")</f>
        <v/>
      </c>
      <c r="R2701">
        <f>HYPERLINK("https://raw.githubusercontent.com/marcosmapl/dataset_imigrantes/main/materias_filtered/a_critica/venezuelanos/2016/05_jun/txt/1.157010_212.txt", "TXT")</f>
        <v/>
      </c>
    </row>
    <row r="2702">
      <c r="A2702" s="1" t="n">
        <v>2700</v>
      </c>
      <c r="B2702" t="n">
        <v>2016</v>
      </c>
      <c r="C2702" s="2" t="n">
        <v>42518.43888888889</v>
      </c>
      <c r="D2702" t="inlineStr">
        <is>
          <t>G1</t>
        </is>
      </c>
      <c r="E2702" t="inlineStr">
        <is>
          <t>HAITIANOS</t>
        </is>
      </c>
      <c r="F2702" t="inlineStr"/>
      <c r="G2702" t="inlineStr">
        <is>
          <t>1 MT</t>
        </is>
      </c>
      <c r="H2702" t="inlineStr">
        <is>
          <t>AMIGOS TENTAM AJUDAR HAITIANO A TRAZER PARA MT O FILHO QUE NÃO VÊ HÁ 3 ANOS</t>
        </is>
      </c>
      <c r="I2702" t="inlineStr"/>
      <c r="J2702" t="inlineStr">
        <is>
          <t>CUIABÁ</t>
        </is>
      </c>
      <c r="K2702" t="n">
        <v>1</v>
      </c>
      <c r="L2702" t="n">
        <v>5</v>
      </c>
      <c r="M2702" t="n">
        <v>0</v>
      </c>
      <c r="N2702" t="n">
        <v>0</v>
      </c>
      <c r="O2702" t="n">
        <v>12</v>
      </c>
      <c r="P2702">
        <f>HYPERLINK("http://g1.globo.com/mato-grosso/noticia/2016/05/amigos-tentam-ajudar-haitiano-trazer-para-mt-o-filho-que-nao-ve-ha-3-anos.html", "URL")</f>
        <v/>
      </c>
      <c r="Q2702">
        <f>HYPERLINK("https://raw.githubusercontent.com/marcosmapl/dataset_imigrantes/main/materias_filtered/g1/haitianos/2016/04_mai/html/g1_1f71f334-231c-11ed-b24f-6dbe51e79fca_3430.html", "HTML")</f>
        <v/>
      </c>
      <c r="R2702">
        <f>HYPERLINK("https://raw.githubusercontent.com/marcosmapl/dataset_imigrantes/main/materias_filtered/g1/haitianos/2016/04_mai/txt/g1_1f71f334-231c-11ed-b24f-6dbe51e79fca_3430.txt", "TXT")</f>
        <v/>
      </c>
    </row>
    <row r="2703">
      <c r="A2703" s="1" t="n">
        <v>2701</v>
      </c>
      <c r="B2703" t="n">
        <v>2016</v>
      </c>
      <c r="C2703" s="2" t="n">
        <v>42517.34791666667</v>
      </c>
      <c r="D2703" t="inlineStr">
        <is>
          <t>G1</t>
        </is>
      </c>
      <c r="E2703" t="inlineStr">
        <is>
          <t>VENEZUELANOS</t>
        </is>
      </c>
      <c r="F2703" t="inlineStr"/>
      <c r="G2703" t="inlineStr">
        <is>
          <t>SANCHISDA BBC</t>
        </is>
      </c>
      <c r="H2703" t="inlineStr">
        <is>
          <t>O QUE A TRÁGICA HISTÓRIA DO 'MENINO DO CARTAZ' COM CÂNCER REVELA SOBRE A CRISE VENEZUELANA</t>
        </is>
      </c>
      <c r="I2703" t="inlineStr"/>
      <c r="J2703" t="inlineStr">
        <is>
          <t>VENEZUELA</t>
        </is>
      </c>
      <c r="K2703" t="n">
        <v>1</v>
      </c>
      <c r="L2703" t="n">
        <v>6</v>
      </c>
      <c r="M2703" t="n">
        <v>0</v>
      </c>
      <c r="N2703" t="n">
        <v>0</v>
      </c>
      <c r="O2703" t="n">
        <v>17</v>
      </c>
      <c r="P2703">
        <f>HYPERLINK("http://g1.globo.com/mundo/noticia/2016/05/o-que-a-tragica-historia-do-menino-do-cartaz-com-cancer-revela-sobre-a-crise-venezuelana.html", "URL")</f>
        <v/>
      </c>
      <c r="Q2703">
        <f>HYPERLINK("https://raw.githubusercontent.com/marcosmapl/dataset_imigrantes/main/materias_filtered/g1/venezuelanos/2016/04_mai/html/g1_c79908e0-230d-11ed-b24f-6dbe51e79fca_2705.html", "HTML")</f>
        <v/>
      </c>
      <c r="R2703">
        <f>HYPERLINK("https://raw.githubusercontent.com/marcosmapl/dataset_imigrantes/main/materias_filtered/g1/venezuelanos/2016/04_mai/txt/g1_c79908e0-230d-11ed-b24f-6dbe51e79fca_2705.txt", "TXT")</f>
        <v/>
      </c>
    </row>
    <row r="2704">
      <c r="A2704" s="1" t="n">
        <v>2702</v>
      </c>
      <c r="B2704" t="n">
        <v>2016</v>
      </c>
      <c r="C2704" s="2" t="n">
        <v>42515.61666666667</v>
      </c>
      <c r="D2704" t="inlineStr">
        <is>
          <t>G1</t>
        </is>
      </c>
      <c r="E2704" t="inlineStr">
        <is>
          <t>VENEZUELANOS</t>
        </is>
      </c>
      <c r="F2704" t="inlineStr"/>
      <c r="G2704" t="inlineStr">
        <is>
          <t>FP</t>
        </is>
      </c>
      <c r="H2704" t="inlineStr">
        <is>
          <t>OPOSIÇÃO VENEZUELANA SAI ÀS RUAS POR REFERENDO REVOGATÓRIO CONTRA MADURO</t>
        </is>
      </c>
      <c r="I2704" t="inlineStr"/>
      <c r="J2704" t="inlineStr">
        <is>
          <t>HENRIQUE CAPRILES, NICOLÁS MADURO, VENEZUELA</t>
        </is>
      </c>
      <c r="K2704" t="n">
        <v>3</v>
      </c>
      <c r="L2704" t="n">
        <v>8</v>
      </c>
      <c r="M2704" t="n">
        <v>0</v>
      </c>
      <c r="N2704" t="n">
        <v>0</v>
      </c>
      <c r="O2704" t="n">
        <v>21</v>
      </c>
      <c r="P2704">
        <f>HYPERLINK("http://g1.globo.com/mundo/noticia/2016/05/oposicao-venezuelana-sai-ruas-por-referendo-revogatorio-contra-maduro.html", "URL")</f>
        <v/>
      </c>
      <c r="Q2704">
        <f>HYPERLINK("https://raw.githubusercontent.com/marcosmapl/dataset_imigrantes/main/materias_filtered/g1/venezuelanos/2016/04_mai/html/g1_fe14c796-2309-11ed-b24f-6dbe51e79fca_2479.html", "HTML")</f>
        <v/>
      </c>
      <c r="R2704">
        <f>HYPERLINK("https://raw.githubusercontent.com/marcosmapl/dataset_imigrantes/main/materias_filtered/g1/venezuelanos/2016/04_mai/txt/g1_fe14c796-2309-11ed-b24f-6dbe51e79fca_2479.txt", "TXT")</f>
        <v/>
      </c>
    </row>
    <row r="2705">
      <c r="A2705" s="1" t="n">
        <v>2703</v>
      </c>
      <c r="B2705" t="n">
        <v>2016</v>
      </c>
      <c r="C2705" s="2" t="n">
        <v>42513.68333333333</v>
      </c>
      <c r="D2705" t="inlineStr">
        <is>
          <t>G1</t>
        </is>
      </c>
      <c r="E2705" t="inlineStr">
        <is>
          <t>HAITIANOS</t>
        </is>
      </c>
      <c r="F2705" t="inlineStr"/>
      <c r="G2705" t="inlineStr">
        <is>
          <t>1 PIRACICABA E REGIÃO</t>
        </is>
      </c>
      <c r="H2705" t="inlineStr">
        <is>
          <t>PIRACICABA OFERECE CURSO GRATUITO DE PORTUGUÊS PARA HAITIANOS NA SEMTRE</t>
        </is>
      </c>
      <c r="I2705" t="inlineStr"/>
      <c r="J2705" t="inlineStr">
        <is>
          <t>PIRACICABA</t>
        </is>
      </c>
      <c r="K2705" t="n">
        <v>1</v>
      </c>
      <c r="L2705" t="n">
        <v>5</v>
      </c>
      <c r="M2705" t="n">
        <v>0</v>
      </c>
      <c r="N2705" t="n">
        <v>0</v>
      </c>
      <c r="O2705" t="n">
        <v>12</v>
      </c>
      <c r="P2705">
        <f>HYPERLINK("http://g1.globo.com/sp/piracicaba-regiao/noticia/2016/05/piracicaba-oferece-curso-gratuito-de-portugues-para-haitianos-na-semtre.html", "URL")</f>
        <v/>
      </c>
      <c r="Q2705">
        <f>HYPERLINK("https://raw.githubusercontent.com/marcosmapl/dataset_imigrantes/main/materias_filtered/g1/haitianos/2016/04_mai/html/g1_d66a1f82-22f7-11ed-b24f-6dbe51e79fca_2099.html", "HTML")</f>
        <v/>
      </c>
      <c r="R2705">
        <f>HYPERLINK("https://raw.githubusercontent.com/marcosmapl/dataset_imigrantes/main/materias_filtered/g1/haitianos/2016/04_mai/txt/g1_d66a1f82-22f7-11ed-b24f-6dbe51e79fca_2099.txt", "TXT")</f>
        <v/>
      </c>
    </row>
    <row r="2706">
      <c r="A2706" s="1" t="n">
        <v>2704</v>
      </c>
      <c r="B2706" t="n">
        <v>2016</v>
      </c>
      <c r="C2706" s="2" t="n">
        <v>42511.40694444445</v>
      </c>
      <c r="D2706" t="inlineStr">
        <is>
          <t>G1</t>
        </is>
      </c>
      <c r="E2706" t="inlineStr">
        <is>
          <t>HAITIANOS</t>
        </is>
      </c>
      <c r="F2706" t="inlineStr"/>
      <c r="G2706" t="inlineStr">
        <is>
          <t xml:space="preserve"> FRANCISDO G1 RO</t>
        </is>
      </c>
      <c r="H2706" t="inlineStr">
        <is>
          <t>INSTITUIÇÕES E SOCIEDADE DEBATEM NUANCES DA ADOÇÃO EM PORTO VELHO</t>
        </is>
      </c>
      <c r="I2706" t="inlineStr"/>
      <c r="J2706" t="inlineStr">
        <is>
          <t>RONDÔNIA, PORTO VELHO</t>
        </is>
      </c>
      <c r="K2706" t="n">
        <v>2</v>
      </c>
      <c r="L2706" t="n">
        <v>6</v>
      </c>
      <c r="M2706" t="n">
        <v>0</v>
      </c>
      <c r="N2706" t="n">
        <v>0</v>
      </c>
      <c r="O2706" t="n">
        <v>13</v>
      </c>
      <c r="P2706">
        <f>HYPERLINK("http://g1.globo.com/ro/rondonia/noticia/2016/05/instituicoes-e-sociedade-debatem-nuances-da-adocao-em-porto-velho.html", "URL")</f>
        <v/>
      </c>
      <c r="Q2706">
        <f>HYPERLINK("https://raw.githubusercontent.com/marcosmapl/dataset_imigrantes/main/materias_filtered/g1/haitianos/2016/04_mai/html/g1_d0b2a3a6-230c-11ed-b24f-6dbe51e79fca_2649.html", "HTML")</f>
        <v/>
      </c>
      <c r="R2706">
        <f>HYPERLINK("https://raw.githubusercontent.com/marcosmapl/dataset_imigrantes/main/materias_filtered/g1/haitianos/2016/04_mai/txt/g1_d0b2a3a6-230c-11ed-b24f-6dbe51e79fca_2649.txt", "TXT")</f>
        <v/>
      </c>
    </row>
    <row r="2707">
      <c r="A2707" s="1" t="n">
        <v>2705</v>
      </c>
      <c r="B2707" t="n">
        <v>2016</v>
      </c>
      <c r="C2707" s="2" t="n">
        <v>42510.54652777778</v>
      </c>
      <c r="D2707" t="inlineStr">
        <is>
          <t>G1</t>
        </is>
      </c>
      <c r="E2707" t="inlineStr">
        <is>
          <t>HAITIANOS</t>
        </is>
      </c>
      <c r="F2707" t="inlineStr"/>
      <c r="G2707" t="inlineStr">
        <is>
          <t>1 PR, COM INFORMAÇÕES DA RPC EM FOZ DO IGUAÇU</t>
        </is>
      </c>
      <c r="H2707" t="inlineStr">
        <is>
          <t>IMAGENS MOSTRAM MOMENTO EM QUE ESTUDANTE HAITIANO É AGREDIDO NO PR</t>
        </is>
      </c>
      <c r="I2707" t="inlineStr"/>
      <c r="J2707" t="inlineStr">
        <is>
          <t>PARANÁ, CAFELÂNDIA, FOZ DO IGUAÇU</t>
        </is>
      </c>
      <c r="K2707" t="n">
        <v>3</v>
      </c>
      <c r="L2707" t="n">
        <v>4</v>
      </c>
      <c r="M2707" t="n">
        <v>0</v>
      </c>
      <c r="N2707" t="n">
        <v>0</v>
      </c>
      <c r="O2707" t="n">
        <v>14</v>
      </c>
      <c r="P2707">
        <f>HYPERLINK("http://g1.globo.com/pr/oeste-sudoeste/noticia/2016/05/imagens-mostram-momento-em-que-estudante-haitiano-e-agredido-no-pr.html", "URL")</f>
        <v/>
      </c>
      <c r="Q2707">
        <f>HYPERLINK("https://raw.githubusercontent.com/marcosmapl/dataset_imigrantes/main/materias_filtered/g1/haitianos/2016/04_mai/html/g1_2e7a0614-2321-11ed-b24f-6dbe51e79fca_3683.html", "HTML")</f>
        <v/>
      </c>
      <c r="R2707">
        <f>HYPERLINK("https://raw.githubusercontent.com/marcosmapl/dataset_imigrantes/main/materias_filtered/g1/haitianos/2016/04_mai/txt/g1_2e7a0614-2321-11ed-b24f-6dbe51e79fca_3683.txt", "TXT")</f>
        <v/>
      </c>
    </row>
    <row r="2708">
      <c r="A2708" s="1" t="n">
        <v>2706</v>
      </c>
      <c r="B2708" t="n">
        <v>2016</v>
      </c>
      <c r="C2708" s="2" t="n">
        <v>42506.85902777778</v>
      </c>
      <c r="D2708" t="inlineStr">
        <is>
          <t>G1</t>
        </is>
      </c>
      <c r="E2708" t="inlineStr">
        <is>
          <t>HAITIANOS</t>
        </is>
      </c>
      <c r="F2708" t="inlineStr"/>
      <c r="G2708" t="inlineStr">
        <is>
          <t>1 PR, COM INFORMAÇÕES DA RPC EM FOZ DO IGUAÇU</t>
        </is>
      </c>
      <c r="H2708" t="inlineStr">
        <is>
          <t>UNIVERSIDADE REPUDIA AGRESSÃO A ESTUDANTE HAITIANO EM FOZ DO IGUAÇU</t>
        </is>
      </c>
      <c r="I2708" t="inlineStr"/>
      <c r="J2708" t="inlineStr">
        <is>
          <t>UNILA, PARANÁ, FOZ DO IGUAÇU</t>
        </is>
      </c>
      <c r="K2708" t="n">
        <v>3</v>
      </c>
      <c r="L2708" t="n">
        <v>4</v>
      </c>
      <c r="M2708" t="n">
        <v>0</v>
      </c>
      <c r="N2708" t="n">
        <v>0</v>
      </c>
      <c r="O2708" t="n">
        <v>14</v>
      </c>
      <c r="P2708">
        <f>HYPERLINK("http://g1.globo.com/pr/oeste-sudoeste/noticia/2016/05/universidade-repudia-agressao-estudante-haitiano-em-foz-do-iguacu.html", "URL")</f>
        <v/>
      </c>
      <c r="Q2708">
        <f>HYPERLINK("https://raw.githubusercontent.com/marcosmapl/dataset_imigrantes/main/materias_filtered/g1/haitianos/2016/04_mai/html/g1_410b645a-22f2-11ed-b24f-6dbe51e79fca_1787.html", "HTML")</f>
        <v/>
      </c>
      <c r="R2708">
        <f>HYPERLINK("https://raw.githubusercontent.com/marcosmapl/dataset_imigrantes/main/materias_filtered/g1/haitianos/2016/04_mai/txt/g1_410b645a-22f2-11ed-b24f-6dbe51e79fca_1787.txt", "TXT")</f>
        <v/>
      </c>
    </row>
    <row r="2709">
      <c r="A2709" s="1" t="n">
        <v>2707</v>
      </c>
      <c r="B2709" t="n">
        <v>2016</v>
      </c>
      <c r="C2709" s="2" t="n">
        <v>42506.54166666666</v>
      </c>
      <c r="D2709" t="inlineStr">
        <is>
          <t>G1</t>
        </is>
      </c>
      <c r="E2709" t="inlineStr">
        <is>
          <t>HAITIANOS</t>
        </is>
      </c>
      <c r="F2709" t="inlineStr"/>
      <c r="G2709" t="inlineStr">
        <is>
          <t>1 PR, COM  INFORMAÇÕES DA RPC EM FOZ DO IGUAÇU</t>
        </is>
      </c>
      <c r="H2709" t="inlineStr">
        <is>
          <t>HAITIANO É VITIMA DE AGRESSÃO NO CENTRO DE FOZ DO IGUAÇU, NO PARANÁ</t>
        </is>
      </c>
      <c r="I2709" t="inlineStr"/>
      <c r="J2709" t="inlineStr">
        <is>
          <t>UNILA, PARANÁ, CAFELÂNDIA</t>
        </is>
      </c>
      <c r="K2709" t="n">
        <v>3</v>
      </c>
      <c r="L2709" t="n">
        <v>3</v>
      </c>
      <c r="M2709" t="n">
        <v>0</v>
      </c>
      <c r="N2709" t="n">
        <v>0</v>
      </c>
      <c r="O2709" t="n">
        <v>12</v>
      </c>
      <c r="P2709">
        <f>HYPERLINK("http://g1.globo.com/pr/oeste-sudoeste/noticia/2016/05/haitiano-e-vitima-de-agressao-no-centro-de-foz-do-iguacu-no-parana.html", "URL")</f>
        <v/>
      </c>
      <c r="Q2709">
        <f>HYPERLINK("https://raw.githubusercontent.com/marcosmapl/dataset_imigrantes/main/materias_filtered/g1/haitianos/2016/04_mai/html/g1_cbfdefb0-231f-11ed-b24f-6dbe51e79fca_3644.html", "HTML")</f>
        <v/>
      </c>
      <c r="R2709">
        <f>HYPERLINK("https://raw.githubusercontent.com/marcosmapl/dataset_imigrantes/main/materias_filtered/g1/haitianos/2016/04_mai/txt/g1_cbfdefb0-231f-11ed-b24f-6dbe51e79fca_3644.txt", "TXT")</f>
        <v/>
      </c>
    </row>
    <row r="2710">
      <c r="A2710" s="1" t="n">
        <v>2708</v>
      </c>
      <c r="B2710" t="n">
        <v>2016</v>
      </c>
      <c r="C2710" s="2" t="n">
        <v>42504.86597222222</v>
      </c>
      <c r="D2710" t="inlineStr">
        <is>
          <t>G1</t>
        </is>
      </c>
      <c r="E2710" t="inlineStr">
        <is>
          <t>VENEZUELANOS</t>
        </is>
      </c>
      <c r="F2710" t="inlineStr"/>
      <c r="G2710" t="inlineStr"/>
      <c r="H2710" t="inlineStr">
        <is>
          <t>OPOSIÇÃO VENEZUELANA CRITICA ESTADO DE EXCEÇÃO E EMERGÊNCIA ECONÔMICA</t>
        </is>
      </c>
      <c r="I2710" t="inlineStr"/>
      <c r="J2710" t="inlineStr">
        <is>
          <t>NICOLÁS MADURO</t>
        </is>
      </c>
      <c r="K2710" t="n">
        <v>1</v>
      </c>
      <c r="L2710" t="n">
        <v>3</v>
      </c>
      <c r="M2710" t="n">
        <v>0</v>
      </c>
      <c r="N2710" t="n">
        <v>0</v>
      </c>
      <c r="O2710" t="n">
        <v>10</v>
      </c>
      <c r="P2710">
        <f>HYPERLINK("http://g1.globo.com/jornal-nacional/noticia/2016/05/oposicao-venezuelana-critica-estado-de-excecao-e-emergencia-economica.html", "URL")</f>
        <v/>
      </c>
      <c r="Q2710">
        <f>HYPERLINK("https://raw.githubusercontent.com/marcosmapl/dataset_imigrantes/main/materias_filtered/g1/venezuelanos/2016/04_mai/html/g1_29878976-231a-11ed-b24f-6dbe51e79fca_3320.html", "HTML")</f>
        <v/>
      </c>
      <c r="R2710">
        <f>HYPERLINK("https://raw.githubusercontent.com/marcosmapl/dataset_imigrantes/main/materias_filtered/g1/venezuelanos/2016/04_mai/txt/g1_29878976-231a-11ed-b24f-6dbe51e79fca_3320.txt", "TXT")</f>
        <v/>
      </c>
    </row>
    <row r="2711">
      <c r="A2711" s="1" t="n">
        <v>2709</v>
      </c>
      <c r="B2711" t="n">
        <v>2016</v>
      </c>
      <c r="C2711" s="2" t="n">
        <v>42493.66041666667</v>
      </c>
      <c r="D2711" t="inlineStr">
        <is>
          <t>G1</t>
        </is>
      </c>
      <c r="E2711" t="inlineStr">
        <is>
          <t>VENEZUELANOS</t>
        </is>
      </c>
      <c r="F2711" t="inlineStr"/>
      <c r="G2711" t="inlineStr">
        <is>
          <t>1 CE</t>
        </is>
      </c>
      <c r="H2711" t="inlineStr">
        <is>
          <t>HOMEM É PRESO NO CE COM 1 MILHÃO EM MOEDA VENEZUELANA; VÍDEO</t>
        </is>
      </c>
      <c r="I2711" t="inlineStr"/>
      <c r="J2711" t="inlineStr">
        <is>
          <t>FORTALEZA, SOBRAL</t>
        </is>
      </c>
      <c r="K2711" t="n">
        <v>2</v>
      </c>
      <c r="L2711" t="n">
        <v>3</v>
      </c>
      <c r="M2711" t="n">
        <v>0</v>
      </c>
      <c r="N2711" t="n">
        <v>0</v>
      </c>
      <c r="O2711" t="n">
        <v>11</v>
      </c>
      <c r="P2711">
        <f>HYPERLINK("http://g1.globo.com/ceara/noticia/2016/05/alagoano-e-preso-em-onibus-no-ceara-com-1-milhao-em-moeda-venezuelana.html", "URL")</f>
        <v/>
      </c>
      <c r="Q2711">
        <f>HYPERLINK("https://raw.githubusercontent.com/marcosmapl/dataset_imigrantes/main/materias_filtered/g1/venezuelanos/2016/04_mai/html/g1_3976f870-2316-11ed-b24f-6dbe51e79fca_3134.html", "HTML")</f>
        <v/>
      </c>
      <c r="R2711">
        <f>HYPERLINK("https://raw.githubusercontent.com/marcosmapl/dataset_imigrantes/main/materias_filtered/g1/venezuelanos/2016/04_mai/txt/g1_3976f870-2316-11ed-b24f-6dbe51e79fca_3134.txt", "TXT")</f>
        <v/>
      </c>
    </row>
    <row r="2712">
      <c r="A2712" s="1" t="n">
        <v>2710</v>
      </c>
      <c r="B2712" t="n">
        <v>2016</v>
      </c>
      <c r="C2712" s="2" t="n">
        <v>42490.80486111111</v>
      </c>
      <c r="D2712" t="inlineStr">
        <is>
          <t>A CRITICA</t>
        </is>
      </c>
      <c r="E2712" t="inlineStr">
        <is>
          <t>VENEZUELANOS</t>
        </is>
      </c>
      <c r="F2712" t="inlineStr">
        <is>
          <t>ESPORTES</t>
        </is>
      </c>
      <c r="G2712" t="inlineStr">
        <is>
          <t>ACRÍTICA.COM</t>
        </is>
      </c>
      <c r="H2712" t="inlineStr">
        <is>
          <t>FELIPE MELO EM ROTA DE COLISÃO COM O COMENTARISTA NETO</t>
        </is>
      </c>
      <c r="I2712" t="inlineStr">
        <is>
          <t>AS FARPAS ENTRE O VOLANTE DA INTER DE MILÃO E DO COMENTARISTA DA BAND GANHARAM UM NOVO EPISÓDIO, DESTA VEZ, MELO PUBLICOU A MENSAGEM NO SEU FACEBOOK.</t>
        </is>
      </c>
      <c r="J2712" t="inlineStr"/>
      <c r="K2712" t="n">
        <v>0</v>
      </c>
      <c r="L2712" t="n">
        <v>1</v>
      </c>
      <c r="M2712" t="n">
        <v>0</v>
      </c>
      <c r="N2712" t="n">
        <v>0</v>
      </c>
      <c r="O2712" t="n">
        <v>0</v>
      </c>
      <c r="P2712">
        <f>HYPERLINK("https://www.acritica.com/esportes/felipe-melo-em-rota-de-colis-o-com-o-comentarista-neto-1.142649", "URL")</f>
        <v/>
      </c>
      <c r="Q2712">
        <f>HYPERLINK("https://raw.githubusercontent.com/marcosmapl/dataset_imigrantes/main/materias_filtered/a_critica/venezuelanos/2016/03_abr/html/1.142649_1186.html", "HTML")</f>
        <v/>
      </c>
      <c r="R2712">
        <f>HYPERLINK("https://raw.githubusercontent.com/marcosmapl/dataset_imigrantes/main/materias_filtered/a_critica/venezuelanos/2016/03_abr/txt/1.142649_1186.txt", "TXT")</f>
        <v/>
      </c>
    </row>
    <row r="2713">
      <c r="A2713" s="1" t="n">
        <v>2711</v>
      </c>
      <c r="B2713" t="n">
        <v>2016</v>
      </c>
      <c r="C2713" s="2" t="n">
        <v>42490.47638888889</v>
      </c>
      <c r="D2713" t="inlineStr">
        <is>
          <t>G1</t>
        </is>
      </c>
      <c r="E2713" t="inlineStr">
        <is>
          <t>HAITIANOS</t>
        </is>
      </c>
      <c r="F2713" t="inlineStr"/>
      <c r="G2713" t="inlineStr">
        <is>
          <t>1 AC</t>
        </is>
      </c>
      <c r="H2713" t="inlineStr">
        <is>
          <t>PRF-AC PRENDE HAITIANO COM DOCUMENTAÇÃO FALSA NO INTERIOR DO AC</t>
        </is>
      </c>
      <c r="I2713" t="inlineStr"/>
      <c r="J2713" t="inlineStr">
        <is>
          <t>RIO BRANCO</t>
        </is>
      </c>
      <c r="K2713" t="n">
        <v>1</v>
      </c>
      <c r="L2713" t="n">
        <v>3</v>
      </c>
      <c r="M2713" t="n">
        <v>0</v>
      </c>
      <c r="N2713" t="n">
        <v>0</v>
      </c>
      <c r="O2713" t="n">
        <v>14</v>
      </c>
      <c r="P2713">
        <f>HYPERLINK("http://g1.globo.com/ac/acre/noticia/2016/04/prf-ac-prende-haitiano-com-documentacao-falsa-no-interior-do-ac.html", "URL")</f>
        <v/>
      </c>
      <c r="Q2713">
        <f>HYPERLINK("https://raw.githubusercontent.com/marcosmapl/dataset_imigrantes/main/materias_filtered/g1/haitianos/2016/03_abr/html/g1_536821e0-2326-11ed-b24f-6dbe51e79fca_3969.html", "HTML")</f>
        <v/>
      </c>
      <c r="R2713">
        <f>HYPERLINK("https://raw.githubusercontent.com/marcosmapl/dataset_imigrantes/main/materias_filtered/g1/haitianos/2016/03_abr/txt/g1_536821e0-2326-11ed-b24f-6dbe51e79fca_3969.txt", "TXT")</f>
        <v/>
      </c>
    </row>
    <row r="2714">
      <c r="A2714" s="1" t="n">
        <v>2712</v>
      </c>
      <c r="B2714" t="n">
        <v>2016</v>
      </c>
      <c r="C2714" s="2" t="n">
        <v>42489.41597222222</v>
      </c>
      <c r="D2714" t="inlineStr">
        <is>
          <t>G1</t>
        </is>
      </c>
      <c r="E2714" t="inlineStr">
        <is>
          <t>HAITIANOS</t>
        </is>
      </c>
      <c r="F2714" t="inlineStr"/>
      <c r="G2714" t="inlineStr">
        <is>
          <t>1 GO</t>
        </is>
      </c>
      <c r="H2714" t="inlineStr">
        <is>
          <t>EXÉRCITO FAZ SIMULAÇÃO DE CONFLITO EM GOIÁS ANTES DE MISSÃO NO HAITI</t>
        </is>
      </c>
      <c r="I2714" t="inlineStr"/>
      <c r="J2714" t="inlineStr">
        <is>
          <t>CRISTALINA</t>
        </is>
      </c>
      <c r="K2714" t="n">
        <v>1</v>
      </c>
      <c r="L2714" t="n">
        <v>5</v>
      </c>
      <c r="M2714" t="n">
        <v>0</v>
      </c>
      <c r="N2714" t="n">
        <v>0</v>
      </c>
      <c r="O2714" t="n">
        <v>10</v>
      </c>
      <c r="P2714">
        <f>HYPERLINK("http://g1.globo.com/goias/noticia/2016/04/exercito-faz-simulacao-de-conflito-em-goias-antes-de-missao-no-haiti.html", "URL")</f>
        <v/>
      </c>
      <c r="Q2714">
        <f>HYPERLINK("https://raw.githubusercontent.com/marcosmapl/dataset_imigrantes/main/materias_filtered/g1/haitianos/2016/03_abr/html/g1_1c8c2852-230c-11ed-b24f-6dbe51e79fca_2605.html", "HTML")</f>
        <v/>
      </c>
      <c r="R2714">
        <f>HYPERLINK("https://raw.githubusercontent.com/marcosmapl/dataset_imigrantes/main/materias_filtered/g1/haitianos/2016/03_abr/txt/g1_1c8c2852-230c-11ed-b24f-6dbe51e79fca_2605.txt", "TXT")</f>
        <v/>
      </c>
    </row>
    <row r="2715">
      <c r="A2715" s="1" t="n">
        <v>2713</v>
      </c>
      <c r="B2715" t="n">
        <v>2016</v>
      </c>
      <c r="C2715" s="2" t="n">
        <v>42485.83611111111</v>
      </c>
      <c r="D2715" t="inlineStr">
        <is>
          <t>G1</t>
        </is>
      </c>
      <c r="E2715" t="inlineStr">
        <is>
          <t>VENEZUELANOS</t>
        </is>
      </c>
      <c r="F2715" t="inlineStr"/>
      <c r="G2715" t="inlineStr">
        <is>
          <t>EUTERS</t>
        </is>
      </c>
      <c r="H2715" t="inlineStr">
        <is>
          <t>JUDICIÁRIO BLOQUEIA TÁTICA DA OPOSIÇÃO VENEZUELANA PARA DESTITUIR MADURO</t>
        </is>
      </c>
      <c r="I2715" t="inlineStr"/>
      <c r="J2715" t="inlineStr">
        <is>
          <t>NICOLÁS MADURO, VENEZUELA</t>
        </is>
      </c>
      <c r="K2715" t="n">
        <v>2</v>
      </c>
      <c r="L2715" t="n">
        <v>4</v>
      </c>
      <c r="M2715" t="n">
        <v>0</v>
      </c>
      <c r="N2715" t="n">
        <v>0</v>
      </c>
      <c r="O2715" t="n">
        <v>11</v>
      </c>
      <c r="P2715">
        <f>HYPERLINK("http://g1.globo.com/mundo/noticia/2016/04/judiciario-bloqueia-tatica-da-oposicao-venezuelana-para-destituir-maduro.html", "URL")</f>
        <v/>
      </c>
      <c r="Q2715">
        <f>HYPERLINK("https://raw.githubusercontent.com/marcosmapl/dataset_imigrantes/main/materias_filtered/g1/venezuelanos/2016/03_abr/html/g1_5bfc22b4-2328-11ed-b24f-6dbe51e79fca_4075.html", "HTML")</f>
        <v/>
      </c>
      <c r="R2715">
        <f>HYPERLINK("https://raw.githubusercontent.com/marcosmapl/dataset_imigrantes/main/materias_filtered/g1/venezuelanos/2016/03_abr/txt/g1_5bfc22b4-2328-11ed-b24f-6dbe51e79fca_4075.txt", "TXT")</f>
        <v/>
      </c>
    </row>
    <row r="2716">
      <c r="A2716" s="1" t="n">
        <v>2714</v>
      </c>
      <c r="B2716" t="n">
        <v>2016</v>
      </c>
      <c r="C2716" s="2" t="n">
        <v>42483.45138888889</v>
      </c>
      <c r="D2716" t="inlineStr">
        <is>
          <t>G1</t>
        </is>
      </c>
      <c r="E2716" t="inlineStr">
        <is>
          <t>VENEZUELANOS</t>
        </is>
      </c>
      <c r="F2716" t="inlineStr"/>
      <c r="G2716" t="inlineStr">
        <is>
          <t>1 BAURU E MARÍLIA</t>
        </is>
      </c>
      <c r="H2716" t="inlineStr">
        <is>
          <t>POLÍCIA RODOVIÁRIA APREENDE DINHEIRO VENEZUELANO EM ASSIS</t>
        </is>
      </c>
      <c r="I2716" t="inlineStr"/>
      <c r="J2716" t="inlineStr">
        <is>
          <t>ASSIS</t>
        </is>
      </c>
      <c r="K2716" t="n">
        <v>1</v>
      </c>
      <c r="L2716" t="n">
        <v>5</v>
      </c>
      <c r="M2716" t="n">
        <v>0</v>
      </c>
      <c r="N2716" t="n">
        <v>0</v>
      </c>
      <c r="O2716" t="n">
        <v>7</v>
      </c>
      <c r="P2716">
        <f>HYPERLINK("http://g1.globo.com/sp/bauru-marilia/noticia/2016/04/policia-rodoviaria-apreende-dinheiro-venezuelano-em-assis.html", "URL")</f>
        <v/>
      </c>
      <c r="Q2716">
        <f>HYPERLINK("https://raw.githubusercontent.com/marcosmapl/dataset_imigrantes/main/materias_filtered/g1/venezuelanos/2016/03_abr/html/g1_31592c1a-2309-11ed-b24f-6dbe51e79fca_2433.html", "HTML")</f>
        <v/>
      </c>
      <c r="R2716">
        <f>HYPERLINK("https://raw.githubusercontent.com/marcosmapl/dataset_imigrantes/main/materias_filtered/g1/venezuelanos/2016/03_abr/txt/g1_31592c1a-2309-11ed-b24f-6dbe51e79fca_2433.txt", "TXT")</f>
        <v/>
      </c>
    </row>
    <row r="2717">
      <c r="A2717" s="1" t="n">
        <v>2715</v>
      </c>
      <c r="B2717" t="n">
        <v>2016</v>
      </c>
      <c r="C2717" s="2" t="n">
        <v>42473.49652777778</v>
      </c>
      <c r="D2717" t="inlineStr">
        <is>
          <t>G1</t>
        </is>
      </c>
      <c r="E2717" t="inlineStr">
        <is>
          <t>HAITIANOS</t>
        </is>
      </c>
      <c r="F2717" t="inlineStr"/>
      <c r="G2717" t="inlineStr">
        <is>
          <t>1 AM</t>
        </is>
      </c>
      <c r="H2717" t="inlineStr">
        <is>
          <t>SEMANA INTERNACIONAL DO LIVRO INFANTIL SERÁ REALIZADA EM MANAUS</t>
        </is>
      </c>
      <c r="I2717" t="inlineStr"/>
      <c r="J2717" t="inlineStr">
        <is>
          <t>MANAUS</t>
        </is>
      </c>
      <c r="K2717" t="n">
        <v>1</v>
      </c>
      <c r="L2717" t="n">
        <v>4</v>
      </c>
      <c r="M2717" t="n">
        <v>0</v>
      </c>
      <c r="N2717" t="n">
        <v>0</v>
      </c>
      <c r="O2717" t="n">
        <v>11</v>
      </c>
      <c r="P2717">
        <f>HYPERLINK("http://g1.globo.com/am/amazonas/noticia/2016/04/semana-internacional-do-livro-infantil-sera-realizada-em-manaus.html", "URL")</f>
        <v/>
      </c>
      <c r="Q2717">
        <f>HYPERLINK("https://raw.githubusercontent.com/marcosmapl/dataset_imigrantes/main/materias_filtered/g1/haitianos/2016/03_abr/html/g1_f8045d2e-2329-11ed-b24f-6dbe51e79fca_4150.html", "HTML")</f>
        <v/>
      </c>
      <c r="R2717">
        <f>HYPERLINK("https://raw.githubusercontent.com/marcosmapl/dataset_imigrantes/main/materias_filtered/g1/haitianos/2016/03_abr/txt/g1_f8045d2e-2329-11ed-b24f-6dbe51e79fca_4150.txt", "TXT")</f>
        <v/>
      </c>
    </row>
    <row r="2718">
      <c r="A2718" s="1" t="n">
        <v>2716</v>
      </c>
      <c r="B2718" t="n">
        <v>2016</v>
      </c>
      <c r="C2718" s="2" t="n">
        <v>42472.49305555555</v>
      </c>
      <c r="D2718" t="inlineStr">
        <is>
          <t>G1</t>
        </is>
      </c>
      <c r="E2718" t="inlineStr">
        <is>
          <t>HAITIANOS</t>
        </is>
      </c>
      <c r="F2718" t="inlineStr"/>
      <c r="G2718" t="inlineStr">
        <is>
          <t>1 PR, EM  FOZ DO IGUAÇU</t>
        </is>
      </c>
      <c r="H2718" t="inlineStr">
        <is>
          <t>UNILA OFERECE MAIS DE 700 VAGAS EM ATIVIDADES E CURSOS PARA COMUNIDADE</t>
        </is>
      </c>
      <c r="I2718" t="inlineStr"/>
      <c r="J2718" t="inlineStr">
        <is>
          <t>UNILA, PARANÁ, FOZ DO IGUAÇU</t>
        </is>
      </c>
      <c r="K2718" t="n">
        <v>3</v>
      </c>
      <c r="L2718" t="n">
        <v>5</v>
      </c>
      <c r="M2718" t="n">
        <v>0</v>
      </c>
      <c r="N2718" t="n">
        <v>0</v>
      </c>
      <c r="O2718" t="n">
        <v>12</v>
      </c>
      <c r="P2718">
        <f>HYPERLINK("http://g1.globo.com/pr/parana/educacao/noticia/2016/04/unila-oferece-mais-de-700-vagas-em-atividades-e-cursos-para-comunidade.html", "URL")</f>
        <v/>
      </c>
      <c r="Q2718">
        <f>HYPERLINK("https://raw.githubusercontent.com/marcosmapl/dataset_imigrantes/main/materias_filtered/g1/haitianos/2016/03_abr/html/g1_f9e5d886-2318-11ed-b24f-6dbe51e79fca_3291.html", "HTML")</f>
        <v/>
      </c>
      <c r="R2718">
        <f>HYPERLINK("https://raw.githubusercontent.com/marcosmapl/dataset_imigrantes/main/materias_filtered/g1/haitianos/2016/03_abr/txt/g1_f9e5d886-2318-11ed-b24f-6dbe51e79fca_3291.txt", "TXT")</f>
        <v/>
      </c>
    </row>
    <row r="2719">
      <c r="A2719" s="1" t="n">
        <v>2717</v>
      </c>
      <c r="B2719" t="n">
        <v>2016</v>
      </c>
      <c r="C2719" s="2" t="n">
        <v>42471.48263888889</v>
      </c>
      <c r="D2719" t="inlineStr">
        <is>
          <t>G1</t>
        </is>
      </c>
      <c r="E2719" t="inlineStr">
        <is>
          <t>VENEZUELANOS</t>
        </is>
      </c>
      <c r="F2719" t="inlineStr"/>
      <c r="G2719" t="inlineStr">
        <is>
          <t>Y COSTADO G1 RR</t>
        </is>
      </c>
      <c r="H2719" t="inlineStr">
        <is>
          <t>DOIS HOMENS SÃO PRESOS EM RR COM R$ 3 MILHÕES EM MOEDA VENEZUELANA</t>
        </is>
      </c>
      <c r="I2719" t="inlineStr"/>
      <c r="J2719" t="inlineStr">
        <is>
          <t>BOA VISTA, PACARAIMA</t>
        </is>
      </c>
      <c r="K2719" t="n">
        <v>2</v>
      </c>
      <c r="L2719" t="n">
        <v>6</v>
      </c>
      <c r="M2719" t="n">
        <v>0</v>
      </c>
      <c r="N2719" t="n">
        <v>0</v>
      </c>
      <c r="O2719" t="n">
        <v>13</v>
      </c>
      <c r="P2719">
        <f>HYPERLINK("http://g1.globo.com/rr/roraima/noticia/2016/04/dois-homens-sao-presos-em-roraima-com-r-3-mi-em-dinheiro-da-venezuela.html", "URL")</f>
        <v/>
      </c>
      <c r="Q2719">
        <f>HYPERLINK("https://raw.githubusercontent.com/marcosmapl/dataset_imigrantes/main/materias_filtered/g1/venezuelanos/2016/03_abr/html/g1_a7d9491a-2309-11ed-b24f-6dbe51e79fca_2456.html", "HTML")</f>
        <v/>
      </c>
      <c r="R2719">
        <f>HYPERLINK("https://raw.githubusercontent.com/marcosmapl/dataset_imigrantes/main/materias_filtered/g1/venezuelanos/2016/03_abr/txt/g1_a7d9491a-2309-11ed-b24f-6dbe51e79fca_2456.txt", "TXT")</f>
        <v/>
      </c>
    </row>
    <row r="2720">
      <c r="A2720" s="1" t="n">
        <v>2718</v>
      </c>
      <c r="B2720" t="n">
        <v>2016</v>
      </c>
      <c r="C2720" s="2" t="n">
        <v>42465.36736111111</v>
      </c>
      <c r="D2720" t="inlineStr">
        <is>
          <t>G1</t>
        </is>
      </c>
      <c r="E2720" t="inlineStr">
        <is>
          <t>HAITIANOS</t>
        </is>
      </c>
      <c r="F2720" t="inlineStr"/>
      <c r="G2720" t="inlineStr">
        <is>
          <t>DA CAMPOSDO G1 SOROCABA E JUNDIAÍ</t>
        </is>
      </c>
      <c r="H2720" t="inlineStr">
        <is>
          <t>'QUIS VER SE O BRASIL ERA MESMO UM PAÍS DE TODOS', DIZ REFUGIADO HAITIANO</t>
        </is>
      </c>
      <c r="I2720" t="inlineStr"/>
      <c r="J2720" t="inlineStr">
        <is>
          <t>MANAUS, HAITI, SILVIANÓPOLIS, SOROCABA, VOTORANTIM</t>
        </is>
      </c>
      <c r="K2720" t="n">
        <v>5</v>
      </c>
      <c r="L2720" t="n">
        <v>8</v>
      </c>
      <c r="M2720" t="n">
        <v>0</v>
      </c>
      <c r="N2720" t="n">
        <v>0</v>
      </c>
      <c r="O2720" t="n">
        <v>16</v>
      </c>
      <c r="P2720">
        <f>HYPERLINK("http://g1.globo.com/sao-paulo/sorocaba-jundiai/noticia/2016/04/quis-ver-se-o-brasil-era-mesmo-um-pais-de-todos-diz-refugiado-haitiano.html", "URL")</f>
        <v/>
      </c>
      <c r="Q2720">
        <f>HYPERLINK("https://raw.githubusercontent.com/marcosmapl/dataset_imigrantes/main/materias_filtered/g1/haitianos/2016/03_abr/html/g1_dadae1b6-2313-11ed-b24f-6dbe51e79fca_3030.html", "HTML")</f>
        <v/>
      </c>
      <c r="R2720">
        <f>HYPERLINK("https://raw.githubusercontent.com/marcosmapl/dataset_imigrantes/main/materias_filtered/g1/haitianos/2016/03_abr/txt/g1_dadae1b6-2313-11ed-b24f-6dbe51e79fca_3030.txt", "TXT")</f>
        <v/>
      </c>
    </row>
    <row r="2721">
      <c r="A2721" s="1" t="n">
        <v>2719</v>
      </c>
      <c r="B2721" t="n">
        <v>2016</v>
      </c>
      <c r="C2721" s="2" t="n">
        <v>42464.39583333334</v>
      </c>
      <c r="D2721" t="inlineStr">
        <is>
          <t>G1</t>
        </is>
      </c>
      <c r="E2721" t="inlineStr">
        <is>
          <t>HAITIANOS</t>
        </is>
      </c>
      <c r="F2721" t="inlineStr"/>
      <c r="G2721" t="inlineStr">
        <is>
          <t>1 AM</t>
        </is>
      </c>
      <c r="H2721" t="inlineStr">
        <is>
          <t>AÇÃO SOCIAL ARRECADA LIVROS PARA BIBLIOTECA DE ESCOLA PÚBLICA NO AM</t>
        </is>
      </c>
      <c r="I2721" t="inlineStr"/>
      <c r="J2721" t="inlineStr">
        <is>
          <t>MANAUS</t>
        </is>
      </c>
      <c r="K2721" t="n">
        <v>1</v>
      </c>
      <c r="L2721" t="n">
        <v>4</v>
      </c>
      <c r="M2721" t="n">
        <v>0</v>
      </c>
      <c r="N2721" t="n">
        <v>0</v>
      </c>
      <c r="O2721" t="n">
        <v>10</v>
      </c>
      <c r="P2721">
        <f>HYPERLINK("http://g1.globo.com/am/amazonas/noticia/2016/04/acao-social-arrecada-livros-para-biblioteca-de-escola-publica-no-am.html", "URL")</f>
        <v/>
      </c>
      <c r="Q2721">
        <f>HYPERLINK("https://raw.githubusercontent.com/marcosmapl/dataset_imigrantes/main/materias_filtered/g1/haitianos/2016/03_abr/html/g1_4fe681ea-2314-11ed-b24f-6dbe51e79fca_3057.html", "HTML")</f>
        <v/>
      </c>
      <c r="R2721">
        <f>HYPERLINK("https://raw.githubusercontent.com/marcosmapl/dataset_imigrantes/main/materias_filtered/g1/haitianos/2016/03_abr/txt/g1_4fe681ea-2314-11ed-b24f-6dbe51e79fca_3057.txt", "TXT")</f>
        <v/>
      </c>
    </row>
    <row r="2722">
      <c r="A2722" s="1" t="n">
        <v>2720</v>
      </c>
      <c r="B2722" t="n">
        <v>2016</v>
      </c>
      <c r="C2722" s="2" t="n">
        <v>42459.63819444444</v>
      </c>
      <c r="D2722" t="inlineStr">
        <is>
          <t>G1</t>
        </is>
      </c>
      <c r="E2722" t="inlineStr">
        <is>
          <t>HAITIANOS</t>
        </is>
      </c>
      <c r="F2722" t="inlineStr"/>
      <c r="G2722" t="inlineStr">
        <is>
          <t>1 MT</t>
        </is>
      </c>
      <c r="H2722" t="inlineStr">
        <is>
          <t>JOVEM DIZ TER ATIRADO CONTRA HAITIANOS APÓS UM DELES NEGAR CERVEJA A ELE</t>
        </is>
      </c>
      <c r="I2722" t="inlineStr"/>
      <c r="J2722" t="inlineStr">
        <is>
          <t>CUIABÁ</t>
        </is>
      </c>
      <c r="K2722" t="n">
        <v>1</v>
      </c>
      <c r="L2722" t="n">
        <v>5</v>
      </c>
      <c r="M2722" t="n">
        <v>0</v>
      </c>
      <c r="N2722" t="n">
        <v>0</v>
      </c>
      <c r="O2722" t="n">
        <v>13</v>
      </c>
      <c r="P2722">
        <f>HYPERLINK("http://g1.globo.com/mato-grosso/noticia/2016/03/jovem-diz-ter-baleado-haitianos-apos-um-deles-se-negar-pagar-cerveja.html", "URL")</f>
        <v/>
      </c>
      <c r="Q2722">
        <f>HYPERLINK("https://raw.githubusercontent.com/marcosmapl/dataset_imigrantes/main/materias_filtered/g1/haitianos/2016/02_mar/html/g1_9457a32e-22f9-11ed-b24f-6dbe51e79fca_2171.html", "HTML")</f>
        <v/>
      </c>
      <c r="R2722">
        <f>HYPERLINK("https://raw.githubusercontent.com/marcosmapl/dataset_imigrantes/main/materias_filtered/g1/haitianos/2016/02_mar/txt/g1_9457a32e-22f9-11ed-b24f-6dbe51e79fca_2171.txt", "TXT")</f>
        <v/>
      </c>
    </row>
    <row r="2723">
      <c r="A2723" s="1" t="n">
        <v>2721</v>
      </c>
      <c r="B2723" t="n">
        <v>2016</v>
      </c>
      <c r="C2723" s="2" t="n">
        <v>42455.49583333333</v>
      </c>
      <c r="D2723" t="inlineStr">
        <is>
          <t>G1</t>
        </is>
      </c>
      <c r="E2723" t="inlineStr">
        <is>
          <t>HAITIANOS</t>
        </is>
      </c>
      <c r="F2723" t="inlineStr"/>
      <c r="G2723" t="inlineStr">
        <is>
          <t>1 RO</t>
        </is>
      </c>
      <c r="H2723" t="inlineStr">
        <is>
          <t>IMIGRANTE É PRESO POR SUSPEITA DE ESTUPRO A CRIANÇA EM PORTO VELHO</t>
        </is>
      </c>
      <c r="I2723" t="inlineStr"/>
      <c r="J2723" t="inlineStr">
        <is>
          <t>RONDÔNIA, PORTO VELHO</t>
        </is>
      </c>
      <c r="K2723" t="n">
        <v>2</v>
      </c>
      <c r="L2723" t="n">
        <v>5</v>
      </c>
      <c r="M2723" t="n">
        <v>0</v>
      </c>
      <c r="N2723" t="n">
        <v>0</v>
      </c>
      <c r="O2723" t="n">
        <v>12</v>
      </c>
      <c r="P2723">
        <f>HYPERLINK("http://g1.globo.com/ro/rondonia/noticia/2016/03/haitiano-e-preso-por-suspeita-de-estupro-crianca-em-porto-velho.html", "URL")</f>
        <v/>
      </c>
      <c r="Q2723">
        <f>HYPERLINK("https://raw.githubusercontent.com/marcosmapl/dataset_imigrantes/main/materias_filtered/g1/haitianos/2016/02_mar/html/g1_0b3f39e8-2327-11ed-b24f-6dbe51e79fca_4014.html", "HTML")</f>
        <v/>
      </c>
      <c r="R2723">
        <f>HYPERLINK("https://raw.githubusercontent.com/marcosmapl/dataset_imigrantes/main/materias_filtered/g1/haitianos/2016/02_mar/txt/g1_0b3f39e8-2327-11ed-b24f-6dbe51e79fca_4014.txt", "TXT")</f>
        <v/>
      </c>
    </row>
    <row r="2724">
      <c r="A2724" s="1" t="n">
        <v>2722</v>
      </c>
      <c r="B2724" t="n">
        <v>2016</v>
      </c>
      <c r="C2724" s="2" t="n">
        <v>42449.54166666666</v>
      </c>
      <c r="D2724" t="inlineStr">
        <is>
          <t>G1</t>
        </is>
      </c>
      <c r="E2724" t="inlineStr">
        <is>
          <t>HAITIANOS</t>
        </is>
      </c>
      <c r="F2724" t="inlineStr"/>
      <c r="G2724" t="inlineStr">
        <is>
          <t>1 MT</t>
        </is>
      </c>
      <c r="H2724" t="inlineStr">
        <is>
          <t>QUATRO HAITIANOS BALEADOS EM BAR DE CUIABÁ RECEBEM ALTA DE HOSPITAL</t>
        </is>
      </c>
      <c r="I2724" t="inlineStr"/>
      <c r="J2724" t="inlineStr">
        <is>
          <t>CUIABÁ</t>
        </is>
      </c>
      <c r="K2724" t="n">
        <v>1</v>
      </c>
      <c r="L2724" t="n">
        <v>3</v>
      </c>
      <c r="M2724" t="n">
        <v>0</v>
      </c>
      <c r="N2724" t="n">
        <v>0</v>
      </c>
      <c r="O2724" t="n">
        <v>12</v>
      </c>
      <c r="P2724">
        <f>HYPERLINK("http://g1.globo.com/mato-grosso/noticia/2016/03/quatro-haitianos-baleados-em-bar-de-cuiaba-recebem-alta-de-hospital.html", "URL")</f>
        <v/>
      </c>
      <c r="Q2724">
        <f>HYPERLINK("https://raw.githubusercontent.com/marcosmapl/dataset_imigrantes/main/materias_filtered/g1/haitianos/2016/02_mar/html/g1_1e289ad6-22fa-11ed-b24f-6dbe51e79fca_2199.html", "HTML")</f>
        <v/>
      </c>
      <c r="R2724">
        <f>HYPERLINK("https://raw.githubusercontent.com/marcosmapl/dataset_imigrantes/main/materias_filtered/g1/haitianos/2016/02_mar/txt/g1_1e289ad6-22fa-11ed-b24f-6dbe51e79fca_2199.txt", "TXT")</f>
        <v/>
      </c>
    </row>
    <row r="2725">
      <c r="A2725" s="1" t="n">
        <v>2723</v>
      </c>
      <c r="B2725" t="n">
        <v>2016</v>
      </c>
      <c r="C2725" s="2" t="n">
        <v>42448.81736111111</v>
      </c>
      <c r="D2725" t="inlineStr">
        <is>
          <t>G1</t>
        </is>
      </c>
      <c r="E2725" t="inlineStr">
        <is>
          <t>HAITIANOS</t>
        </is>
      </c>
      <c r="F2725" t="inlineStr"/>
      <c r="G2725" t="inlineStr">
        <is>
          <t>1 MT</t>
        </is>
      </c>
      <c r="H2725" t="inlineStr">
        <is>
          <t>QUATRO HAITIANOS SÃO INTERNADOS APÓS SEREM BALEADOS EM BAR DE CUIABÁ</t>
        </is>
      </c>
      <c r="I2725" t="inlineStr"/>
      <c r="J2725" t="inlineStr">
        <is>
          <t>CUIABÁ</t>
        </is>
      </c>
      <c r="K2725" t="n">
        <v>1</v>
      </c>
      <c r="L2725" t="n">
        <v>3</v>
      </c>
      <c r="M2725" t="n">
        <v>0</v>
      </c>
      <c r="N2725" t="n">
        <v>0</v>
      </c>
      <c r="O2725" t="n">
        <v>10</v>
      </c>
      <c r="P2725">
        <f>HYPERLINK("http://g1.globo.com/mato-grosso/noticia/2016/03/quatro-haitianos-sao-internados-apos-serem-baleados-em-bar-de-cuiaba.html", "URL")</f>
        <v/>
      </c>
      <c r="Q2725">
        <f>HYPERLINK("https://raw.githubusercontent.com/marcosmapl/dataset_imigrantes/main/materias_filtered/g1/haitianos/2016/02_mar/html/g1_37bcc30a-22f5-11ed-b24f-6dbe51e79fca_1937.html", "HTML")</f>
        <v/>
      </c>
      <c r="R2725">
        <f>HYPERLINK("https://raw.githubusercontent.com/marcosmapl/dataset_imigrantes/main/materias_filtered/g1/haitianos/2016/02_mar/txt/g1_37bcc30a-22f5-11ed-b24f-6dbe51e79fca_1937.txt", "TXT")</f>
        <v/>
      </c>
    </row>
    <row r="2726">
      <c r="A2726" s="1" t="n">
        <v>2724</v>
      </c>
      <c r="B2726" t="n">
        <v>2016</v>
      </c>
      <c r="C2726" s="2" t="n">
        <v>42446.675</v>
      </c>
      <c r="D2726" t="inlineStr">
        <is>
          <t>G1</t>
        </is>
      </c>
      <c r="E2726" t="inlineStr">
        <is>
          <t>HAITIANOS</t>
        </is>
      </c>
      <c r="F2726" t="inlineStr"/>
      <c r="G2726" t="inlineStr">
        <is>
          <t>1 MT</t>
        </is>
      </c>
      <c r="H2726" t="inlineStr">
        <is>
          <t>HAITIANO PARAPLÉGICO APÓS LEVAR TIRO RECEBE ALTA, MAS NÃO TEM PARA ONDE IR</t>
        </is>
      </c>
      <c r="I2726" t="inlineStr"/>
      <c r="J2726" t="inlineStr">
        <is>
          <t>CUIABÁ</t>
        </is>
      </c>
      <c r="K2726" t="n">
        <v>1</v>
      </c>
      <c r="L2726" t="n">
        <v>5</v>
      </c>
      <c r="M2726" t="n">
        <v>0</v>
      </c>
      <c r="N2726" t="n">
        <v>0</v>
      </c>
      <c r="O2726" t="n">
        <v>14</v>
      </c>
      <c r="P2726">
        <f>HYPERLINK("http://g1.globo.com/mato-grosso/noticia/2016/03/haitiano-paraplegico-apos-levar-tiro-recebe-alta-mas-nao-tem-para-onde-ir.html", "URL")</f>
        <v/>
      </c>
      <c r="Q2726">
        <f>HYPERLINK("https://raw.githubusercontent.com/marcosmapl/dataset_imigrantes/main/materias_filtered/g1/haitianos/2016/02_mar/html/g1_30088024-2320-11ed-b24f-6dbe51e79fca_3668.html", "HTML")</f>
        <v/>
      </c>
      <c r="R2726">
        <f>HYPERLINK("https://raw.githubusercontent.com/marcosmapl/dataset_imigrantes/main/materias_filtered/g1/haitianos/2016/02_mar/txt/g1_30088024-2320-11ed-b24f-6dbe51e79fca_3668.txt", "TXT")</f>
        <v/>
      </c>
    </row>
    <row r="2727">
      <c r="A2727" s="1" t="n">
        <v>2725</v>
      </c>
      <c r="B2727" t="n">
        <v>2016</v>
      </c>
      <c r="C2727" s="2" t="n">
        <v>42441.74652777778</v>
      </c>
      <c r="D2727" t="inlineStr">
        <is>
          <t>G1</t>
        </is>
      </c>
      <c r="E2727" t="inlineStr">
        <is>
          <t>VENEZUELANOS</t>
        </is>
      </c>
      <c r="F2727" t="inlineStr"/>
      <c r="G2727" t="inlineStr">
        <is>
          <t>EUTERS</t>
        </is>
      </c>
      <c r="H2727" t="inlineStr">
        <is>
          <t>OPOSIÇÃO VENEZUELANA COMEÇA PROTESTOS E MADURO RESPONDE</t>
        </is>
      </c>
      <c r="I2727" t="inlineStr"/>
      <c r="J2727" t="inlineStr">
        <is>
          <t>NICOLÁS MADURO, VENEZUELA</t>
        </is>
      </c>
      <c r="K2727" t="n">
        <v>2</v>
      </c>
      <c r="L2727" t="n">
        <v>6</v>
      </c>
      <c r="M2727" t="n">
        <v>0</v>
      </c>
      <c r="N2727" t="n">
        <v>0</v>
      </c>
      <c r="O2727" t="n">
        <v>10</v>
      </c>
      <c r="P2727">
        <f>HYPERLINK("http://g1.globo.com/mundo/noticia/2016/03/oposicao-venezuelana-comeca-protestos-e-maduro-responde.html", "URL")</f>
        <v/>
      </c>
      <c r="Q2727">
        <f>HYPERLINK("https://raw.githubusercontent.com/marcosmapl/dataset_imigrantes/main/materias_filtered/g1/venezuelanos/2016/02_mar/html/g1_2b2226b8-230d-11ed-b24f-6dbe51e79fca_2670.html", "HTML")</f>
        <v/>
      </c>
      <c r="R2727">
        <f>HYPERLINK("https://raw.githubusercontent.com/marcosmapl/dataset_imigrantes/main/materias_filtered/g1/venezuelanos/2016/02_mar/txt/g1_2b2226b8-230d-11ed-b24f-6dbe51e79fca_2670.txt", "TXT")</f>
        <v/>
      </c>
    </row>
    <row r="2728">
      <c r="A2728" s="1" t="n">
        <v>2726</v>
      </c>
      <c r="B2728" t="n">
        <v>2016</v>
      </c>
      <c r="C2728" s="2" t="n">
        <v>42439.72916666666</v>
      </c>
      <c r="D2728" t="inlineStr">
        <is>
          <t>G1</t>
        </is>
      </c>
      <c r="E2728" t="inlineStr">
        <is>
          <t>VENEZUELANOS</t>
        </is>
      </c>
      <c r="F2728" t="inlineStr"/>
      <c r="G2728" t="inlineStr">
        <is>
          <t>FP</t>
        </is>
      </c>
      <c r="H2728" t="inlineStr">
        <is>
          <t>OPOSIÇÃO VENEZUELANA AVANÇA PARA REVOGAR MANDATO DE MADURO</t>
        </is>
      </c>
      <c r="I2728" t="inlineStr"/>
      <c r="J2728" t="inlineStr">
        <is>
          <t>HUGO CHÁVEZ, NICOLÁS MADURO, VENEZUELA</t>
        </is>
      </c>
      <c r="K2728" t="n">
        <v>3</v>
      </c>
      <c r="L2728" t="n">
        <v>6</v>
      </c>
      <c r="M2728" t="n">
        <v>0</v>
      </c>
      <c r="N2728" t="n">
        <v>0</v>
      </c>
      <c r="O2728" t="n">
        <v>13</v>
      </c>
      <c r="P2728">
        <f>HYPERLINK("http://g1.globo.com/mundo/noticia/2016/03/oposicao-venezuelana-avanca-para-revogar-mandato-de-maduro.html", "URL")</f>
        <v/>
      </c>
      <c r="Q2728">
        <f>HYPERLINK("https://raw.githubusercontent.com/marcosmapl/dataset_imigrantes/main/materias_filtered/g1/venezuelanos/2016/02_mar/html/g1_ea16d490-230f-11ed-b24f-6dbe51e79fca_2827.html", "HTML")</f>
        <v/>
      </c>
      <c r="R2728">
        <f>HYPERLINK("https://raw.githubusercontent.com/marcosmapl/dataset_imigrantes/main/materias_filtered/g1/venezuelanos/2016/02_mar/txt/g1_ea16d490-230f-11ed-b24f-6dbe51e79fca_2827.txt", "TXT")</f>
        <v/>
      </c>
    </row>
    <row r="2729">
      <c r="A2729" s="1" t="n">
        <v>2727</v>
      </c>
      <c r="B2729" t="n">
        <v>2016</v>
      </c>
      <c r="C2729" s="2" t="n">
        <v>42437.50416666667</v>
      </c>
      <c r="D2729" t="inlineStr">
        <is>
          <t>G1</t>
        </is>
      </c>
      <c r="E2729" t="inlineStr">
        <is>
          <t>VENEZUELANOS</t>
        </is>
      </c>
      <c r="F2729" t="inlineStr"/>
      <c r="G2729" t="inlineStr">
        <is>
          <t>RANCE PRESSE</t>
        </is>
      </c>
      <c r="H2729" t="inlineStr">
        <is>
          <t>OPOSIÇÃO VENEZUELANA QUER FAZER REFERENDO PARA TIRAR MADURO DO PODER</t>
        </is>
      </c>
      <c r="I2729" t="inlineStr"/>
      <c r="J2729" t="inlineStr">
        <is>
          <t>VENEZUELA</t>
        </is>
      </c>
      <c r="K2729" t="n">
        <v>1</v>
      </c>
      <c r="L2729" t="n">
        <v>3</v>
      </c>
      <c r="M2729" t="n">
        <v>0</v>
      </c>
      <c r="N2729" t="n">
        <v>0</v>
      </c>
      <c r="O2729" t="n">
        <v>11</v>
      </c>
      <c r="P2729">
        <f>HYPERLINK("http://g1.globo.com/mundo/noticia/2016/03/oposicao-venezuelana-anuncia-referendo-para-tirar-maduro-do-poder.html", "URL")</f>
        <v/>
      </c>
      <c r="Q2729">
        <f>HYPERLINK("https://raw.githubusercontent.com/marcosmapl/dataset_imigrantes/main/materias_filtered/g1/venezuelanos/2016/02_mar/html/g1_4073cd06-230c-11ed-b24f-6dbe51e79fca_2613.html", "HTML")</f>
        <v/>
      </c>
      <c r="R2729">
        <f>HYPERLINK("https://raw.githubusercontent.com/marcosmapl/dataset_imigrantes/main/materias_filtered/g1/venezuelanos/2016/02_mar/txt/g1_4073cd06-230c-11ed-b24f-6dbe51e79fca_2613.txt", "TXT")</f>
        <v/>
      </c>
    </row>
    <row r="2730">
      <c r="A2730" s="1" t="n">
        <v>2728</v>
      </c>
      <c r="B2730" t="n">
        <v>2016</v>
      </c>
      <c r="C2730" s="2" t="n">
        <v>42434.3125</v>
      </c>
      <c r="D2730" t="inlineStr">
        <is>
          <t>G1</t>
        </is>
      </c>
      <c r="E2730" t="inlineStr">
        <is>
          <t>HAITIANOS</t>
        </is>
      </c>
      <c r="F2730" t="inlineStr"/>
      <c r="G2730" t="inlineStr">
        <is>
          <t>1 SC</t>
        </is>
      </c>
      <c r="H2730" t="inlineStr">
        <is>
          <t>EXPOSIÇÃO FOTOGRÁFICA SOBRE CRIANÇAS HAITIANAS ABRE NESTE SÁBADO EM SC</t>
        </is>
      </c>
      <c r="I2730" t="inlineStr"/>
      <c r="J2730" t="inlineStr">
        <is>
          <t>BALNEÁRIO CAMBORIÚ</t>
        </is>
      </c>
      <c r="K2730" t="n">
        <v>1</v>
      </c>
      <c r="L2730" t="n">
        <v>5</v>
      </c>
      <c r="M2730" t="n">
        <v>0</v>
      </c>
      <c r="N2730" t="n">
        <v>0</v>
      </c>
      <c r="O2730" t="n">
        <v>11</v>
      </c>
      <c r="P2730">
        <f>HYPERLINK("http://g1.globo.com/sc/santa-catarina/noticia/2016/03/exposicao-fotografica-sobre-criancas-haitianas-abre-neste-sabado-em-sc.html", "URL")</f>
        <v/>
      </c>
      <c r="Q2730">
        <f>HYPERLINK("https://raw.githubusercontent.com/marcosmapl/dataset_imigrantes/main/materias_filtered/g1/haitianos/2016/02_mar/html/g1_f9f1ff00-231b-11ed-b24f-6dbe51e79fca_3420.html", "HTML")</f>
        <v/>
      </c>
      <c r="R2730">
        <f>HYPERLINK("https://raw.githubusercontent.com/marcosmapl/dataset_imigrantes/main/materias_filtered/g1/haitianos/2016/02_mar/txt/g1_f9f1ff00-231b-11ed-b24f-6dbe51e79fca_3420.txt", "TXT")</f>
        <v/>
      </c>
    </row>
    <row r="2731">
      <c r="A2731" s="1" t="n">
        <v>2729</v>
      </c>
      <c r="B2731" t="n">
        <v>2016</v>
      </c>
      <c r="C2731" s="2" t="n">
        <v>42431.37708333333</v>
      </c>
      <c r="D2731" t="inlineStr">
        <is>
          <t>G1</t>
        </is>
      </c>
      <c r="E2731" t="inlineStr">
        <is>
          <t>VENEZUELANOS</t>
        </is>
      </c>
      <c r="F2731" t="inlineStr"/>
      <c r="G2731" t="inlineStr">
        <is>
          <t>EUTERS</t>
        </is>
      </c>
      <c r="H2731" t="inlineStr">
        <is>
          <t>MÉDICA VENEZUELANA É PRIMEIRO CASO DE ZIKA REGISTRADO EM CUBA</t>
        </is>
      </c>
      <c r="I2731" t="inlineStr"/>
      <c r="J2731" t="inlineStr">
        <is>
          <t>CUBA, MINISTÉRIO DA SAÚDE, ORGANIZAÇÃO MUNDIAL DE SAÚDE (OMS)</t>
        </is>
      </c>
      <c r="K2731" t="n">
        <v>3</v>
      </c>
      <c r="L2731" t="n">
        <v>6</v>
      </c>
      <c r="M2731" t="n">
        <v>0</v>
      </c>
      <c r="N2731" t="n">
        <v>0</v>
      </c>
      <c r="O2731" t="n">
        <v>18</v>
      </c>
      <c r="P2731">
        <f>HYPERLINK("http://g1.globo.com/bemestar/noticia/2016/03/medica-venezuelana-e-primeiro-caso-de-zika-registrado-em-cuba.html", "URL")</f>
        <v/>
      </c>
      <c r="Q2731">
        <f>HYPERLINK("https://raw.githubusercontent.com/marcosmapl/dataset_imigrantes/main/materias_filtered/g1/venezuelanos/2016/02_mar/html/g1_625fd810-231b-11ed-b24f-6dbe51e79fca_3383.html", "HTML")</f>
        <v/>
      </c>
      <c r="R2731">
        <f>HYPERLINK("https://raw.githubusercontent.com/marcosmapl/dataset_imigrantes/main/materias_filtered/g1/venezuelanos/2016/02_mar/txt/g1_625fd810-231b-11ed-b24f-6dbe51e79fca_3383.txt", "TXT")</f>
        <v/>
      </c>
    </row>
    <row r="2732">
      <c r="A2732" s="1" t="n">
        <v>2730</v>
      </c>
      <c r="B2732" t="n">
        <v>2016</v>
      </c>
      <c r="C2732" s="2" t="n">
        <v>42429.84722222222</v>
      </c>
      <c r="D2732" t="inlineStr">
        <is>
          <t>G1</t>
        </is>
      </c>
      <c r="E2732" t="inlineStr">
        <is>
          <t>HAITIANOS</t>
        </is>
      </c>
      <c r="F2732" t="inlineStr"/>
      <c r="G2732" t="inlineStr">
        <is>
          <t>FP</t>
        </is>
      </c>
      <c r="H2732" t="inlineStr">
        <is>
          <t>FORTES CHUVAS DEIXAM UM MORTO E MAIS DE 9 MIL CASAS ALAGADAS NO HAITI</t>
        </is>
      </c>
      <c r="I2732" t="inlineStr"/>
      <c r="J2732" t="inlineStr">
        <is>
          <t>HAITI</t>
        </is>
      </c>
      <c r="K2732" t="n">
        <v>1</v>
      </c>
      <c r="L2732" t="n">
        <v>6</v>
      </c>
      <c r="M2732" t="n">
        <v>0</v>
      </c>
      <c r="N2732" t="n">
        <v>0</v>
      </c>
      <c r="O2732" t="n">
        <v>15</v>
      </c>
      <c r="P2732">
        <f>HYPERLINK("http://g1.globo.com/mundo/noticia/2016/02/fortes-chuvas-deixam-um-morto-e-mais-de-9-mil-casas-alagadas-no-haiti.html", "URL")</f>
        <v/>
      </c>
      <c r="Q2732">
        <f>HYPERLINK("https://raw.githubusercontent.com/marcosmapl/dataset_imigrantes/main/materias_filtered/g1/haitianos/2016/01_fev/html/g1_47f9cbe8-2325-11ed-b24f-6dbe51e79fca_3904.html", "HTML")</f>
        <v/>
      </c>
      <c r="R2732">
        <f>HYPERLINK("https://raw.githubusercontent.com/marcosmapl/dataset_imigrantes/main/materias_filtered/g1/haitianos/2016/01_fev/txt/g1_47f9cbe8-2325-11ed-b24f-6dbe51e79fca_3904.txt", "TXT")</f>
        <v/>
      </c>
    </row>
    <row r="2733">
      <c r="A2733" s="1" t="n">
        <v>2731</v>
      </c>
      <c r="B2733" t="n">
        <v>2016</v>
      </c>
      <c r="C2733" s="2" t="n">
        <v>42428.40208333333</v>
      </c>
      <c r="D2733" t="inlineStr">
        <is>
          <t>G1</t>
        </is>
      </c>
      <c r="E2733" t="inlineStr">
        <is>
          <t>HAITIANOS</t>
        </is>
      </c>
      <c r="F2733" t="inlineStr"/>
      <c r="G2733" t="inlineStr">
        <is>
          <t>1 MT</t>
        </is>
      </c>
      <c r="H2733" t="inlineStr">
        <is>
          <t>HAITIANO QUE FICOU PARAPLÉGICO DEVE IR PARA RESIDÊNCIA INCLUSIVA EM CUIABÁ</t>
        </is>
      </c>
      <c r="I2733" t="inlineStr"/>
      <c r="J2733" t="inlineStr">
        <is>
          <t>CUIABÁ</t>
        </is>
      </c>
      <c r="K2733" t="n">
        <v>1</v>
      </c>
      <c r="L2733" t="n">
        <v>3</v>
      </c>
      <c r="M2733" t="n">
        <v>0</v>
      </c>
      <c r="N2733" t="n">
        <v>0</v>
      </c>
      <c r="O2733" t="n">
        <v>10</v>
      </c>
      <c r="P2733">
        <f>HYPERLINK("http://g1.globo.com/mato-grosso/noticia/2016/02/haitiano-que-ficou-paraplegico-deve-ir-para-residencia-inclusiva-em-cuiaba.html", "URL")</f>
        <v/>
      </c>
      <c r="Q2733">
        <f>HYPERLINK("https://raw.githubusercontent.com/marcosmapl/dataset_imigrantes/main/materias_filtered/g1/haitianos/2016/01_fev/html/g1_f434d15e-2312-11ed-b24f-6dbe51e79fca_2984.html", "HTML")</f>
        <v/>
      </c>
      <c r="R2733">
        <f>HYPERLINK("https://raw.githubusercontent.com/marcosmapl/dataset_imigrantes/main/materias_filtered/g1/haitianos/2016/01_fev/txt/g1_f434d15e-2312-11ed-b24f-6dbe51e79fca_2984.txt", "TXT")</f>
        <v/>
      </c>
    </row>
    <row r="2734">
      <c r="A2734" s="1" t="n">
        <v>2732</v>
      </c>
      <c r="B2734" t="n">
        <v>2016</v>
      </c>
      <c r="C2734" s="2" t="n">
        <v>42416.87916666667</v>
      </c>
      <c r="D2734" t="inlineStr">
        <is>
          <t>G1</t>
        </is>
      </c>
      <c r="E2734" t="inlineStr">
        <is>
          <t>VENEZUELANOS</t>
        </is>
      </c>
      <c r="F2734" t="inlineStr"/>
      <c r="G2734" t="inlineStr">
        <is>
          <t>FP</t>
        </is>
      </c>
      <c r="H2734" t="inlineStr">
        <is>
          <t>OPOSIÇÃO VENEZUELANA INICIA DEBATE SOBRE ANISTIA REJEITADA PELO GOVERNO</t>
        </is>
      </c>
      <c r="I2734" t="inlineStr"/>
      <c r="J2734" t="inlineStr">
        <is>
          <t>LEOPOLDO LÓPEZ, NICOLÁS MADURO, VENEZUELA</t>
        </is>
      </c>
      <c r="K2734" t="n">
        <v>3</v>
      </c>
      <c r="L2734" t="n">
        <v>9</v>
      </c>
      <c r="M2734" t="n">
        <v>0</v>
      </c>
      <c r="N2734" t="n">
        <v>0</v>
      </c>
      <c r="O2734" t="n">
        <v>13</v>
      </c>
      <c r="P2734">
        <f>HYPERLINK("http://g1.globo.com/mundo/noticia/2016/02/oposicao-venezuelana-inicia-debate-sobre-anistia-rejeitada-pelo-governo.html", "URL")</f>
        <v/>
      </c>
      <c r="Q2734">
        <f>HYPERLINK("https://raw.githubusercontent.com/marcosmapl/dataset_imigrantes/main/materias_filtered/g1/venezuelanos/2016/01_fev/html/g1_56c9d920-2324-11ed-b24f-6dbe51e79fca_3865.html", "HTML")</f>
        <v/>
      </c>
      <c r="R2734">
        <f>HYPERLINK("https://raw.githubusercontent.com/marcosmapl/dataset_imigrantes/main/materias_filtered/g1/venezuelanos/2016/01_fev/txt/g1_56c9d920-2324-11ed-b24f-6dbe51e79fca_3865.txt", "TXT")</f>
        <v/>
      </c>
    </row>
    <row r="2735">
      <c r="A2735" s="1" t="n">
        <v>2733</v>
      </c>
      <c r="B2735" t="n">
        <v>2016</v>
      </c>
      <c r="C2735" s="2" t="n">
        <v>42416.30208333334</v>
      </c>
      <c r="D2735" t="inlineStr">
        <is>
          <t>G1</t>
        </is>
      </c>
      <c r="E2735" t="inlineStr">
        <is>
          <t>HAITIANOS</t>
        </is>
      </c>
      <c r="F2735" t="inlineStr"/>
      <c r="G2735" t="inlineStr">
        <is>
          <t>1 ITAPETININGA E REGIÃO</t>
        </is>
      </c>
      <c r="H2735" t="inlineStr">
        <is>
          <t>CERQUEIRA CÉSAR FAZ 'FORÇA-TAREFA' PARA AJUDAR 120 HAITIANOS DESEMPREGADOS</t>
        </is>
      </c>
      <c r="I2735" t="inlineStr"/>
      <c r="J2735" t="inlineStr">
        <is>
          <t>CERQUEIRA CÉSAR</t>
        </is>
      </c>
      <c r="K2735" t="n">
        <v>1</v>
      </c>
      <c r="L2735" t="n">
        <v>6</v>
      </c>
      <c r="M2735" t="n">
        <v>0</v>
      </c>
      <c r="N2735" t="n">
        <v>0</v>
      </c>
      <c r="O2735" t="n">
        <v>10</v>
      </c>
      <c r="P2735">
        <f>HYPERLINK("http://g1.globo.com/sao-paulo/itapetininga-regiao/noticia/2016/02/cerqueira-cesar-faz-forca-tarefa-para-ajudar-120-haitianos-desempregados.html", "URL")</f>
        <v/>
      </c>
      <c r="Q2735">
        <f>HYPERLINK("https://raw.githubusercontent.com/marcosmapl/dataset_imigrantes/main/materias_filtered/g1/haitianos/2016/01_fev/html/g1_47c26434-22ec-11ed-b24f-6dbe51e79fca_1652.html", "HTML")</f>
        <v/>
      </c>
      <c r="R2735">
        <f>HYPERLINK("https://raw.githubusercontent.com/marcosmapl/dataset_imigrantes/main/materias_filtered/g1/haitianos/2016/01_fev/txt/g1_47c26434-22ec-11ed-b24f-6dbe51e79fca_1652.txt", "TXT")</f>
        <v/>
      </c>
    </row>
    <row r="2736">
      <c r="A2736" s="1" t="n">
        <v>2734</v>
      </c>
      <c r="B2736" t="n">
        <v>2016</v>
      </c>
      <c r="C2736" s="2" t="n">
        <v>42416.25</v>
      </c>
      <c r="D2736" t="inlineStr">
        <is>
          <t>G1</t>
        </is>
      </c>
      <c r="E2736" t="inlineStr">
        <is>
          <t>HAITIANOS</t>
        </is>
      </c>
      <c r="F2736" t="inlineStr"/>
      <c r="G2736" t="inlineStr">
        <is>
          <t>1 SC</t>
        </is>
      </c>
      <c r="H2736" t="inlineStr">
        <is>
          <t>EM BUSCA DE INTEGRAÇÃO, HAITIANOS FORMAM TIME DE FUTEBOL EM SC</t>
        </is>
      </c>
      <c r="I2736" t="inlineStr"/>
      <c r="J2736" t="inlineStr">
        <is>
          <t>FLORIANÓPOLIS</t>
        </is>
      </c>
      <c r="K2736" t="n">
        <v>1</v>
      </c>
      <c r="L2736" t="n">
        <v>4</v>
      </c>
      <c r="M2736" t="n">
        <v>0</v>
      </c>
      <c r="N2736" t="n">
        <v>0</v>
      </c>
      <c r="O2736" t="n">
        <v>10</v>
      </c>
      <c r="P2736">
        <f>HYPERLINK("http://g1.globo.com/sc/santa-catarina/noticia/2016/02/em-busca-de-integracao-haitianos-formam-time-de-futebol-em-sc.html", "URL")</f>
        <v/>
      </c>
      <c r="Q2736">
        <f>HYPERLINK("https://raw.githubusercontent.com/marcosmapl/dataset_imigrantes/main/materias_filtered/g1/haitianos/2016/01_fev/html/g1_35cd8954-22f4-11ed-b24f-6dbe51e79fca_1878.html", "HTML")</f>
        <v/>
      </c>
      <c r="R2736">
        <f>HYPERLINK("https://raw.githubusercontent.com/marcosmapl/dataset_imigrantes/main/materias_filtered/g1/haitianos/2016/01_fev/txt/g1_35cd8954-22f4-11ed-b24f-6dbe51e79fca_1878.txt", "TXT")</f>
        <v/>
      </c>
    </row>
    <row r="2737">
      <c r="A2737" s="1" t="n">
        <v>2735</v>
      </c>
      <c r="B2737" t="n">
        <v>2016</v>
      </c>
      <c r="C2737" s="2" t="n">
        <v>42415.88194444445</v>
      </c>
      <c r="D2737" t="inlineStr">
        <is>
          <t>G1</t>
        </is>
      </c>
      <c r="E2737" t="inlineStr">
        <is>
          <t>HAITIANOS</t>
        </is>
      </c>
      <c r="F2737" t="inlineStr"/>
      <c r="G2737" t="inlineStr">
        <is>
          <t>FP</t>
        </is>
      </c>
      <c r="H2737" t="inlineStr">
        <is>
          <t>GRUPO DE APOIO AO HAITI SAÚDA ELEIÇÃO DE PRESIDENTE INTERINO</t>
        </is>
      </c>
      <c r="I2737" t="inlineStr"/>
      <c r="J2737" t="inlineStr">
        <is>
          <t>HAITI</t>
        </is>
      </c>
      <c r="K2737" t="n">
        <v>1</v>
      </c>
      <c r="L2737" t="n">
        <v>5</v>
      </c>
      <c r="M2737" t="n">
        <v>0</v>
      </c>
      <c r="N2737" t="n">
        <v>0</v>
      </c>
      <c r="O2737" t="n">
        <v>12</v>
      </c>
      <c r="P2737">
        <f>HYPERLINK("http://g1.globo.com/mundo/noticia/2016/02/grupo-de-apoio-ao-haiti-sauda-eleicao-de-presidente-interino.html", "URL")</f>
        <v/>
      </c>
      <c r="Q2737">
        <f>HYPERLINK("https://raw.githubusercontent.com/marcosmapl/dataset_imigrantes/main/materias_filtered/g1/haitianos/2016/01_fev/html/g1_9358b0d2-230b-11ed-b24f-6dbe51e79fca_2572.html", "HTML")</f>
        <v/>
      </c>
      <c r="R2737">
        <f>HYPERLINK("https://raw.githubusercontent.com/marcosmapl/dataset_imigrantes/main/materias_filtered/g1/haitianos/2016/01_fev/txt/g1_9358b0d2-230b-11ed-b24f-6dbe51e79fca_2572.txt", "TXT")</f>
        <v/>
      </c>
    </row>
    <row r="2738">
      <c r="A2738" s="1" t="n">
        <v>2736</v>
      </c>
      <c r="B2738" t="n">
        <v>2016</v>
      </c>
      <c r="C2738" s="2" t="n">
        <v>42415.85208333333</v>
      </c>
      <c r="D2738" t="inlineStr">
        <is>
          <t>G1</t>
        </is>
      </c>
      <c r="E2738" t="inlineStr">
        <is>
          <t>VENEZUELANOS</t>
        </is>
      </c>
      <c r="F2738" t="inlineStr"/>
      <c r="G2738" t="inlineStr">
        <is>
          <t>FE</t>
        </is>
      </c>
      <c r="H2738" t="inlineStr">
        <is>
          <t>OPOSIÇÃO VENEZUELANA DECLARA CAMPANHA PARA SAÍDA DE MADURO</t>
        </is>
      </c>
      <c r="I2738" t="inlineStr"/>
      <c r="J2738" t="inlineStr">
        <is>
          <t>NICOLÁS MADURO, VENEZUELA</t>
        </is>
      </c>
      <c r="K2738" t="n">
        <v>2</v>
      </c>
      <c r="L2738" t="n">
        <v>6</v>
      </c>
      <c r="M2738" t="n">
        <v>0</v>
      </c>
      <c r="N2738" t="n">
        <v>0</v>
      </c>
      <c r="O2738" t="n">
        <v>13</v>
      </c>
      <c r="P2738">
        <f>HYPERLINK("http://g1.globo.com/mundo/noticia/2016/02/oposicao-venezuelana-declara-campanha-para-saida-de-maduro.html", "URL")</f>
        <v/>
      </c>
      <c r="Q2738">
        <f>HYPERLINK("https://raw.githubusercontent.com/marcosmapl/dataset_imigrantes/main/materias_filtered/g1/venezuelanos/2016/01_fev/html/g1_a4c03500-2326-11ed-b24f-6dbe51e79fca_3989.html", "HTML")</f>
        <v/>
      </c>
      <c r="R2738">
        <f>HYPERLINK("https://raw.githubusercontent.com/marcosmapl/dataset_imigrantes/main/materias_filtered/g1/venezuelanos/2016/01_fev/txt/g1_a4c03500-2326-11ed-b24f-6dbe51e79fca_3989.txt", "TXT")</f>
        <v/>
      </c>
    </row>
    <row r="2739">
      <c r="A2739" s="1" t="n">
        <v>2737</v>
      </c>
      <c r="B2739" t="n">
        <v>2016</v>
      </c>
      <c r="C2739" s="2" t="n">
        <v>42414.69861111111</v>
      </c>
      <c r="D2739" t="inlineStr">
        <is>
          <t>G1</t>
        </is>
      </c>
      <c r="E2739" t="inlineStr">
        <is>
          <t>HAITIANOS</t>
        </is>
      </c>
      <c r="F2739" t="inlineStr"/>
      <c r="G2739" t="inlineStr">
        <is>
          <t>IA MANTOVANIDO G1 SÃO PAULO</t>
        </is>
      </c>
      <c r="H2739" t="inlineStr">
        <is>
          <t>BLOCO 'APRESENTA' CARNAVAL DE RUA PARA REFUGIADOS E PROMOVE TROCA CULTURAL</t>
        </is>
      </c>
      <c r="I2739" t="inlineStr"/>
      <c r="J2739" t="inlineStr"/>
      <c r="K2739" t="n">
        <v>0</v>
      </c>
      <c r="L2739" t="n">
        <v>5</v>
      </c>
      <c r="M2739" t="n">
        <v>0</v>
      </c>
      <c r="N2739" t="n">
        <v>0</v>
      </c>
      <c r="O2739" t="n">
        <v>11</v>
      </c>
      <c r="P2739">
        <f>HYPERLINK("http://g1.globo.com/sao-paulo/carnaval/2016/noticia/2016/02/bloco-apresenta-carnaval-de-rua-para-refugiados-e-promove-troca-cultural.html", "URL")</f>
        <v/>
      </c>
      <c r="Q2739">
        <f>HYPERLINK("https://raw.githubusercontent.com/marcosmapl/dataset_imigrantes/main/materias_filtered/g1/haitianos/2016/01_fev/html/g1_d58416ac-2326-11ed-b24f-6dbe51e79fca_4000.html", "HTML")</f>
        <v/>
      </c>
      <c r="R2739">
        <f>HYPERLINK("https://raw.githubusercontent.com/marcosmapl/dataset_imigrantes/main/materias_filtered/g1/haitianos/2016/01_fev/txt/g1_d58416ac-2326-11ed-b24f-6dbe51e79fca_4000.txt", "TXT")</f>
        <v/>
      </c>
    </row>
    <row r="2740">
      <c r="A2740" s="1" t="n">
        <v>2738</v>
      </c>
      <c r="B2740" t="n">
        <v>2016</v>
      </c>
      <c r="C2740" s="2" t="n">
        <v>42414.28125</v>
      </c>
      <c r="D2740" t="inlineStr">
        <is>
          <t>G1</t>
        </is>
      </c>
      <c r="E2740" t="inlineStr">
        <is>
          <t>HAITIANOS</t>
        </is>
      </c>
      <c r="F2740" t="inlineStr"/>
      <c r="G2740" t="inlineStr">
        <is>
          <t>1, EM SÃO PAULO</t>
        </is>
      </c>
      <c r="H2740" t="inlineStr">
        <is>
          <t>PRESIDENTE DO SENADO DO HAITI É ELEITO PARA ASSUMIR GOVERNO INTERINO</t>
        </is>
      </c>
      <c r="I2740" t="inlineStr"/>
      <c r="J2740" t="inlineStr"/>
      <c r="K2740" t="n">
        <v>0</v>
      </c>
      <c r="L2740" t="n">
        <v>1</v>
      </c>
      <c r="M2740" t="n">
        <v>0</v>
      </c>
      <c r="N2740" t="n">
        <v>0</v>
      </c>
      <c r="O2740" t="n">
        <v>9</v>
      </c>
      <c r="P2740">
        <f>HYPERLINK("http://g1.globo.com/mundo/noticia/2016/02/presidente-do-senado-do-haiti-e-eleito-presidente-interino.html", "URL")</f>
        <v/>
      </c>
      <c r="Q2740">
        <f>HYPERLINK("https://raw.githubusercontent.com/marcosmapl/dataset_imigrantes/main/materias_filtered/g1/haitianos/2016/01_fev/html/g1_46f71250-2311-11ed-b24f-6dbe51e79fca_2908.html", "HTML")</f>
        <v/>
      </c>
      <c r="R2740">
        <f>HYPERLINK("https://raw.githubusercontent.com/marcosmapl/dataset_imigrantes/main/materias_filtered/g1/haitianos/2016/01_fev/txt/g1_46f71250-2311-11ed-b24f-6dbe51e79fca_2908.txt", "TXT")</f>
        <v/>
      </c>
    </row>
    <row r="2741">
      <c r="A2741" s="1" t="n">
        <v>2739</v>
      </c>
      <c r="B2741" t="n">
        <v>2016</v>
      </c>
      <c r="C2741" s="2" t="n">
        <v>42410.45</v>
      </c>
      <c r="D2741" t="inlineStr">
        <is>
          <t>G1</t>
        </is>
      </c>
      <c r="E2741" t="inlineStr">
        <is>
          <t>HAITIANOS</t>
        </is>
      </c>
      <c r="F2741" t="inlineStr"/>
      <c r="G2741" t="inlineStr">
        <is>
          <t xml:space="preserve"> DIÓZDO G1 MT</t>
        </is>
      </c>
      <c r="H2741" t="inlineStr">
        <is>
          <t>HAITIANOS VÃO PARTICIPAR DA ENCENAÇÃO DA PAIXÃO DE CRISTO EM CUIABÁ</t>
        </is>
      </c>
      <c r="I2741" t="inlineStr"/>
      <c r="J2741" t="inlineStr">
        <is>
          <t>CUIABÁ</t>
        </is>
      </c>
      <c r="K2741" t="n">
        <v>1</v>
      </c>
      <c r="L2741" t="n">
        <v>8</v>
      </c>
      <c r="M2741" t="n">
        <v>0</v>
      </c>
      <c r="N2741" t="n">
        <v>0</v>
      </c>
      <c r="O2741" t="n">
        <v>12</v>
      </c>
      <c r="P2741">
        <f>HYPERLINK("http://g1.globo.com/mato-grosso/noticia/2016/02/haitianos-vao-participar-da-encenacao-da-paixao-de-cristo-em-cuiaba.html", "URL")</f>
        <v/>
      </c>
      <c r="Q2741">
        <f>HYPERLINK("https://raw.githubusercontent.com/marcosmapl/dataset_imigrantes/main/materias_filtered/g1/haitianos/2016/01_fev/html/g1_1ce84c4a-22ee-11ed-b24f-6dbe51e79fca_1699.html", "HTML")</f>
        <v/>
      </c>
      <c r="R2741">
        <f>HYPERLINK("https://raw.githubusercontent.com/marcosmapl/dataset_imigrantes/main/materias_filtered/g1/haitianos/2016/01_fev/txt/g1_1ce84c4a-22ee-11ed-b24f-6dbe51e79fca_1699.txt", "TXT")</f>
        <v/>
      </c>
    </row>
    <row r="2742">
      <c r="A2742" s="1" t="n">
        <v>2740</v>
      </c>
      <c r="B2742" t="n">
        <v>2016</v>
      </c>
      <c r="C2742" s="2" t="n">
        <v>42404.44722222222</v>
      </c>
      <c r="D2742" t="inlineStr">
        <is>
          <t>G1</t>
        </is>
      </c>
      <c r="E2742" t="inlineStr">
        <is>
          <t>HAITIANOS</t>
        </is>
      </c>
      <c r="F2742" t="inlineStr"/>
      <c r="G2742" t="inlineStr">
        <is>
          <t>AINE DOS ANJOSDO G1 MT</t>
        </is>
      </c>
      <c r="H2742" t="inlineStr">
        <is>
          <t>PARA ELIMINAR BARREIRAS, HAITIANOS SE ESFORÇAM PARA APRENDER O PORTUGUÊS</t>
        </is>
      </c>
      <c r="I2742" t="inlineStr"/>
      <c r="J2742" t="inlineStr"/>
      <c r="K2742" t="n">
        <v>0</v>
      </c>
      <c r="L2742" t="n">
        <v>5</v>
      </c>
      <c r="M2742" t="n">
        <v>0</v>
      </c>
      <c r="N2742" t="n">
        <v>0</v>
      </c>
      <c r="O2742" t="n">
        <v>4</v>
      </c>
      <c r="P2742">
        <f>HYPERLINK("http://g1.globo.com/mato-grosso/noticia/2016/02/para-eliminar-barreiras-haitianos-se-esforcam-para-aprender-o-portugues.html", "URL")</f>
        <v/>
      </c>
      <c r="Q2742">
        <f>HYPERLINK("https://raw.githubusercontent.com/marcosmapl/dataset_imigrantes/main/materias_filtered/g1/haitianos/2016/01_fev/html/g1_978b47b2-22f9-11ed-b24f-6dbe51e79fca_2172.html", "HTML")</f>
        <v/>
      </c>
      <c r="R2742">
        <f>HYPERLINK("https://raw.githubusercontent.com/marcosmapl/dataset_imigrantes/main/materias_filtered/g1/haitianos/2016/01_fev/txt/g1_978b47b2-22f9-11ed-b24f-6dbe51e79fca_2172.txt", "TXT")</f>
        <v/>
      </c>
    </row>
    <row r="2743">
      <c r="A2743" s="1" t="n">
        <v>2741</v>
      </c>
      <c r="B2743" t="n">
        <v>2016</v>
      </c>
      <c r="C2743" s="2" t="n">
        <v>42403.42986111111</v>
      </c>
      <c r="D2743" t="inlineStr">
        <is>
          <t>G1</t>
        </is>
      </c>
      <c r="E2743" t="inlineStr">
        <is>
          <t>HAITIANOS</t>
        </is>
      </c>
      <c r="F2743" t="inlineStr"/>
      <c r="G2743" t="inlineStr">
        <is>
          <t>SE SOARESDO G1 MT</t>
        </is>
      </c>
      <c r="H2743" t="inlineStr">
        <is>
          <t>DA CONSTRUÇÃO CIVIL PARA A CULINÁRIA, HAITIANOS ENCARAM OPORTUNIDADES</t>
        </is>
      </c>
      <c r="I2743" t="inlineStr"/>
      <c r="J2743" t="inlineStr">
        <is>
          <t>CUIABÁ</t>
        </is>
      </c>
      <c r="K2743" t="n">
        <v>1</v>
      </c>
      <c r="L2743" t="n">
        <v>15</v>
      </c>
      <c r="M2743" t="n">
        <v>0</v>
      </c>
      <c r="N2743" t="n">
        <v>0</v>
      </c>
      <c r="O2743" t="n">
        <v>9</v>
      </c>
      <c r="P2743">
        <f>HYPERLINK("http://g1.globo.com/mato-grosso/noticia/2016/02/da-construcao-civil-para-culinaria-haitianos-encaram-oportunidades.html", "URL")</f>
        <v/>
      </c>
      <c r="Q2743">
        <f>HYPERLINK("https://raw.githubusercontent.com/marcosmapl/dataset_imigrantes/main/materias_filtered/g1/haitianos/2016/01_fev/html/g1_d2f4a5a4-22f0-11ed-b24f-6dbe51e79fca_1721.html", "HTML")</f>
        <v/>
      </c>
      <c r="R2743">
        <f>HYPERLINK("https://raw.githubusercontent.com/marcosmapl/dataset_imigrantes/main/materias_filtered/g1/haitianos/2016/01_fev/txt/g1_d2f4a5a4-22f0-11ed-b24f-6dbe51e79fca_1721.txt", "TXT")</f>
        <v/>
      </c>
    </row>
    <row r="2744">
      <c r="A2744" s="1" t="n">
        <v>2742</v>
      </c>
      <c r="B2744" t="n">
        <v>2016</v>
      </c>
      <c r="C2744" s="2" t="n">
        <v>42403.01875</v>
      </c>
      <c r="D2744" t="inlineStr">
        <is>
          <t>G1</t>
        </is>
      </c>
      <c r="E2744" t="inlineStr">
        <is>
          <t>HAITIANOS</t>
        </is>
      </c>
      <c r="F2744" t="inlineStr"/>
      <c r="G2744" t="inlineStr">
        <is>
          <t>FE</t>
        </is>
      </c>
      <c r="H2744" t="inlineStr">
        <is>
          <t>MARTELLY DEIXARÁ A PRESIDÊNCIA DO HAITI NO DOMINGO, DIZ PRESIDENTE DO SENADO</t>
        </is>
      </c>
      <c r="I2744" t="inlineStr"/>
      <c r="J2744" t="inlineStr">
        <is>
          <t>HAITI, MICHEL MARTELLY</t>
        </is>
      </c>
      <c r="K2744" t="n">
        <v>2</v>
      </c>
      <c r="L2744" t="n">
        <v>4</v>
      </c>
      <c r="M2744" t="n">
        <v>0</v>
      </c>
      <c r="N2744" t="n">
        <v>0</v>
      </c>
      <c r="O2744" t="n">
        <v>10</v>
      </c>
      <c r="P2744">
        <f>HYPERLINK("http://g1.globo.com/mundo/noticia/2016/02/martelly-deixara-presidencia-do-haiti-no-domingo.html", "URL")</f>
        <v/>
      </c>
      <c r="Q2744">
        <f>HYPERLINK("https://raw.githubusercontent.com/marcosmapl/dataset_imigrantes/main/materias_filtered/g1/haitianos/2016/01_fev/html/g1_ab50aa76-2317-11ed-b24f-6dbe51e79fca_3223.html", "HTML")</f>
        <v/>
      </c>
      <c r="R2744">
        <f>HYPERLINK("https://raw.githubusercontent.com/marcosmapl/dataset_imigrantes/main/materias_filtered/g1/haitianos/2016/01_fev/txt/g1_ab50aa76-2317-11ed-b24f-6dbe51e79fca_3223.txt", "TXT")</f>
        <v/>
      </c>
    </row>
    <row r="2745">
      <c r="A2745" s="1" t="n">
        <v>2743</v>
      </c>
      <c r="B2745" t="n">
        <v>2016</v>
      </c>
      <c r="C2745" s="2" t="n">
        <v>42402.44097222222</v>
      </c>
      <c r="D2745" t="inlineStr">
        <is>
          <t>G1</t>
        </is>
      </c>
      <c r="E2745" t="inlineStr">
        <is>
          <t>HAITIANOS</t>
        </is>
      </c>
      <c r="F2745" t="inlineStr"/>
      <c r="G2745" t="inlineStr">
        <is>
          <t>1 MT</t>
        </is>
      </c>
      <c r="H2745" t="inlineStr">
        <is>
          <t>DINHEIRO DE CAMPANHA CUSTEIA VIAGEM DE MULHER DE HAITIANO PARA O BRASIL</t>
        </is>
      </c>
      <c r="I2745" t="inlineStr"/>
      <c r="J2745" t="inlineStr">
        <is>
          <t>MATO GROSSO, CUIABÁ</t>
        </is>
      </c>
      <c r="K2745" t="n">
        <v>2</v>
      </c>
      <c r="L2745" t="n">
        <v>3</v>
      </c>
      <c r="M2745" t="n">
        <v>0</v>
      </c>
      <c r="N2745" t="n">
        <v>0</v>
      </c>
      <c r="O2745" t="n">
        <v>14</v>
      </c>
      <c r="P2745">
        <f>HYPERLINK("http://g1.globo.com/mato-grosso/noticia/2016/02/dinheiro-de-campanha-custeia-viagem-de-mulher-de-haitiano-para-o-brasil.html", "URL")</f>
        <v/>
      </c>
      <c r="Q2745">
        <f>HYPERLINK("https://raw.githubusercontent.com/marcosmapl/dataset_imigrantes/main/materias_filtered/g1/haitianos/2016/01_fev/html/g1_bb116c30-231b-11ed-b24f-6dbe51e79fca_3403.html", "HTML")</f>
        <v/>
      </c>
      <c r="R2745">
        <f>HYPERLINK("https://raw.githubusercontent.com/marcosmapl/dataset_imigrantes/main/materias_filtered/g1/haitianos/2016/01_fev/txt/g1_bb116c30-231b-11ed-b24f-6dbe51e79fca_3403.txt", "TXT")</f>
        <v/>
      </c>
    </row>
    <row r="2746">
      <c r="A2746" s="1" t="n">
        <v>2744</v>
      </c>
      <c r="B2746" t="n">
        <v>2016</v>
      </c>
      <c r="C2746" s="2" t="n">
        <v>42402.40625</v>
      </c>
      <c r="D2746" t="inlineStr">
        <is>
          <t>G1</t>
        </is>
      </c>
      <c r="E2746" t="inlineStr">
        <is>
          <t>HAITIANOS</t>
        </is>
      </c>
      <c r="F2746" t="inlineStr"/>
      <c r="G2746" t="inlineStr">
        <is>
          <t xml:space="preserve"> DIÓZDO G1 MT</t>
        </is>
      </c>
      <c r="H2746" t="inlineStr">
        <is>
          <t>HAITIANOS TÊM IGREJAS, BARES E LAN HOUSE EM BAIRROS DE CUIABÁ</t>
        </is>
      </c>
      <c r="I2746" t="inlineStr"/>
      <c r="J2746" t="inlineStr">
        <is>
          <t>CUIABÁ</t>
        </is>
      </c>
      <c r="K2746" t="n">
        <v>1</v>
      </c>
      <c r="L2746" t="n">
        <v>15</v>
      </c>
      <c r="M2746" t="n">
        <v>0</v>
      </c>
      <c r="N2746" t="n">
        <v>0</v>
      </c>
      <c r="O2746" t="n">
        <v>9</v>
      </c>
      <c r="P2746">
        <f>HYPERLINK("http://g1.globo.com/mato-grosso/noticia/2016/02/haitianos-tem-igrejas-bares-e-lan-house-em-bairros-de-cuiaba.html", "URL")</f>
        <v/>
      </c>
      <c r="Q2746">
        <f>HYPERLINK("https://raw.githubusercontent.com/marcosmapl/dataset_imigrantes/main/materias_filtered/g1/haitianos/2016/01_fev/html/g1_7e8fa012-22f1-11ed-b24f-6dbe51e79fca_1752.html", "HTML")</f>
        <v/>
      </c>
      <c r="R2746">
        <f>HYPERLINK("https://raw.githubusercontent.com/marcosmapl/dataset_imigrantes/main/materias_filtered/g1/haitianos/2016/01_fev/txt/g1_7e8fa012-22f1-11ed-b24f-6dbe51e79fca_1752.txt", "TXT")</f>
        <v/>
      </c>
    </row>
    <row r="2747">
      <c r="A2747" s="1" t="n">
        <v>2745</v>
      </c>
      <c r="B2747" t="n">
        <v>2016</v>
      </c>
      <c r="C2747" s="2" t="n">
        <v>42401.35486111111</v>
      </c>
      <c r="D2747" t="inlineStr">
        <is>
          <t>G1</t>
        </is>
      </c>
      <c r="E2747" t="inlineStr">
        <is>
          <t>HAITIANOS</t>
        </is>
      </c>
      <c r="F2747" t="inlineStr"/>
      <c r="G2747" t="inlineStr">
        <is>
          <t>GÊNCIA EFE</t>
        </is>
      </c>
      <c r="H2747" t="inlineStr">
        <is>
          <t>PRESIDENTE DO HAITI LANÇA MÚSICA DE CARNAVAL CRITICANDO JORNALISTA</t>
        </is>
      </c>
      <c r="I2747" t="inlineStr"/>
      <c r="J2747" t="inlineStr">
        <is>
          <t>HAITI</t>
        </is>
      </c>
      <c r="K2747" t="n">
        <v>1</v>
      </c>
      <c r="L2747" t="n">
        <v>5</v>
      </c>
      <c r="M2747" t="n">
        <v>0</v>
      </c>
      <c r="N2747" t="n">
        <v>0</v>
      </c>
      <c r="O2747" t="n">
        <v>9</v>
      </c>
      <c r="P2747">
        <f>HYPERLINK("http://g1.globo.com/mundo/noticia/2016/02/presidente-do-haiti-lanca-musica-de-carnaval-criticando-jornalista-20160131212004203244.html", "URL")</f>
        <v/>
      </c>
      <c r="Q2747">
        <f>HYPERLINK("https://raw.githubusercontent.com/marcosmapl/dataset_imigrantes/main/materias_filtered/g1/haitianos/2016/01_fev/html/g1_8f76a46e-231b-11ed-b24f-6dbe51e79fca_3392.html", "HTML")</f>
        <v/>
      </c>
      <c r="R2747">
        <f>HYPERLINK("https://raw.githubusercontent.com/marcosmapl/dataset_imigrantes/main/materias_filtered/g1/haitianos/2016/01_fev/txt/g1_8f76a46e-231b-11ed-b24f-6dbe51e79fca_3392.txt", "TXT")</f>
        <v/>
      </c>
    </row>
    <row r="2748">
      <c r="A2748" s="1" t="n">
        <v>2746</v>
      </c>
      <c r="B2748" t="n">
        <v>2016</v>
      </c>
      <c r="C2748" s="2" t="n">
        <v>42397.80833333333</v>
      </c>
      <c r="D2748" t="inlineStr">
        <is>
          <t>PORTAL AMAZONIA</t>
        </is>
      </c>
      <c r="E2748" t="inlineStr">
        <is>
          <t>HAITIANOS</t>
        </is>
      </c>
      <c r="F2748" t="inlineStr">
        <is>
          <t>CIDADES</t>
        </is>
      </c>
      <c r="G2748" t="inlineStr">
        <is>
          <t>REDAÇÃO</t>
        </is>
      </c>
      <c r="H2748" t="inlineStr">
        <is>
          <t>MAIS DE 100 TRABALHADORES EM REGIME DE ESCRAVIDÃO SÃO RESGATADOS NO MARANHÃO</t>
        </is>
      </c>
      <c r="I2748" t="inlineStr">
        <is>
          <t>BRASÍLIA - MAIS DE MIL TRABALHADORES FORAM FLAGRADOS EM CONDIÇÕES ANÁLOGAS À ESCRAVIDÃO NO BRASIL EM 2015. O REGISTROU ACONTECEU POR MEIO DE 140 OPERAÇÕES REALIZADAS PELO GRUPO ESPECIAL DE FISCALIZAÇÃO MÓVEL E POR AUDITORES FISCAIS DO TRABA</t>
        </is>
      </c>
      <c r="J2748" t="inlineStr"/>
      <c r="K2748" t="n">
        <v>0</v>
      </c>
      <c r="L2748" t="n">
        <v>2</v>
      </c>
      <c r="M2748" t="n">
        <v>0</v>
      </c>
      <c r="N2748" t="n">
        <v>0</v>
      </c>
      <c r="O2748" t="n">
        <v>4</v>
      </c>
      <c r="P2748">
        <f>HYPERLINK("https://portalamazonia.com/noticias/cidades/mais-de-100-trabalhadores-em-regime-de-escravidao-sao-resgatados-no-maranhao", "URL")</f>
        <v/>
      </c>
      <c r="Q2748">
        <f>HYPERLINK("https://raw.githubusercontent.com/marcosmapl/dataset_imigrantes/main/materias_filtered/portal_amazonia/haitianos/2016/00_jan/html/18727.18727_1510.html", "HTML")</f>
        <v/>
      </c>
      <c r="R2748">
        <f>HYPERLINK("https://raw.githubusercontent.com/marcosmapl/dataset_imigrantes/main/materias_filtered/portal_amazonia/haitianos/2016/00_jan/txt/18727.18727_1510.txt", "TXT")</f>
        <v/>
      </c>
    </row>
    <row r="2749">
      <c r="A2749" s="1" t="n">
        <v>2747</v>
      </c>
      <c r="B2749" t="n">
        <v>2016</v>
      </c>
      <c r="C2749" s="2" t="n">
        <v>42396.37291666667</v>
      </c>
      <c r="D2749" t="inlineStr">
        <is>
          <t>G1</t>
        </is>
      </c>
      <c r="E2749" t="inlineStr">
        <is>
          <t>HAITIANOS</t>
        </is>
      </c>
      <c r="F2749" t="inlineStr"/>
      <c r="G2749" t="inlineStr">
        <is>
          <t>1 RS</t>
        </is>
      </c>
      <c r="H2749" t="inlineStr">
        <is>
          <t>ESTUDANTES HAITIANOS GANHAM REFORÇO ESCOLAR DE PORTUGUÊS NAS FÉRIAS NO RS</t>
        </is>
      </c>
      <c r="I2749" t="inlineStr"/>
      <c r="J2749" t="inlineStr">
        <is>
          <t>CAXIAS DO SUL</t>
        </is>
      </c>
      <c r="K2749" t="n">
        <v>1</v>
      </c>
      <c r="L2749" t="n">
        <v>4</v>
      </c>
      <c r="M2749" t="n">
        <v>0</v>
      </c>
      <c r="N2749" t="n">
        <v>0</v>
      </c>
      <c r="O2749" t="n">
        <v>13</v>
      </c>
      <c r="P2749">
        <f>HYPERLINK("http://g1.globo.com/rs/rio-grande-do-sul/noticia/2016/01/estudantes-haitianos-ganham-reforco-escolar-de-portugues-nas-ferias-no-rs.html", "URL")</f>
        <v/>
      </c>
      <c r="Q2749">
        <f>HYPERLINK("https://raw.githubusercontent.com/marcosmapl/dataset_imigrantes/main/materias_filtered/g1/haitianos/2016/00_jan/html/g1_148b1806-22f4-11ed-b24f-6dbe51e79fca_1872.html", "HTML")</f>
        <v/>
      </c>
      <c r="R2749">
        <f>HYPERLINK("https://raw.githubusercontent.com/marcosmapl/dataset_imigrantes/main/materias_filtered/g1/haitianos/2016/00_jan/txt/g1_148b1806-22f4-11ed-b24f-6dbe51e79fca_1872.txt", "TXT")</f>
        <v/>
      </c>
    </row>
    <row r="2750">
      <c r="A2750" s="1" t="n">
        <v>2748</v>
      </c>
      <c r="B2750" t="n">
        <v>2016</v>
      </c>
      <c r="C2750" s="2" t="n">
        <v>42396.05972222222</v>
      </c>
      <c r="D2750" t="inlineStr">
        <is>
          <t>G1</t>
        </is>
      </c>
      <c r="E2750" t="inlineStr">
        <is>
          <t>VENEZUELANOS</t>
        </is>
      </c>
      <c r="F2750" t="inlineStr"/>
      <c r="G2750" t="inlineStr">
        <is>
          <t>FE</t>
        </is>
      </c>
      <c r="H2750" t="inlineStr">
        <is>
          <t>ECONOMIA VENEZUELANA ESTÁ 'IMPLODINDO', DIZ DIRETOR DO FMI</t>
        </is>
      </c>
      <c r="I2750" t="inlineStr"/>
      <c r="J2750" t="inlineStr">
        <is>
          <t>FMI, VENEZUELA</t>
        </is>
      </c>
      <c r="K2750" t="n">
        <v>2</v>
      </c>
      <c r="L2750" t="n">
        <v>3</v>
      </c>
      <c r="M2750" t="n">
        <v>0</v>
      </c>
      <c r="N2750" t="n">
        <v>0</v>
      </c>
      <c r="O2750" t="n">
        <v>6</v>
      </c>
      <c r="P2750">
        <f>HYPERLINK("http://g1.globo.com/economia/noticia/2016/01/economia-venezuelana-esta-implodindo-diz-diretor-do-fmi.html", "URL")</f>
        <v/>
      </c>
      <c r="Q2750">
        <f>HYPERLINK("https://raw.githubusercontent.com/marcosmapl/dataset_imigrantes/main/materias_filtered/g1/venezuelanos/2016/00_jan/html/g1_e12ba9ee-230c-11ed-b24f-6dbe51e79fca_2654.html", "HTML")</f>
        <v/>
      </c>
      <c r="R2750">
        <f>HYPERLINK("https://raw.githubusercontent.com/marcosmapl/dataset_imigrantes/main/materias_filtered/g1/venezuelanos/2016/00_jan/txt/g1_e12ba9ee-230c-11ed-b24f-6dbe51e79fca_2654.txt", "TXT")</f>
        <v/>
      </c>
    </row>
    <row r="2751">
      <c r="A2751" s="1" t="n">
        <v>2749</v>
      </c>
      <c r="B2751" t="n">
        <v>2016</v>
      </c>
      <c r="C2751" s="2" t="n">
        <v>42391.88958333333</v>
      </c>
      <c r="D2751" t="inlineStr">
        <is>
          <t>G1</t>
        </is>
      </c>
      <c r="E2751" t="inlineStr">
        <is>
          <t>VENEZUELANOS</t>
        </is>
      </c>
      <c r="F2751" t="inlineStr"/>
      <c r="G2751" t="inlineStr">
        <is>
          <t>1, EM SÃO PAULO</t>
        </is>
      </c>
      <c r="H2751" t="inlineStr">
        <is>
          <t>PARLAMENTO VENEZUELANO REJEITA DECRETO DE EMERGÊNCIA ECONÔMICA</t>
        </is>
      </c>
      <c r="I2751" t="inlineStr"/>
      <c r="J2751" t="inlineStr">
        <is>
          <t>NICOLÁS MADURO, VENEZUELA</t>
        </is>
      </c>
      <c r="K2751" t="n">
        <v>2</v>
      </c>
      <c r="L2751" t="n">
        <v>3</v>
      </c>
      <c r="M2751" t="n">
        <v>0</v>
      </c>
      <c r="N2751" t="n">
        <v>0</v>
      </c>
      <c r="O2751" t="n">
        <v>13</v>
      </c>
      <c r="P2751">
        <f>HYPERLINK("http://g1.globo.com/mundo/noticia/2016/01/parlamento-venezuelano-rejeita-decreto-de-emergencia-economica-20160122202004852630.html", "URL")</f>
        <v/>
      </c>
      <c r="Q2751">
        <f>HYPERLINK("https://raw.githubusercontent.com/marcosmapl/dataset_imigrantes/main/materias_filtered/g1/venezuelanos/2016/00_jan/html/g1_b529855a-2307-11ed-b24f-6dbe51e79fca_2336.html", "HTML")</f>
        <v/>
      </c>
      <c r="R2751">
        <f>HYPERLINK("https://raw.githubusercontent.com/marcosmapl/dataset_imigrantes/main/materias_filtered/g1/venezuelanos/2016/00_jan/txt/g1_b529855a-2307-11ed-b24f-6dbe51e79fca_2336.txt", "TXT")</f>
        <v/>
      </c>
    </row>
    <row r="2752">
      <c r="A2752" s="1" t="n">
        <v>2750</v>
      </c>
      <c r="B2752" t="n">
        <v>2016</v>
      </c>
      <c r="C2752" s="2" t="n">
        <v>42390.12847222222</v>
      </c>
      <c r="D2752" t="inlineStr">
        <is>
          <t>G1</t>
        </is>
      </c>
      <c r="E2752" t="inlineStr">
        <is>
          <t>HAITIANOS</t>
        </is>
      </c>
      <c r="F2752" t="inlineStr"/>
      <c r="G2752" t="inlineStr">
        <is>
          <t>FE</t>
        </is>
      </c>
      <c r="H2752" t="inlineStr">
        <is>
          <t>GOVERNO ESTUDA ADIAR ELEIÇÕES SE OPOSIÇÃO HAITIANA ACEITAR 'CONDIÇÕES'</t>
        </is>
      </c>
      <c r="I2752" t="inlineStr"/>
      <c r="J2752" t="inlineStr">
        <is>
          <t>HAITI</t>
        </is>
      </c>
      <c r="K2752" t="n">
        <v>1</v>
      </c>
      <c r="L2752" t="n">
        <v>4</v>
      </c>
      <c r="M2752" t="n">
        <v>0</v>
      </c>
      <c r="N2752" t="n">
        <v>0</v>
      </c>
      <c r="O2752" t="n">
        <v>12</v>
      </c>
      <c r="P2752">
        <f>HYPERLINK("http://g1.globo.com/mundo/noticia/2016/01/governo-estuda-adiar-eleicoes-se-oposicao-haitiana-aceitar-condicoes.html", "URL")</f>
        <v/>
      </c>
      <c r="Q2752">
        <f>HYPERLINK("https://raw.githubusercontent.com/marcosmapl/dataset_imigrantes/main/materias_filtered/g1/haitianos/2016/00_jan/html/g1_d43a4d18-2315-11ed-b24f-6dbe51e79fca_3108.html", "HTML")</f>
        <v/>
      </c>
      <c r="R2752">
        <f>HYPERLINK("https://raw.githubusercontent.com/marcosmapl/dataset_imigrantes/main/materias_filtered/g1/haitianos/2016/00_jan/txt/g1_d43a4d18-2315-11ed-b24f-6dbe51e79fca_3108.txt", "TXT")</f>
        <v/>
      </c>
    </row>
    <row r="2753">
      <c r="A2753" s="1" t="n">
        <v>2751</v>
      </c>
      <c r="B2753" t="n">
        <v>2016</v>
      </c>
      <c r="C2753" s="2" t="n">
        <v>42389.06111111111</v>
      </c>
      <c r="D2753" t="inlineStr">
        <is>
          <t>G1</t>
        </is>
      </c>
      <c r="E2753" t="inlineStr">
        <is>
          <t>HAITIANOS</t>
        </is>
      </c>
      <c r="F2753" t="inlineStr"/>
      <c r="G2753" t="inlineStr">
        <is>
          <t>RANCE PRESSE</t>
        </is>
      </c>
      <c r="H2753" t="inlineStr">
        <is>
          <t>HAITI REGISTRA SÉRIE DE PROTESTOS A CINCO DIAS DAS ELEIÇÕES</t>
        </is>
      </c>
      <c r="I2753" t="inlineStr"/>
      <c r="J2753" t="inlineStr">
        <is>
          <t>HAITI</t>
        </is>
      </c>
      <c r="K2753" t="n">
        <v>1</v>
      </c>
      <c r="L2753" t="n">
        <v>6</v>
      </c>
      <c r="M2753" t="n">
        <v>0</v>
      </c>
      <c r="N2753" t="n">
        <v>0</v>
      </c>
      <c r="O2753" t="n">
        <v>11</v>
      </c>
      <c r="P2753">
        <f>HYPERLINK("http://g1.globo.com/mundo/noticia/2016/01/haiti-registra-serie-de-protestos-cinco-dias-de-eleicoes.html", "URL")</f>
        <v/>
      </c>
      <c r="Q2753">
        <f>HYPERLINK("https://raw.githubusercontent.com/marcosmapl/dataset_imigrantes/main/materias_filtered/g1/haitianos/2016/00_jan/html/g1_fcd8af84-231b-11ed-b24f-6dbe51e79fca_3421.html", "HTML")</f>
        <v/>
      </c>
      <c r="R2753">
        <f>HYPERLINK("https://raw.githubusercontent.com/marcosmapl/dataset_imigrantes/main/materias_filtered/g1/haitianos/2016/00_jan/txt/g1_fcd8af84-231b-11ed-b24f-6dbe51e79fca_3421.txt", "TXT")</f>
        <v/>
      </c>
    </row>
    <row r="2754">
      <c r="A2754" s="1" t="n">
        <v>2752</v>
      </c>
      <c r="B2754" t="n">
        <v>2016</v>
      </c>
      <c r="C2754" s="2" t="n">
        <v>42384.99209490741</v>
      </c>
      <c r="D2754" t="inlineStr">
        <is>
          <t>A CRITICA</t>
        </is>
      </c>
      <c r="E2754" t="inlineStr">
        <is>
          <t>HAITIANOS</t>
        </is>
      </c>
      <c r="F2754" t="inlineStr"/>
      <c r="G2754" t="inlineStr">
        <is>
          <t>LUANA CARVALHO</t>
        </is>
      </c>
      <c r="H2754" t="inlineStr">
        <is>
          <t>SABINO DIZ QUE VAI ATÉ A ÚLTIMA INSTÂNCIA DA JUSTIÇA PARA FICAR COM A GUARDA DE MENINA HAITIANA</t>
        </is>
      </c>
      <c r="I2754" t="inlineStr">
        <is>
          <t>O EX-PARLAMENTAR TAMBÉM ACUSOU A MULHER QUE O DENUNCIOU, AMIGA DO TIO DA CRIANÇA, DE EXTORSÃO</t>
        </is>
      </c>
      <c r="J2754" t="inlineStr"/>
      <c r="K2754" t="n">
        <v>0</v>
      </c>
      <c r="L2754" t="n">
        <v>1</v>
      </c>
      <c r="M2754" t="n">
        <v>0</v>
      </c>
      <c r="N2754" t="n">
        <v>0</v>
      </c>
      <c r="O2754" t="n">
        <v>1</v>
      </c>
      <c r="P2754">
        <f>HYPERLINK("https://www.acritica.com/sabino-diz-que-vai-ate-a-ultima-instancia-da-justica-para-ficar-com-a-guarda-de-menina-haitiana-1.246805", "URL")</f>
        <v/>
      </c>
      <c r="Q2754">
        <f>HYPERLINK("https://raw.githubusercontent.com/marcosmapl/dataset_imigrantes/main/materias_filtered/a_critica/haitianos/2016/00_jan/html/1.246805_30.html", "HTML")</f>
        <v/>
      </c>
      <c r="R2754">
        <f>HYPERLINK("https://raw.githubusercontent.com/marcosmapl/dataset_imigrantes/main/materias_filtered/a_critica/haitianos/2016/00_jan/txt/1.246805_30.txt", "TXT")</f>
        <v/>
      </c>
    </row>
    <row r="2755">
      <c r="A2755" s="1" t="n">
        <v>2753</v>
      </c>
      <c r="B2755" t="n">
        <v>2016</v>
      </c>
      <c r="C2755" s="2" t="n">
        <v>42384.95277777778</v>
      </c>
      <c r="D2755" t="inlineStr">
        <is>
          <t>G1</t>
        </is>
      </c>
      <c r="E2755" t="inlineStr">
        <is>
          <t>HAITIANOS</t>
        </is>
      </c>
      <c r="F2755" t="inlineStr"/>
      <c r="G2755" t="inlineStr">
        <is>
          <t>1 SC</t>
        </is>
      </c>
      <c r="H2755" t="inlineStr">
        <is>
          <t>KOMBI COM HAITIANOS CAI EM RIBANCEIRA E DEIXA FERIDOS EM SC</t>
        </is>
      </c>
      <c r="I2755" t="inlineStr"/>
      <c r="J2755" t="inlineStr">
        <is>
          <t>LAURO MÜLLER</t>
        </is>
      </c>
      <c r="K2755" t="n">
        <v>1</v>
      </c>
      <c r="L2755" t="n">
        <v>5</v>
      </c>
      <c r="M2755" t="n">
        <v>0</v>
      </c>
      <c r="N2755" t="n">
        <v>0</v>
      </c>
      <c r="O2755" t="n">
        <v>9</v>
      </c>
      <c r="P2755">
        <f>HYPERLINK("http://g1.globo.com/sc/santa-catarina/noticia/2016/01/kombi-com-haitianos-cai-em-ribanceira-e-deixa-feridos-em-sc.html", "URL")</f>
        <v/>
      </c>
      <c r="Q2755">
        <f>HYPERLINK("https://raw.githubusercontent.com/marcosmapl/dataset_imigrantes/main/materias_filtered/g1/haitianos/2016/00_jan/html/g1_961dd950-22f7-11ed-b24f-6dbe51e79fca_2086.html", "HTML")</f>
        <v/>
      </c>
      <c r="R2755">
        <f>HYPERLINK("https://raw.githubusercontent.com/marcosmapl/dataset_imigrantes/main/materias_filtered/g1/haitianos/2016/00_jan/txt/g1_961dd950-22f7-11ed-b24f-6dbe51e79fca_2086.txt", "TXT")</f>
        <v/>
      </c>
    </row>
    <row r="2756">
      <c r="A2756" s="1" t="n">
        <v>2754</v>
      </c>
      <c r="B2756" t="n">
        <v>2016</v>
      </c>
      <c r="C2756" s="2" t="n">
        <v>42384.92013888889</v>
      </c>
      <c r="D2756" t="inlineStr">
        <is>
          <t>PORTAL AMAZONIA</t>
        </is>
      </c>
      <c r="E2756" t="inlineStr">
        <is>
          <t>HAITIANOS</t>
        </is>
      </c>
      <c r="F2756" t="inlineStr">
        <is>
          <t>CIDADES</t>
        </is>
      </c>
      <c r="G2756" t="inlineStr">
        <is>
          <t>REDAÇÃO</t>
        </is>
      </c>
      <c r="H2756" t="inlineStr">
        <is>
          <t>CRIANÇA HAITIANA É ENTREGUE A TIO APÓS DISPUTA NA JUSTIÇA COM EX-DEPUTADO, NO AM</t>
        </is>
      </c>
      <c r="I2756" t="inlineStr">
        <is>
          <t>MANAUS - A MENINA HAITIANA, DE 3 ANOS DE IDADE, QUE FOI ALVO DE UMA DISPUTA NA JUSTIÇA, ENTRE TIO E O EX-DEPUTADO FEDERAL SABINO CASTELO BRANCO, FOI ENTREGUE À VARA DA INFÂNCIA E JUVENTUDE DE MANAUS, NA MANHÃ DESTA SEXTA-FEIRA (15). DE ACORDO COM A V</t>
        </is>
      </c>
      <c r="J2756" t="inlineStr"/>
      <c r="K2756" t="n">
        <v>0</v>
      </c>
      <c r="L2756" t="n">
        <v>1</v>
      </c>
      <c r="M2756" t="n">
        <v>0</v>
      </c>
      <c r="N2756" t="n">
        <v>1</v>
      </c>
      <c r="O2756" t="n">
        <v>5</v>
      </c>
      <c r="P2756">
        <f>HYPERLINK("https://portalamazonia.com/noticias/cidades/crianca-haitiana-e-entregue-a-tio-apos-disputa-na-justica-com-ex-deputado-no-am", "URL")</f>
        <v/>
      </c>
      <c r="Q2756">
        <f>HYPERLINK("https://raw.githubusercontent.com/marcosmapl/dataset_imigrantes/main/materias_filtered/portal_amazonia/haitianos/2016/00_jan/html/18317.25041_1609.html", "HTML")</f>
        <v/>
      </c>
      <c r="R2756">
        <f>HYPERLINK("https://raw.githubusercontent.com/marcosmapl/dataset_imigrantes/main/materias_filtered/portal_amazonia/haitianos/2016/00_jan/txt/18317.25041_1609.txt", "TXT")</f>
        <v/>
      </c>
    </row>
    <row r="2757">
      <c r="A2757" s="1" t="n">
        <v>2755</v>
      </c>
      <c r="B2757" t="n">
        <v>2016</v>
      </c>
      <c r="C2757" s="2" t="n">
        <v>42384.71515046297</v>
      </c>
      <c r="D2757" t="inlineStr">
        <is>
          <t>A CRITICA</t>
        </is>
      </c>
      <c r="E2757" t="inlineStr">
        <is>
          <t>HAITIANOS</t>
        </is>
      </c>
      <c r="F2757" t="inlineStr">
        <is>
          <t>MANAUS</t>
        </is>
      </c>
      <c r="G2757" t="inlineStr">
        <is>
          <t>LUANA CARVALHO</t>
        </is>
      </c>
      <c r="H2757" t="inlineStr">
        <is>
          <t>CRIANÇA HAITIANA QUE ESTAVA COM SABINO É DEVOLVIDA AO TIO, MAS JUSTIÇA AINDA NÃO DECIDIU O CASO</t>
        </is>
      </c>
      <c r="I2757" t="inlineStr">
        <is>
          <t>O TIO DA MENINA, LUCIUS POPOTTE, TAMBÉM NÃO TEM A GUARDA DA MENINA E ESTÁ COM UMA AUDIÊNCIA PSICOSSOCIAL MARCADA PARA O DIA 24 DESTE MÊS.</t>
        </is>
      </c>
      <c r="J2757" t="inlineStr"/>
      <c r="K2757" t="n">
        <v>0</v>
      </c>
      <c r="L2757" t="n">
        <v>1</v>
      </c>
      <c r="M2757" t="n">
        <v>0</v>
      </c>
      <c r="N2757" t="n">
        <v>0</v>
      </c>
      <c r="O2757" t="n">
        <v>1</v>
      </c>
      <c r="P2757">
        <f>HYPERLINK("https://www.acritica.com/manaus/crianca-haitiana-que-estava-com-sabino-e-devolvida-ao-tio-mas-justica-ainda-n-o-decidiu-o-caso-1.246812", "URL")</f>
        <v/>
      </c>
      <c r="Q2757">
        <f>HYPERLINK("https://raw.githubusercontent.com/marcosmapl/dataset_imigrantes/main/materias_filtered/a_critica/haitianos/2016/00_jan/html/1.246812_1115.html", "HTML")</f>
        <v/>
      </c>
      <c r="R2757">
        <f>HYPERLINK("https://raw.githubusercontent.com/marcosmapl/dataset_imigrantes/main/materias_filtered/a_critica/haitianos/2016/00_jan/txt/1.246812_1115.txt", "TXT")</f>
        <v/>
      </c>
    </row>
    <row r="2758">
      <c r="A2758" s="1" t="n">
        <v>2756</v>
      </c>
      <c r="B2758" t="n">
        <v>2016</v>
      </c>
      <c r="C2758" s="2" t="n">
        <v>42384.64513888889</v>
      </c>
      <c r="D2758" t="inlineStr">
        <is>
          <t>G1</t>
        </is>
      </c>
      <c r="E2758" t="inlineStr">
        <is>
          <t>HAITIANOS</t>
        </is>
      </c>
      <c r="F2758" t="inlineStr"/>
      <c r="G2758" t="inlineStr">
        <is>
          <t>ISON SEVERIANO E ANDREZZA LIFSITCHDO G1 AM</t>
        </is>
      </c>
      <c r="H2758" t="inlineStr">
        <is>
          <t>HAITIANA DE 3 ANOS É DEVOLVIDA A TIO EM MEIO A DISPUTA COM EX-DEPUTADO</t>
        </is>
      </c>
      <c r="I2758" t="inlineStr"/>
      <c r="J2758" t="inlineStr">
        <is>
          <t>MANAUS, AMAZONAS</t>
        </is>
      </c>
      <c r="K2758" t="n">
        <v>2</v>
      </c>
      <c r="L2758" t="n">
        <v>6</v>
      </c>
      <c r="M2758" t="n">
        <v>0</v>
      </c>
      <c r="N2758" t="n">
        <v>0</v>
      </c>
      <c r="O2758" t="n">
        <v>12</v>
      </c>
      <c r="P2758">
        <f>HYPERLINK("http://g1.globo.com/am/amazonas/noticia/2016/01/haitiana-de-3-anos-e-devolvida-tio-em-meio-disputa-com-ex-deputado.html", "URL")</f>
        <v/>
      </c>
      <c r="Q2758">
        <f>HYPERLINK("https://raw.githubusercontent.com/marcosmapl/dataset_imigrantes/main/materias_filtered/g1/haitianos/2016/00_jan/html/g1_e9a59d58-2309-11ed-b24f-6dbe51e79fca_2473.html", "HTML")</f>
        <v/>
      </c>
      <c r="R2758">
        <f>HYPERLINK("https://raw.githubusercontent.com/marcosmapl/dataset_imigrantes/main/materias_filtered/g1/haitianos/2016/00_jan/txt/g1_e9a59d58-2309-11ed-b24f-6dbe51e79fca_2473.txt", "TXT")</f>
        <v/>
      </c>
    </row>
    <row r="2759">
      <c r="A2759" s="1" t="n">
        <v>2757</v>
      </c>
      <c r="B2759" t="n">
        <v>2016</v>
      </c>
      <c r="C2759" s="2" t="n">
        <v>42383.88472222222</v>
      </c>
      <c r="D2759" t="inlineStr">
        <is>
          <t>G1</t>
        </is>
      </c>
      <c r="E2759" t="inlineStr">
        <is>
          <t>HAITIANOS</t>
        </is>
      </c>
      <c r="F2759" t="inlineStr"/>
      <c r="G2759" t="inlineStr">
        <is>
          <t>1 AM</t>
        </is>
      </c>
      <c r="H2759" t="inlineStr">
        <is>
          <t>NO AM, HAITIANA DE 3 ANOS FICARÁ COM EX-DEPUTADO ATÉ JUSTIÇA DEFINIR GUARDA</t>
        </is>
      </c>
      <c r="I2759" t="inlineStr"/>
      <c r="J2759" t="inlineStr">
        <is>
          <t>MANAUS, AMAZONAS</t>
        </is>
      </c>
      <c r="K2759" t="n">
        <v>2</v>
      </c>
      <c r="L2759" t="n">
        <v>5</v>
      </c>
      <c r="M2759" t="n">
        <v>0</v>
      </c>
      <c r="N2759" t="n">
        <v>0</v>
      </c>
      <c r="O2759" t="n">
        <v>11</v>
      </c>
      <c r="P2759">
        <f>HYPERLINK("http://g1.globo.com/am/amazonas/noticia/2016/01/no-am-haitiana-de-3-anos-ficara-com-ex-deputado-ate-justica-definir-guarda.html", "URL")</f>
        <v/>
      </c>
      <c r="Q2759">
        <f>HYPERLINK("https://raw.githubusercontent.com/marcosmapl/dataset_imigrantes/main/materias_filtered/g1/haitianos/2016/00_jan/html/g1_8de8013c-2317-11ed-b24f-6dbe51e79fca_3216.html", "HTML")</f>
        <v/>
      </c>
      <c r="R2759">
        <f>HYPERLINK("https://raw.githubusercontent.com/marcosmapl/dataset_imigrantes/main/materias_filtered/g1/haitianos/2016/00_jan/txt/g1_8de8013c-2317-11ed-b24f-6dbe51e79fca_3216.txt", "TXT")</f>
        <v/>
      </c>
    </row>
    <row r="2760">
      <c r="A2760" s="1" t="n">
        <v>2758</v>
      </c>
      <c r="B2760" t="n">
        <v>2016</v>
      </c>
      <c r="C2760" s="2" t="n">
        <v>42383.87416666667</v>
      </c>
      <c r="D2760" t="inlineStr">
        <is>
          <t>A CRITICA</t>
        </is>
      </c>
      <c r="E2760" t="inlineStr">
        <is>
          <t>HAITIANOS</t>
        </is>
      </c>
      <c r="F2760" t="inlineStr"/>
      <c r="G2760" t="inlineStr">
        <is>
          <t>ACRITICA.COM*</t>
        </is>
      </c>
      <c r="H2760" t="inlineStr">
        <is>
          <t>EX-DEPUTADO CONTRA TIO: SABINO DIZ QUE NÃO VAI ABRIR DA MÃO DA GUARDA DE MENINA HAITIANA</t>
        </is>
      </c>
      <c r="I2760" t="inlineStr">
        <is>
          <t>SEGUNDO O POLÍTICO, JUIZ PLANTONISTA DA VARA DA INFÂNCIA DESPACHOU DIZENDO QUE SOMENTE O TITULAR PODERÁ DECIDIR O CASO; O EX-PARLAMENTAR AFIRMOU QUE SÓ VAI ENTREGAR A CRIANÇA MEDIANTE DECISÃO DA JUSTIÇA</t>
        </is>
      </c>
      <c r="J2760" t="inlineStr"/>
      <c r="K2760" t="n">
        <v>0</v>
      </c>
      <c r="L2760" t="n">
        <v>1</v>
      </c>
      <c r="M2760" t="n">
        <v>0</v>
      </c>
      <c r="N2760" t="n">
        <v>0</v>
      </c>
      <c r="O2760" t="n">
        <v>1</v>
      </c>
      <c r="P2760">
        <f>HYPERLINK("https://www.acritica.com/ex-deputado-contra-tio-sabino-diz-que-n-o-vai-abrir-da-m-o-da-guarda-de-menina-haitiana-1.246771", "URL")</f>
        <v/>
      </c>
      <c r="Q2760">
        <f>HYPERLINK("https://raw.githubusercontent.com/marcosmapl/dataset_imigrantes/main/materias_filtered/a_critica/haitianos/2016/00_jan/html/1.246771_69.html", "HTML")</f>
        <v/>
      </c>
      <c r="R2760">
        <f>HYPERLINK("https://raw.githubusercontent.com/marcosmapl/dataset_imigrantes/main/materias_filtered/a_critica/haitianos/2016/00_jan/txt/1.246771_69.txt", "TXT")</f>
        <v/>
      </c>
    </row>
    <row r="2761">
      <c r="A2761" s="1" t="n">
        <v>2759</v>
      </c>
      <c r="B2761" t="n">
        <v>2016</v>
      </c>
      <c r="C2761" s="2" t="n">
        <v>42383.87363425926</v>
      </c>
      <c r="D2761" t="inlineStr">
        <is>
          <t>A CRITICA</t>
        </is>
      </c>
      <c r="E2761" t="inlineStr">
        <is>
          <t>HAITIANOS</t>
        </is>
      </c>
      <c r="F2761" t="inlineStr"/>
      <c r="G2761" t="inlineStr">
        <is>
          <t>ACRITICA.COM*</t>
        </is>
      </c>
      <c r="H2761" t="inlineStr">
        <is>
          <t>SE NÃO CONSEGUIR GUARDA, SABINO DIZ QUE ENTREGARÁ CRIANÇA HAITIANA AO CONSELHO TUTELAR HOJE (14)</t>
        </is>
      </c>
      <c r="I2761" t="inlineStr">
        <is>
          <t>EX-DEPUTADO DISPUTA GUARDA DE MENINA DE TRÊS ANOS DE IDADE COM O TIO DELA; CASO FOI PARAR NA DELEGACIA ESPECIALIZADA EM PROTEÇÃO À CRIANÇA E AO ADOLESCENTE (DEPCA) NESTA TERÇA-FEIRA (13)</t>
        </is>
      </c>
      <c r="J2761" t="inlineStr"/>
      <c r="K2761" t="n">
        <v>0</v>
      </c>
      <c r="L2761" t="n">
        <v>1</v>
      </c>
      <c r="M2761" t="n">
        <v>0</v>
      </c>
      <c r="N2761" t="n">
        <v>0</v>
      </c>
      <c r="O2761" t="n">
        <v>1</v>
      </c>
      <c r="P2761">
        <f>HYPERLINK("https://www.acritica.com/se-n-o-conseguir-guarda-sabino-diz-que-entregara-crianca-haitiana-ao-conselho-tutelar-hoje-14-1.246773", "URL")</f>
        <v/>
      </c>
      <c r="Q2761">
        <f>HYPERLINK("https://raw.githubusercontent.com/marcosmapl/dataset_imigrantes/main/materias_filtered/a_critica/haitianos/2016/00_jan/html/1.246773_180.html", "HTML")</f>
        <v/>
      </c>
      <c r="R2761">
        <f>HYPERLINK("https://raw.githubusercontent.com/marcosmapl/dataset_imigrantes/main/materias_filtered/a_critica/haitianos/2016/00_jan/txt/1.246773_180.txt", "TXT")</f>
        <v/>
      </c>
    </row>
    <row r="2762">
      <c r="A2762" s="1" t="n">
        <v>2760</v>
      </c>
      <c r="B2762" t="n">
        <v>2016</v>
      </c>
      <c r="C2762" s="2" t="n">
        <v>42383.57916666667</v>
      </c>
      <c r="D2762" t="inlineStr">
        <is>
          <t>G1</t>
        </is>
      </c>
      <c r="E2762" t="inlineStr">
        <is>
          <t>HAITIANOS</t>
        </is>
      </c>
      <c r="F2762" t="inlineStr"/>
      <c r="G2762" t="inlineStr">
        <is>
          <t>ISON SEVERIANODO G1 AM</t>
        </is>
      </c>
      <c r="H2762" t="inlineStr">
        <is>
          <t>CRIANÇA HAITIANA É ALVO DE DISPUTA ENTRE TIO E EX-DEPUTADO SABINO, NO AM</t>
        </is>
      </c>
      <c r="I2762" t="inlineStr"/>
      <c r="J2762" t="inlineStr">
        <is>
          <t>MANAUS, AMAZONAS</t>
        </is>
      </c>
      <c r="K2762" t="n">
        <v>2</v>
      </c>
      <c r="L2762" t="n">
        <v>6</v>
      </c>
      <c r="M2762" t="n">
        <v>0</v>
      </c>
      <c r="N2762" t="n">
        <v>0</v>
      </c>
      <c r="O2762" t="n">
        <v>12</v>
      </c>
      <c r="P2762">
        <f>HYPERLINK("http://g1.globo.com/am/amazonas/noticia/2016/01/crianca-haitiana-e-alvo-de-disputa-de-tio-e-do-ex-deputado-sabino-no-am.html", "URL")</f>
        <v/>
      </c>
      <c r="Q2762">
        <f>HYPERLINK("https://raw.githubusercontent.com/marcosmapl/dataset_imigrantes/main/materias_filtered/g1/haitianos/2016/00_jan/html/g1_85c1da2c-2309-11ed-b24f-6dbe51e79fca_2449.html", "HTML")</f>
        <v/>
      </c>
      <c r="R2762">
        <f>HYPERLINK("https://raw.githubusercontent.com/marcosmapl/dataset_imigrantes/main/materias_filtered/g1/haitianos/2016/00_jan/txt/g1_85c1da2c-2309-11ed-b24f-6dbe51e79fca_2449.txt", "TXT")</f>
        <v/>
      </c>
    </row>
    <row r="2763">
      <c r="A2763" s="1" t="n">
        <v>2761</v>
      </c>
      <c r="B2763" t="n">
        <v>2016</v>
      </c>
      <c r="C2763" s="2" t="n">
        <v>42382.74375</v>
      </c>
      <c r="D2763" t="inlineStr">
        <is>
          <t>G1</t>
        </is>
      </c>
      <c r="E2763" t="inlineStr">
        <is>
          <t>HAITIANOS</t>
        </is>
      </c>
      <c r="F2763" t="inlineStr"/>
      <c r="G2763" t="inlineStr">
        <is>
          <t>NA MORAISDO G1 RO</t>
        </is>
      </c>
      <c r="H2763" t="inlineStr">
        <is>
          <t>HAITIANOS PERDEM MÓVEIS E OBJETOS  APÓS INCÊNDIO EM APARTAMENTO EM RO</t>
        </is>
      </c>
      <c r="I2763" t="inlineStr"/>
      <c r="J2763" t="inlineStr">
        <is>
          <t>RONDÔNIA, PORTO VELHO</t>
        </is>
      </c>
      <c r="K2763" t="n">
        <v>2</v>
      </c>
      <c r="L2763" t="n">
        <v>7</v>
      </c>
      <c r="M2763" t="n">
        <v>0</v>
      </c>
      <c r="N2763" t="n">
        <v>0</v>
      </c>
      <c r="O2763" t="n">
        <v>13</v>
      </c>
      <c r="P2763">
        <f>HYPERLINK("http://g1.globo.com/ro/rondonia/noticia/2016/01/haitianos-perdem-moveis-e-objetos-apos-incendio-em-apartamento-em-ro.html", "URL")</f>
        <v/>
      </c>
      <c r="Q2763">
        <f>HYPERLINK("https://raw.githubusercontent.com/marcosmapl/dataset_imigrantes/main/materias_filtered/g1/haitianos/2016/00_jan/html/g1_173612f2-22f1-11ed-b24f-6dbe51e79fca_1734.html", "HTML")</f>
        <v/>
      </c>
      <c r="R2763">
        <f>HYPERLINK("https://raw.githubusercontent.com/marcosmapl/dataset_imigrantes/main/materias_filtered/g1/haitianos/2016/00_jan/txt/g1_173612f2-22f1-11ed-b24f-6dbe51e79fca_1734.txt", "TXT")</f>
        <v/>
      </c>
    </row>
    <row r="2764">
      <c r="A2764" s="1" t="n">
        <v>2762</v>
      </c>
      <c r="B2764" t="n">
        <v>2016</v>
      </c>
      <c r="C2764" s="2" t="n">
        <v>42381.84930555556</v>
      </c>
      <c r="D2764" t="inlineStr">
        <is>
          <t>G1</t>
        </is>
      </c>
      <c r="E2764" t="inlineStr">
        <is>
          <t>HAITIANOS</t>
        </is>
      </c>
      <c r="F2764" t="inlineStr"/>
      <c r="G2764" t="inlineStr">
        <is>
          <t>FP</t>
        </is>
      </c>
      <c r="H2764" t="inlineStr">
        <is>
          <t>HAITI HOMENAGEIA MORTOS SEIS ANOS APÓS TERREMOTO</t>
        </is>
      </c>
      <c r="I2764" t="inlineStr"/>
      <c r="J2764" t="inlineStr">
        <is>
          <t>HAITI</t>
        </is>
      </c>
      <c r="K2764" t="n">
        <v>1</v>
      </c>
      <c r="L2764" t="n">
        <v>6</v>
      </c>
      <c r="M2764" t="n">
        <v>0</v>
      </c>
      <c r="N2764" t="n">
        <v>0</v>
      </c>
      <c r="O2764" t="n">
        <v>11</v>
      </c>
      <c r="P2764">
        <f>HYPERLINK("http://g1.globo.com/mundo/noticia/2016/01/haiti-homenageia-mortos-seis-anos-apos-terremoto.html", "URL")</f>
        <v/>
      </c>
      <c r="Q2764">
        <f>HYPERLINK("https://raw.githubusercontent.com/marcosmapl/dataset_imigrantes/main/materias_filtered/g1/haitianos/2016/00_jan/html/g1_83814eec-2326-11ed-b24f-6dbe51e79fca_3981.html", "HTML")</f>
        <v/>
      </c>
      <c r="R2764">
        <f>HYPERLINK("https://raw.githubusercontent.com/marcosmapl/dataset_imigrantes/main/materias_filtered/g1/haitianos/2016/00_jan/txt/g1_83814eec-2326-11ed-b24f-6dbe51e79fca_3981.txt", "TXT")</f>
        <v/>
      </c>
    </row>
    <row r="2765">
      <c r="A2765" s="1" t="n">
        <v>2763</v>
      </c>
      <c r="B2765" t="n">
        <v>2016</v>
      </c>
      <c r="C2765" s="2" t="n">
        <v>42381.67296296296</v>
      </c>
      <c r="D2765" t="inlineStr">
        <is>
          <t>A CRITICA</t>
        </is>
      </c>
      <c r="E2765" t="inlineStr">
        <is>
          <t>HAITIANOS</t>
        </is>
      </c>
      <c r="F2765" t="inlineStr">
        <is>
          <t>MANAUS</t>
        </is>
      </c>
      <c r="G2765" t="inlineStr">
        <is>
          <t>LUANA CARVALHO</t>
        </is>
      </c>
      <c r="H2765" t="inlineStr">
        <is>
          <t>SEIS ANOS APÓS TRAGÉDIA, HAITIANOS QUE ELEGERAM MANAUS COMO NOVO LAR NÃO QUEREM MAIS SAIR DAQUI</t>
        </is>
      </c>
      <c r="I2765" t="inlineStr">
        <is>
          <t>CONHEÇA AS HISTÓRIAS DE HAITIANOS QUE SÃO APAIXONADOS PELA CAPITAL AMAZONENSE; CENTENAS IMIGRARAM PARA O AMAZONAS DESDE 2010, ANO DO TERREMOTO QUE DEIXOU MILHARES DE MORTOS NA ILHA CARIBENHA</t>
        </is>
      </c>
      <c r="J2765" t="inlineStr"/>
      <c r="K2765" t="n">
        <v>0</v>
      </c>
      <c r="L2765" t="n">
        <v>1</v>
      </c>
      <c r="M2765" t="n">
        <v>0</v>
      </c>
      <c r="N2765" t="n">
        <v>0</v>
      </c>
      <c r="O2765" t="n">
        <v>1</v>
      </c>
      <c r="P2765">
        <f>HYPERLINK("https://www.acritica.com/manaus/seis-anos-apos-tragedia-haitianos-que-elegeram-manaus-como-novo-lar-n-o-querem-mais-sair-daqui-1.246872", "URL")</f>
        <v/>
      </c>
      <c r="Q2765">
        <f>HYPERLINK("https://raw.githubusercontent.com/marcosmapl/dataset_imigrantes/main/materias_filtered/a_critica/haitianos/2016/00_jan/html/1.246872_689.html", "HTML")</f>
        <v/>
      </c>
      <c r="R2765">
        <f>HYPERLINK("https://raw.githubusercontent.com/marcosmapl/dataset_imigrantes/main/materias_filtered/a_critica/haitianos/2016/00_jan/txt/1.246872_689.txt", "TXT")</f>
        <v/>
      </c>
    </row>
    <row r="2766">
      <c r="A2766" s="1" t="n">
        <v>2764</v>
      </c>
      <c r="B2766" t="n">
        <v>2016</v>
      </c>
      <c r="C2766" s="2" t="n">
        <v>42378.74375</v>
      </c>
      <c r="D2766" t="inlineStr">
        <is>
          <t>PORTAL AMAZONIA</t>
        </is>
      </c>
      <c r="E2766" t="inlineStr">
        <is>
          <t>VENEZUELANOS</t>
        </is>
      </c>
      <c r="F2766" t="inlineStr">
        <is>
          <t>CIDADES</t>
        </is>
      </c>
      <c r="G2766" t="inlineStr">
        <is>
          <t>REDAÇÃO</t>
        </is>
      </c>
      <c r="H2766" t="inlineStr">
        <is>
          <t>LINHA DO TEMPO: ENTENDA A SITUAÇÃO POLÍTICA ATUAL DA VENEZUELA</t>
        </is>
      </c>
      <c r="I2766" t="inlineStr">
        <is>
          <t>MANAUS - RECENTEMENTE, A OPOSIÇÃO DA VENEZUELA ASSUMIU O CONTROLE DO CONGRESSO. A INSTALAÇÃO DA ASSEMBLEIA NACIONAL, ELEITA NAS HISTÓRICAS ELEIÇÕES PARLAMENTARES DE 6 DE DEZEMBRO, ACONTECE COM MUITAS TENSÕES E ATÉ UMA FALA EFUSIVA DO PRESIDENTE</t>
        </is>
      </c>
      <c r="J2766" t="inlineStr"/>
      <c r="K2766" t="n">
        <v>0</v>
      </c>
      <c r="L2766" t="n">
        <v>1</v>
      </c>
      <c r="M2766" t="n">
        <v>0</v>
      </c>
      <c r="N2766" t="n">
        <v>0</v>
      </c>
      <c r="O2766" t="n">
        <v>4</v>
      </c>
      <c r="P2766">
        <f>HYPERLINK("https://portalamazonia.com/noticias/cidades/linha-do-tempo-entenda-a-situacao-politica-atual-da-venezuela", "URL")</f>
        <v/>
      </c>
      <c r="Q2766">
        <f>HYPERLINK("https://raw.githubusercontent.com/marcosmapl/dataset_imigrantes/main/materias_filtered/portal_amazonia/venezuelanos/2016/00_jan/html/18149.18149_1578.html", "HTML")</f>
        <v/>
      </c>
      <c r="R2766">
        <f>HYPERLINK("https://raw.githubusercontent.com/marcosmapl/dataset_imigrantes/main/materias_filtered/portal_amazonia/venezuelanos/2016/00_jan/txt/18149.18149_1578.txt", "TXT")</f>
        <v/>
      </c>
    </row>
    <row r="2767">
      <c r="A2767" s="1" t="n">
        <v>2765</v>
      </c>
      <c r="B2767" t="n">
        <v>2016</v>
      </c>
      <c r="C2767" s="2" t="n">
        <v>42377.24027777778</v>
      </c>
      <c r="D2767" t="inlineStr">
        <is>
          <t>G1</t>
        </is>
      </c>
      <c r="E2767" t="inlineStr">
        <is>
          <t>HAITIANOS</t>
        </is>
      </c>
      <c r="F2767" t="inlineStr"/>
      <c r="G2767" t="inlineStr">
        <is>
          <t xml:space="preserve"> FULGÊNCIODO G1 AC</t>
        </is>
      </c>
      <c r="H2767" t="inlineStr">
        <is>
          <t>Nº DE HAITIANOS QUE ENTRAM NO BRASIL PELO ACRE CAI 96% EM 12 MESES</t>
        </is>
      </c>
      <c r="I2767" t="inlineStr"/>
      <c r="J2767" t="inlineStr">
        <is>
          <t>ASSIS BRASIL, BRASILÉIA, RIO BRANCO, ACRE, EQUADOR, HAITI, JOSÉ EDUARDO CARDOZO, REPÚBLICA DOMINICANA, RIO DE JANEIRO</t>
        </is>
      </c>
      <c r="K2767" t="n">
        <v>9</v>
      </c>
      <c r="L2767" t="n">
        <v>8</v>
      </c>
      <c r="M2767" t="n">
        <v>0</v>
      </c>
      <c r="N2767" t="n">
        <v>0</v>
      </c>
      <c r="O2767" t="n">
        <v>22</v>
      </c>
      <c r="P2767">
        <f>HYPERLINK("http://g1.globo.com/ac/acre/noticia/2016/01/n-de-haitianos-que-entram-no-brasil-pelo-acre-cai-96-em-12-meses.html", "URL")</f>
        <v/>
      </c>
      <c r="Q2767">
        <f>HYPERLINK("https://raw.githubusercontent.com/marcosmapl/dataset_imigrantes/main/materias_filtered/g1/haitianos/2016/00_jan/html/g1_4904bc5a-22f8-11ed-b24f-6dbe51e79fca_2126.html", "HTML")</f>
        <v/>
      </c>
      <c r="R2767">
        <f>HYPERLINK("https://raw.githubusercontent.com/marcosmapl/dataset_imigrantes/main/materias_filtered/g1/haitianos/2016/00_jan/txt/g1_4904bc5a-22f8-11ed-b24f-6dbe51e79fca_2126.txt", "TXT")</f>
        <v/>
      </c>
    </row>
    <row r="2768">
      <c r="A2768" s="1" t="n">
        <v>2766</v>
      </c>
      <c r="B2768" t="n">
        <v>2016</v>
      </c>
      <c r="C2768" s="2" t="n">
        <v>42374.55277777778</v>
      </c>
      <c r="D2768" t="inlineStr">
        <is>
          <t>G1</t>
        </is>
      </c>
      <c r="E2768" t="inlineStr">
        <is>
          <t>VENEZUELANOS</t>
        </is>
      </c>
      <c r="F2768" t="inlineStr"/>
      <c r="G2768" t="inlineStr">
        <is>
          <t>PE MATOSODO G1, EM BRASÍLIA</t>
        </is>
      </c>
      <c r="H2768" t="inlineStr">
        <is>
          <t>ITAMARATY DEFENDE EM NOTA RESPEITO À NOVA ASSEMBLEIA VENEZUELANA</t>
        </is>
      </c>
      <c r="I2768" t="inlineStr"/>
      <c r="J2768" t="inlineStr"/>
      <c r="K2768" t="n">
        <v>0</v>
      </c>
      <c r="L2768" t="n">
        <v>1</v>
      </c>
      <c r="M2768" t="n">
        <v>0</v>
      </c>
      <c r="N2768" t="n">
        <v>0</v>
      </c>
      <c r="O2768" t="n">
        <v>6</v>
      </c>
      <c r="P2768">
        <f>HYPERLINK("http://g1.globo.com/mundo/noticia/2016/01/itamaraty-defende-em-nota-respeito-nova-assembleia-venezuelana.html", "URL")</f>
        <v/>
      </c>
      <c r="Q2768">
        <f>HYPERLINK("https://raw.githubusercontent.com/marcosmapl/dataset_imigrantes/main/materias_filtered/g1/venezuelanos/2016/00_jan/html/g1_fd57ed16-2308-11ed-b24f-6dbe51e79fca_2418.html", "HTML")</f>
        <v/>
      </c>
      <c r="R2768">
        <f>HYPERLINK("https://raw.githubusercontent.com/marcosmapl/dataset_imigrantes/main/materias_filtered/g1/venezuelanos/2016/00_jan/txt/g1_fd57ed16-2308-11ed-b24f-6dbe51e79fca_2418.txt", "TXT")</f>
        <v/>
      </c>
    </row>
    <row r="2769">
      <c r="A2769" s="1" t="n">
        <v>2767</v>
      </c>
      <c r="B2769" t="n">
        <v>2016</v>
      </c>
      <c r="C2769" s="2" t="n">
        <v>42373.69027777778</v>
      </c>
      <c r="D2769" t="inlineStr">
        <is>
          <t>G1</t>
        </is>
      </c>
      <c r="E2769" t="inlineStr">
        <is>
          <t>HAITIANOS</t>
        </is>
      </c>
      <c r="F2769" t="inlineStr"/>
      <c r="G2769" t="inlineStr">
        <is>
          <t>1 RS</t>
        </is>
      </c>
      <c r="H2769" t="inlineStr">
        <is>
          <t>JUSTIÇA DERRUBA LIMINAR QUE PERMITIA ENTRADA DE FAMÍLIA HAITIANA SEM VISTO</t>
        </is>
      </c>
      <c r="I2769" t="inlineStr"/>
      <c r="J2769" t="inlineStr">
        <is>
          <t>CANOAS</t>
        </is>
      </c>
      <c r="K2769" t="n">
        <v>1</v>
      </c>
      <c r="L2769" t="n">
        <v>5</v>
      </c>
      <c r="M2769" t="n">
        <v>0</v>
      </c>
      <c r="N2769" t="n">
        <v>0</v>
      </c>
      <c r="O2769" t="n">
        <v>10</v>
      </c>
      <c r="P2769">
        <f>HYPERLINK("http://g1.globo.com/rs/rio-grande-do-sul/noticia/2016/01/justica-derruba-liminar-que-permitia-entrada-de-familia-haitiana-sem-visto.html", "URL")</f>
        <v/>
      </c>
      <c r="Q2769">
        <f>HYPERLINK("https://raw.githubusercontent.com/marcosmapl/dataset_imigrantes/main/materias_filtered/g1/haitianos/2016/00_jan/html/g1_e89d6d82-231d-11ed-b24f-6dbe51e79fca_3528.html", "HTML")</f>
        <v/>
      </c>
      <c r="R2769">
        <f>HYPERLINK("https://raw.githubusercontent.com/marcosmapl/dataset_imigrantes/main/materias_filtered/g1/haitianos/2016/00_jan/txt/g1_e89d6d82-231d-11ed-b24f-6dbe51e79fca_3528.txt", "TXT")</f>
        <v/>
      </c>
    </row>
    <row r="2770">
      <c r="A2770" s="1" t="n">
        <v>2768</v>
      </c>
      <c r="B2770" t="n">
        <v>2016</v>
      </c>
      <c r="C2770" s="2" t="n">
        <v>42370.86597222222</v>
      </c>
      <c r="D2770" t="inlineStr">
        <is>
          <t>G1</t>
        </is>
      </c>
      <c r="E2770" t="inlineStr">
        <is>
          <t>HAITIANOS</t>
        </is>
      </c>
      <c r="F2770" t="inlineStr"/>
      <c r="G2770" t="inlineStr">
        <is>
          <t>1 PR, COM INFORMAÇÕES DA RPC CURITIBA</t>
        </is>
      </c>
      <c r="H2770" t="inlineStr">
        <is>
          <t>PRIMEIRO BEBÊ A NASCER EM 2016, EM CURITIBA, TEM PAIS HAITIANOS REFUGIADOS</t>
        </is>
      </c>
      <c r="I2770" t="inlineStr"/>
      <c r="J2770" t="inlineStr">
        <is>
          <t>CURITIBA</t>
        </is>
      </c>
      <c r="K2770" t="n">
        <v>1</v>
      </c>
      <c r="L2770" t="n">
        <v>4</v>
      </c>
      <c r="M2770" t="n">
        <v>0</v>
      </c>
      <c r="N2770" t="n">
        <v>0</v>
      </c>
      <c r="O2770" t="n">
        <v>14</v>
      </c>
      <c r="P2770">
        <f>HYPERLINK("http://g1.globo.com/pr/parana/noticia/2016/01/primeiro-bebe-nascer-em-2016-em-curitiba-tem-pais-haitianos-refugiados.html", "URL")</f>
        <v/>
      </c>
      <c r="Q2770">
        <f>HYPERLINK("https://raw.githubusercontent.com/marcosmapl/dataset_imigrantes/main/materias_filtered/g1/haitianos/2016/00_jan/html/g1_a95e4624-22f4-11ed-b24f-6dbe51e79fca_1903.html", "HTML")</f>
        <v/>
      </c>
      <c r="R2770">
        <f>HYPERLINK("https://raw.githubusercontent.com/marcosmapl/dataset_imigrantes/main/materias_filtered/g1/haitianos/2016/00_jan/txt/g1_a95e4624-22f4-11ed-b24f-6dbe51e79fca_1903.txt", "TXT")</f>
        <v/>
      </c>
    </row>
    <row r="2771">
      <c r="A2771" s="1" t="n">
        <v>2769</v>
      </c>
      <c r="B2771" t="n">
        <v>2015</v>
      </c>
      <c r="C2771" s="2" t="n">
        <v>42368.50069444445</v>
      </c>
      <c r="D2771" t="inlineStr">
        <is>
          <t>G1</t>
        </is>
      </c>
      <c r="E2771" t="inlineStr">
        <is>
          <t>HAITIANOS</t>
        </is>
      </c>
      <c r="F2771" t="inlineStr"/>
      <c r="G2771" t="inlineStr">
        <is>
          <t>1 MT</t>
        </is>
      </c>
      <c r="H2771" t="inlineStr">
        <is>
          <t>AMIGOS FAZEM CAMPANHA PARA AJUDAR HAITIANO PARAPLÉGICO A VOLTAR PARA CASA</t>
        </is>
      </c>
      <c r="I2771" t="inlineStr"/>
      <c r="J2771" t="inlineStr">
        <is>
          <t>CUIABÁ</t>
        </is>
      </c>
      <c r="K2771" t="n">
        <v>1</v>
      </c>
      <c r="L2771" t="n">
        <v>5</v>
      </c>
      <c r="M2771" t="n">
        <v>0</v>
      </c>
      <c r="N2771" t="n">
        <v>0</v>
      </c>
      <c r="O2771" t="n">
        <v>12</v>
      </c>
      <c r="P2771">
        <f>HYPERLINK("http://g1.globo.com/mato-grosso/noticia/2015/12/amigos-fazem-campanha-para-ajudar-haitiano-paraplegico-voltar-para-casa.html", "URL")</f>
        <v/>
      </c>
      <c r="Q2771">
        <f>HYPERLINK("https://raw.githubusercontent.com/marcosmapl/dataset_imigrantes/main/materias_filtered/g1/haitianos/2015/11_dez/html/g1_09e9f532-230a-11ed-b24f-6dbe51e79fca_2481.html", "HTML")</f>
        <v/>
      </c>
      <c r="R2771">
        <f>HYPERLINK("https://raw.githubusercontent.com/marcosmapl/dataset_imigrantes/main/materias_filtered/g1/haitianos/2015/11_dez/txt/g1_09e9f532-230a-11ed-b24f-6dbe51e79fca_2481.txt", "TXT")</f>
        <v/>
      </c>
    </row>
    <row r="2772">
      <c r="A2772" s="1" t="n">
        <v>2770</v>
      </c>
      <c r="B2772" t="n">
        <v>2015</v>
      </c>
      <c r="C2772" s="2" t="n">
        <v>42367.26597222222</v>
      </c>
      <c r="D2772" t="inlineStr">
        <is>
          <t>G1</t>
        </is>
      </c>
      <c r="E2772" t="inlineStr">
        <is>
          <t>HAITIANOS</t>
        </is>
      </c>
      <c r="F2772" t="inlineStr"/>
      <c r="G2772" t="inlineStr">
        <is>
          <t>SON MARUYAMACAMPO GRANDE, MS</t>
        </is>
      </c>
      <c r="H2772" t="inlineStr">
        <is>
          <t>ANO NOVO É CHANCE DE RECOMEÇO PARA HAITIANOS QUE VIVEM NO BRASIL</t>
        </is>
      </c>
      <c r="I2772" t="inlineStr"/>
      <c r="J2772" t="inlineStr"/>
      <c r="K2772" t="n">
        <v>0</v>
      </c>
      <c r="L2772" t="n">
        <v>0</v>
      </c>
      <c r="M2772" t="n">
        <v>0</v>
      </c>
      <c r="N2772" t="n">
        <v>0</v>
      </c>
      <c r="O2772" t="n">
        <v>6</v>
      </c>
      <c r="P2772">
        <f>HYPERLINK("http://g1.globo.com/hora1/noticia/2015/12/ano-novo-e-chance-de-recomeco-para-haitianos-que-vivem-no-brasil.html", "URL")</f>
        <v/>
      </c>
      <c r="Q2772">
        <f>HYPERLINK("https://raw.githubusercontent.com/marcosmapl/dataset_imigrantes/main/materias_filtered/g1/haitianos/2015/11_dez/html/g1_86d598aa-22f4-11ed-b24f-6dbe51e79fca_1895.html", "HTML")</f>
        <v/>
      </c>
      <c r="R2772">
        <f>HYPERLINK("https://raw.githubusercontent.com/marcosmapl/dataset_imigrantes/main/materias_filtered/g1/haitianos/2015/11_dez/txt/g1_86d598aa-22f4-11ed-b24f-6dbe51e79fca_1895.txt", "TXT")</f>
        <v/>
      </c>
    </row>
    <row r="2773">
      <c r="A2773" s="1" t="n">
        <v>2771</v>
      </c>
      <c r="B2773" t="n">
        <v>2015</v>
      </c>
      <c r="C2773" s="2" t="n">
        <v>42366.66666666666</v>
      </c>
      <c r="D2773" t="inlineStr">
        <is>
          <t>G1</t>
        </is>
      </c>
      <c r="E2773" t="inlineStr">
        <is>
          <t>HAITIANOS</t>
        </is>
      </c>
      <c r="F2773" t="inlineStr"/>
      <c r="G2773" t="inlineStr">
        <is>
          <t>1 BAURU E MARÍLIA</t>
        </is>
      </c>
      <c r="H2773" t="inlineStr">
        <is>
          <t>SENAC BOTUCATU ABRE INSCRIÇÕES PARA VAGAS EM CURSOS GRATUITOS</t>
        </is>
      </c>
      <c r="I2773" t="inlineStr"/>
      <c r="J2773" t="inlineStr">
        <is>
          <t>BOTUCATU</t>
        </is>
      </c>
      <c r="K2773" t="n">
        <v>1</v>
      </c>
      <c r="L2773" t="n">
        <v>4</v>
      </c>
      <c r="M2773" t="n">
        <v>0</v>
      </c>
      <c r="N2773" t="n">
        <v>0</v>
      </c>
      <c r="O2773" t="n">
        <v>13</v>
      </c>
      <c r="P2773">
        <f>HYPERLINK("http://g1.globo.com/sp/bauru-marilia/noticia/2015/12/senac-botucatu-abre-inscricoes-para-vagas-em-cursos-gratuitos.html", "URL")</f>
        <v/>
      </c>
      <c r="Q2773">
        <f>HYPERLINK("https://raw.githubusercontent.com/marcosmapl/dataset_imigrantes/main/materias_filtered/g1/haitianos/2015/11_dez/html/g1_a2267db2-2327-11ed-b24f-6dbe51e79fca_4044.html", "HTML")</f>
        <v/>
      </c>
      <c r="R2773">
        <f>HYPERLINK("https://raw.githubusercontent.com/marcosmapl/dataset_imigrantes/main/materias_filtered/g1/haitianos/2015/11_dez/txt/g1_a2267db2-2327-11ed-b24f-6dbe51e79fca_4044.txt", "TXT")</f>
        <v/>
      </c>
    </row>
    <row r="2774">
      <c r="A2774" s="1" t="n">
        <v>2772</v>
      </c>
      <c r="B2774" t="n">
        <v>2015</v>
      </c>
      <c r="C2774" s="2" t="n">
        <v>42366.35972222222</v>
      </c>
      <c r="D2774" t="inlineStr">
        <is>
          <t>G1</t>
        </is>
      </c>
      <c r="E2774" t="inlineStr">
        <is>
          <t>HAITIANOS</t>
        </is>
      </c>
      <c r="F2774" t="inlineStr"/>
      <c r="G2774" t="inlineStr">
        <is>
          <t>1 MS COM INFORMAÇÕES DA  TV MORENA</t>
        </is>
      </c>
      <c r="H2774" t="inlineStr">
        <is>
          <t>HAITIANOS SE APEGAM ÀS LEMBRANÇAS PARA AMENIZAR A SAUDADE EM MS</t>
        </is>
      </c>
      <c r="I2774" t="inlineStr"/>
      <c r="J2774" t="inlineStr">
        <is>
          <t>MATO GROSSO DO SUL, CAMPO GRANDE</t>
        </is>
      </c>
      <c r="K2774" t="n">
        <v>2</v>
      </c>
      <c r="L2774" t="n">
        <v>4</v>
      </c>
      <c r="M2774" t="n">
        <v>0</v>
      </c>
      <c r="N2774" t="n">
        <v>0</v>
      </c>
      <c r="O2774" t="n">
        <v>12</v>
      </c>
      <c r="P2774">
        <f>HYPERLINK("http://g1.globo.com/mato-grosso-do-sul/noticia/2015/12/haitianos-se-apegam-lembrancas-para-amenizar-saudade-em-ms.html", "URL")</f>
        <v/>
      </c>
      <c r="Q2774">
        <f>HYPERLINK("https://raw.githubusercontent.com/marcosmapl/dataset_imigrantes/main/materias_filtered/g1/haitianos/2015/11_dez/html/g1_dbce0c58-22f8-11ed-b24f-6dbe51e79fca_2162.html", "HTML")</f>
        <v/>
      </c>
      <c r="R2774">
        <f>HYPERLINK("https://raw.githubusercontent.com/marcosmapl/dataset_imigrantes/main/materias_filtered/g1/haitianos/2015/11_dez/txt/g1_dbce0c58-22f8-11ed-b24f-6dbe51e79fca_2162.txt", "TXT")</f>
        <v/>
      </c>
    </row>
    <row r="2775">
      <c r="A2775" s="1" t="n">
        <v>2773</v>
      </c>
      <c r="B2775" t="n">
        <v>2015</v>
      </c>
      <c r="C2775" s="2" t="n">
        <v>42365.33333333334</v>
      </c>
      <c r="D2775" t="inlineStr">
        <is>
          <t>G1</t>
        </is>
      </c>
      <c r="E2775" t="inlineStr">
        <is>
          <t>HAITIANOS</t>
        </is>
      </c>
      <c r="F2775" t="inlineStr"/>
      <c r="G2775" t="inlineStr">
        <is>
          <t>1 BAURU E MARÍLIA</t>
        </is>
      </c>
      <c r="H2775" t="inlineStr">
        <is>
          <t>HAITIANA COMEMORA REENCONTRO COM FILHOS APÓS TRÊS ANOS NO BRASIL</t>
        </is>
      </c>
      <c r="I2775" t="inlineStr"/>
      <c r="J2775" t="inlineStr">
        <is>
          <t>HAITI, REPÚBLICA DOMINICANA, BOTUCATU</t>
        </is>
      </c>
      <c r="K2775" t="n">
        <v>3</v>
      </c>
      <c r="L2775" t="n">
        <v>6</v>
      </c>
      <c r="M2775" t="n">
        <v>0</v>
      </c>
      <c r="N2775" t="n">
        <v>0</v>
      </c>
      <c r="O2775" t="n">
        <v>9</v>
      </c>
      <c r="P2775">
        <f>HYPERLINK("http://g1.globo.com/sp/bauru-marilia/noticia/2015/12/haitiana-comemora-reencontro-com-filhos-apos-tres-anos-no-brasil.html", "URL")</f>
        <v/>
      </c>
      <c r="Q2775">
        <f>HYPERLINK("https://raw.githubusercontent.com/marcosmapl/dataset_imigrantes/main/materias_filtered/g1/haitianos/2015/11_dez/html/g1_b9f87a22-2326-11ed-b24f-6dbe51e79fca_3995.html", "HTML")</f>
        <v/>
      </c>
      <c r="R2775">
        <f>HYPERLINK("https://raw.githubusercontent.com/marcosmapl/dataset_imigrantes/main/materias_filtered/g1/haitianos/2015/11_dez/txt/g1_b9f87a22-2326-11ed-b24f-6dbe51e79fca_3995.txt", "TXT")</f>
        <v/>
      </c>
    </row>
    <row r="2776">
      <c r="A2776" s="1" t="n">
        <v>2774</v>
      </c>
      <c r="B2776" t="n">
        <v>2015</v>
      </c>
      <c r="C2776" s="2" t="n">
        <v>42354.76666666667</v>
      </c>
      <c r="D2776" t="inlineStr">
        <is>
          <t>G1</t>
        </is>
      </c>
      <c r="E2776" t="inlineStr">
        <is>
          <t>VENEZUELANOS</t>
        </is>
      </c>
      <c r="F2776" t="inlineStr"/>
      <c r="G2776" t="inlineStr">
        <is>
          <t>FP</t>
        </is>
      </c>
      <c r="H2776" t="inlineStr">
        <is>
          <t>OPOSIÇÃO VENEZUELANA DENUNCIA DEMISSÕES POR 'RAZÕES POLÍTICAS'</t>
        </is>
      </c>
      <c r="I2776" t="inlineStr"/>
      <c r="J2776" t="inlineStr">
        <is>
          <t>NICOLÁS MADURO, VENEZUELA</t>
        </is>
      </c>
      <c r="K2776" t="n">
        <v>2</v>
      </c>
      <c r="L2776" t="n">
        <v>6</v>
      </c>
      <c r="M2776" t="n">
        <v>0</v>
      </c>
      <c r="N2776" t="n">
        <v>0</v>
      </c>
      <c r="O2776" t="n">
        <v>17</v>
      </c>
      <c r="P2776">
        <f>HYPERLINK("http://g1.globo.com/mundo/noticia/2015/12/oposicao-venezuelana-denuncia-demissoes-por-razoes-politicas.html", "URL")</f>
        <v/>
      </c>
      <c r="Q2776">
        <f>HYPERLINK("https://raw.githubusercontent.com/marcosmapl/dataset_imigrantes/main/materias_filtered/g1/venezuelanos/2015/11_dez/html/g1_4cbbc0d2-231b-11ed-b24f-6dbe51e79fca_3377.html", "HTML")</f>
        <v/>
      </c>
      <c r="R2776">
        <f>HYPERLINK("https://raw.githubusercontent.com/marcosmapl/dataset_imigrantes/main/materias_filtered/g1/venezuelanos/2015/11_dez/txt/g1_4cbbc0d2-231b-11ed-b24f-6dbe51e79fca_3377.txt", "TXT")</f>
        <v/>
      </c>
    </row>
    <row r="2777">
      <c r="A2777" s="1" t="n">
        <v>2775</v>
      </c>
      <c r="B2777" t="n">
        <v>2015</v>
      </c>
      <c r="C2777" s="2" t="n">
        <v>42348.47083333333</v>
      </c>
      <c r="D2777" t="inlineStr">
        <is>
          <t>G1</t>
        </is>
      </c>
      <c r="E2777" t="inlineStr">
        <is>
          <t>HAITIANOS</t>
        </is>
      </c>
      <c r="F2777" t="inlineStr"/>
      <c r="G2777" t="inlineStr">
        <is>
          <t>1 MT</t>
        </is>
      </c>
      <c r="H2777" t="inlineStr">
        <is>
          <t>HAITIANO BALEADO TERIA SIDO VÍTIMA DE XENOFOBIA, DIZEM ORGANIZAÇÕES SOCIAIS</t>
        </is>
      </c>
      <c r="I2777" t="inlineStr"/>
      <c r="J2777" t="inlineStr">
        <is>
          <t>CUIABÁ</t>
        </is>
      </c>
      <c r="K2777" t="n">
        <v>1</v>
      </c>
      <c r="L2777" t="n">
        <v>6</v>
      </c>
      <c r="M2777" t="n">
        <v>0</v>
      </c>
      <c r="N2777" t="n">
        <v>0</v>
      </c>
      <c r="O2777" t="n">
        <v>11</v>
      </c>
      <c r="P2777">
        <f>HYPERLINK("http://g1.globo.com/mato-grosso/noticia/2015/12/haitiano-baleado-teria-sido-vitima-de-xenofobia-dizem-organizacoes-sociais.html", "URL")</f>
        <v/>
      </c>
      <c r="Q2777">
        <f>HYPERLINK("https://raw.githubusercontent.com/marcosmapl/dataset_imigrantes/main/materias_filtered/g1/haitianos/2015/11_dez/html/g1_5a3a2e6e-2326-11ed-b24f-6dbe51e79fca_3971.html", "HTML")</f>
        <v/>
      </c>
      <c r="R2777">
        <f>HYPERLINK("https://raw.githubusercontent.com/marcosmapl/dataset_imigrantes/main/materias_filtered/g1/haitianos/2015/11_dez/txt/g1_5a3a2e6e-2326-11ed-b24f-6dbe51e79fca_3971.txt", "TXT")</f>
        <v/>
      </c>
    </row>
    <row r="2778">
      <c r="A2778" s="1" t="n">
        <v>2776</v>
      </c>
      <c r="B2778" t="n">
        <v>2015</v>
      </c>
      <c r="C2778" s="2" t="n">
        <v>42348.41111111111</v>
      </c>
      <c r="D2778" t="inlineStr">
        <is>
          <t>G1</t>
        </is>
      </c>
      <c r="E2778" t="inlineStr">
        <is>
          <t>VENEZUELANOS</t>
        </is>
      </c>
      <c r="F2778" t="inlineStr"/>
      <c r="G2778" t="inlineStr">
        <is>
          <t>EL PARDODA BBC</t>
        </is>
      </c>
      <c r="H2778" t="inlineStr">
        <is>
          <t>QUATRO DESAFIOS DA OPOSIÇÃO VENEZUELANA APÓS VITÓRIA NAS ELEIÇÕES</t>
        </is>
      </c>
      <c r="I2778" t="inlineStr"/>
      <c r="J2778" t="inlineStr">
        <is>
          <t>HUGO CHÁVEZ, NICOLÁS MADURO</t>
        </is>
      </c>
      <c r="K2778" t="n">
        <v>2</v>
      </c>
      <c r="L2778" t="n">
        <v>5</v>
      </c>
      <c r="M2778" t="n">
        <v>0</v>
      </c>
      <c r="N2778" t="n">
        <v>0</v>
      </c>
      <c r="O2778" t="n">
        <v>18</v>
      </c>
      <c r="P2778">
        <f>HYPERLINK("http://g1.globo.com/mundo/noticia/2015/12/quatro-desafios-da-oposicao-venezuelana-apos-vitoria-nas-eleicoes.html", "URL")</f>
        <v/>
      </c>
      <c r="Q2778">
        <f>HYPERLINK("https://raw.githubusercontent.com/marcosmapl/dataset_imigrantes/main/materias_filtered/g1/venezuelanos/2015/11_dez/html/g1_111c7fe0-2315-11ed-b24f-6dbe51e79fca_3064.html", "HTML")</f>
        <v/>
      </c>
      <c r="R2778">
        <f>HYPERLINK("https://raw.githubusercontent.com/marcosmapl/dataset_imigrantes/main/materias_filtered/g1/venezuelanos/2015/11_dez/txt/g1_111c7fe0-2315-11ed-b24f-6dbe51e79fca_3064.txt", "TXT")</f>
        <v/>
      </c>
    </row>
    <row r="2779">
      <c r="A2779" s="1" t="n">
        <v>2777</v>
      </c>
      <c r="B2779" t="n">
        <v>2015</v>
      </c>
      <c r="C2779" s="2" t="n">
        <v>42346.9125</v>
      </c>
      <c r="D2779" t="inlineStr">
        <is>
          <t>G1</t>
        </is>
      </c>
      <c r="E2779" t="inlineStr">
        <is>
          <t>VENEZUELANOS</t>
        </is>
      </c>
      <c r="F2779" t="inlineStr"/>
      <c r="G2779" t="inlineStr">
        <is>
          <t>FP</t>
        </is>
      </c>
      <c r="H2779" t="inlineStr">
        <is>
          <t>OPOSIÇÃO VENEZUELANA CONSEGUE MAIORIA DE DOIS TERÇOS NO PARLAMENTO</t>
        </is>
      </c>
      <c r="I2779" t="inlineStr"/>
      <c r="J2779" t="inlineStr">
        <is>
          <t>HUGO CHÁVEZ, NICOLÁS MADURO, VENEZUELA</t>
        </is>
      </c>
      <c r="K2779" t="n">
        <v>3</v>
      </c>
      <c r="L2779" t="n">
        <v>7</v>
      </c>
      <c r="M2779" t="n">
        <v>0</v>
      </c>
      <c r="N2779" t="n">
        <v>0</v>
      </c>
      <c r="O2779" t="n">
        <v>15</v>
      </c>
      <c r="P2779">
        <f>HYPERLINK("http://g1.globo.com/mundo/noticia/2015/12/oposicao-venezuelana-consegue-maioria-de-dois-tercos-no-parlamento.html", "URL")</f>
        <v/>
      </c>
      <c r="Q2779">
        <f>HYPERLINK("https://raw.githubusercontent.com/marcosmapl/dataset_imigrantes/main/materias_filtered/g1/venezuelanos/2015/11_dez/html/g1_77b0e2ae-232a-11ed-b24f-6dbe51e79fca_4181.html", "HTML")</f>
        <v/>
      </c>
      <c r="R2779">
        <f>HYPERLINK("https://raw.githubusercontent.com/marcosmapl/dataset_imigrantes/main/materias_filtered/g1/venezuelanos/2015/11_dez/txt/g1_77b0e2ae-232a-11ed-b24f-6dbe51e79fca_4181.txt", "TXT")</f>
        <v/>
      </c>
    </row>
    <row r="2780">
      <c r="A2780" s="1" t="n">
        <v>2778</v>
      </c>
      <c r="B2780" t="n">
        <v>2015</v>
      </c>
      <c r="C2780" s="2" t="n">
        <v>42345.37638888889</v>
      </c>
      <c r="D2780" t="inlineStr">
        <is>
          <t>G1</t>
        </is>
      </c>
      <c r="E2780" t="inlineStr">
        <is>
          <t>HAITIANOS</t>
        </is>
      </c>
      <c r="F2780" t="inlineStr"/>
      <c r="G2780" t="inlineStr">
        <is>
          <t>1 RS</t>
        </is>
      </c>
      <c r="H2780" t="inlineStr">
        <is>
          <t>'ESTOU FELIZ', DIZ HAITIANO QUE ESTÁ NO RS APÓS UNIÃO AUTORIZAR PERMANÊNCIA</t>
        </is>
      </c>
      <c r="I2780" t="inlineStr"/>
      <c r="J2780" t="inlineStr">
        <is>
          <t>CANOAS, RIO GRANDE</t>
        </is>
      </c>
      <c r="K2780" t="n">
        <v>2</v>
      </c>
      <c r="L2780" t="n">
        <v>6</v>
      </c>
      <c r="M2780" t="n">
        <v>0</v>
      </c>
      <c r="N2780" t="n">
        <v>0</v>
      </c>
      <c r="O2780" t="n">
        <v>14</v>
      </c>
      <c r="P2780">
        <f>HYPERLINK("http://g1.globo.com/rs/rio-grande-do-sul/noticia/2015/12/estou-feliz-diz-haitiano-que-esta-no-rs-apos-uniao-autorizar-permanencia.html", "URL")</f>
        <v/>
      </c>
      <c r="Q2780">
        <f>HYPERLINK("https://raw.githubusercontent.com/marcosmapl/dataset_imigrantes/main/materias_filtered/g1/haitianos/2015/11_dez/html/g1_ffb4a220-2317-11ed-b24f-6dbe51e79fca_3239.html", "HTML")</f>
        <v/>
      </c>
      <c r="R2780">
        <f>HYPERLINK("https://raw.githubusercontent.com/marcosmapl/dataset_imigrantes/main/materias_filtered/g1/haitianos/2015/11_dez/txt/g1_ffb4a220-2317-11ed-b24f-6dbe51e79fca_3239.txt", "TXT")</f>
        <v/>
      </c>
    </row>
    <row r="2781">
      <c r="A2781" s="1" t="n">
        <v>2779</v>
      </c>
      <c r="B2781" t="n">
        <v>2015</v>
      </c>
      <c r="C2781" s="2" t="n">
        <v>42345.01944444444</v>
      </c>
      <c r="D2781" t="inlineStr">
        <is>
          <t>G1</t>
        </is>
      </c>
      <c r="E2781" t="inlineStr">
        <is>
          <t>VENEZUELANOS</t>
        </is>
      </c>
      <c r="F2781" t="inlineStr"/>
      <c r="G2781" t="inlineStr">
        <is>
          <t>RANCE PRESSE</t>
        </is>
      </c>
      <c r="H2781" t="inlineStr">
        <is>
          <t>UNASUL RELATA NORMALIDADE EM ELEIÇÃO VENEZUELANA EM REGIÕES  FRONTEIRIÇAS</t>
        </is>
      </c>
      <c r="I2781" t="inlineStr"/>
      <c r="J2781" t="inlineStr"/>
      <c r="K2781" t="n">
        <v>0</v>
      </c>
      <c r="L2781" t="n">
        <v>1</v>
      </c>
      <c r="M2781" t="n">
        <v>0</v>
      </c>
      <c r="N2781" t="n">
        <v>0</v>
      </c>
      <c r="O2781" t="n">
        <v>4</v>
      </c>
      <c r="P2781">
        <f>HYPERLINK("http://g1.globo.com/mundo/noticia/2015/12/unasul-relata-normalidade-em-eleicao-venezuelana-em-regioes-fronteiricas.html", "URL")</f>
        <v/>
      </c>
      <c r="Q2781">
        <f>HYPERLINK("https://raw.githubusercontent.com/marcosmapl/dataset_imigrantes/main/materias_filtered/g1/venezuelanos/2015/11_dez/html/g1_300186ca-2316-11ed-b24f-6dbe51e79fca_3131.html", "HTML")</f>
        <v/>
      </c>
      <c r="R2781">
        <f>HYPERLINK("https://raw.githubusercontent.com/marcosmapl/dataset_imigrantes/main/materias_filtered/g1/venezuelanos/2015/11_dez/txt/g1_300186ca-2316-11ed-b24f-6dbe51e79fca_3131.txt", "TXT")</f>
        <v/>
      </c>
    </row>
    <row r="2782">
      <c r="A2782" s="1" t="n">
        <v>2780</v>
      </c>
      <c r="B2782" t="n">
        <v>2015</v>
      </c>
      <c r="C2782" s="2" t="n">
        <v>42343.49305555555</v>
      </c>
      <c r="D2782" t="inlineStr">
        <is>
          <t>G1</t>
        </is>
      </c>
      <c r="E2782" t="inlineStr">
        <is>
          <t>HAITIANOS</t>
        </is>
      </c>
      <c r="F2782" t="inlineStr"/>
      <c r="G2782" t="inlineStr">
        <is>
          <t>1 REGIÃO DOS LAGOS</t>
        </is>
      </c>
      <c r="H2782" t="inlineStr">
        <is>
          <t>ONG VAI FAZER O CADASTRO DE HAITIANOS EM MARICÁ, RJ, NESTE SÁBADO</t>
        </is>
      </c>
      <c r="I2782" t="inlineStr"/>
      <c r="J2782" t="inlineStr">
        <is>
          <t>MARICÁ</t>
        </is>
      </c>
      <c r="K2782" t="n">
        <v>1</v>
      </c>
      <c r="L2782" t="n">
        <v>2</v>
      </c>
      <c r="M2782" t="n">
        <v>0</v>
      </c>
      <c r="N2782" t="n">
        <v>0</v>
      </c>
      <c r="O2782" t="n">
        <v>9</v>
      </c>
      <c r="P2782">
        <f>HYPERLINK("http://g1.globo.com/rj/regiao-dos-lagos/noticia/2015/12/ong-vai-fazer-o-cadastro-de-haitianos-em-marica-rj-neste-sabado.html", "URL")</f>
        <v/>
      </c>
      <c r="Q2782">
        <f>HYPERLINK("https://raw.githubusercontent.com/marcosmapl/dataset_imigrantes/main/materias_filtered/g1/haitianos/2015/11_dez/html/g1_3e5c5182-22f8-11ed-b24f-6dbe51e79fca_2124.html", "HTML")</f>
        <v/>
      </c>
      <c r="R2782">
        <f>HYPERLINK("https://raw.githubusercontent.com/marcosmapl/dataset_imigrantes/main/materias_filtered/g1/haitianos/2015/11_dez/txt/g1_3e5c5182-22f8-11ed-b24f-6dbe51e79fca_2124.txt", "TXT")</f>
        <v/>
      </c>
    </row>
    <row r="2783">
      <c r="A2783" s="1" t="n">
        <v>2781</v>
      </c>
      <c r="B2783" t="n">
        <v>2015</v>
      </c>
      <c r="C2783" s="2" t="n">
        <v>42339.53611111111</v>
      </c>
      <c r="D2783" t="inlineStr">
        <is>
          <t>G1</t>
        </is>
      </c>
      <c r="E2783" t="inlineStr">
        <is>
          <t>HAITIANOS</t>
        </is>
      </c>
      <c r="F2783" t="inlineStr"/>
      <c r="G2783" t="inlineStr">
        <is>
          <t>1 MT</t>
        </is>
      </c>
      <c r="H2783" t="inlineStr">
        <is>
          <t>HAITIANO FICA PARAPLÉGICO APÓS LEVAR TIRO NA FRENTE DE CASA EM CUIABÁ</t>
        </is>
      </c>
      <c r="I2783" t="inlineStr"/>
      <c r="J2783" t="inlineStr">
        <is>
          <t>CUIABÁ</t>
        </is>
      </c>
      <c r="K2783" t="n">
        <v>1</v>
      </c>
      <c r="L2783" t="n">
        <v>4</v>
      </c>
      <c r="M2783" t="n">
        <v>0</v>
      </c>
      <c r="N2783" t="n">
        <v>0</v>
      </c>
      <c r="O2783" t="n">
        <v>10</v>
      </c>
      <c r="P2783">
        <f>HYPERLINK("http://g1.globo.com/mato-grosso/noticia/2015/12/haitiano-baleado-fica-paraplegico-e-perde-movimento-da-mao-em-cuiaba.html", "URL")</f>
        <v/>
      </c>
      <c r="Q2783">
        <f>HYPERLINK("https://raw.githubusercontent.com/marcosmapl/dataset_imigrantes/main/materias_filtered/g1/haitianos/2015/11_dez/html/g1_be0b6484-2309-11ed-b24f-6dbe51e79fca_2460.html", "HTML")</f>
        <v/>
      </c>
      <c r="R2783">
        <f>HYPERLINK("https://raw.githubusercontent.com/marcosmapl/dataset_imigrantes/main/materias_filtered/g1/haitianos/2015/11_dez/txt/g1_be0b6484-2309-11ed-b24f-6dbe51e79fca_2460.txt", "TXT")</f>
        <v/>
      </c>
    </row>
    <row r="2784">
      <c r="A2784" s="1" t="n">
        <v>2782</v>
      </c>
      <c r="B2784" t="n">
        <v>2015</v>
      </c>
      <c r="C2784" s="2" t="n">
        <v>42337.45763888889</v>
      </c>
      <c r="D2784" t="inlineStr">
        <is>
          <t>G1</t>
        </is>
      </c>
      <c r="E2784" t="inlineStr">
        <is>
          <t>HAITIANOS</t>
        </is>
      </c>
      <c r="F2784" t="inlineStr"/>
      <c r="G2784" t="inlineStr">
        <is>
          <t>A RESENDEDO G1 GO</t>
        </is>
      </c>
      <c r="H2784" t="inlineStr">
        <is>
          <t>HAITIANO MORRE APÓS SER ATINGIDO POR GOLPES DE FACA, EM GOIÂNIA</t>
        </is>
      </c>
      <c r="I2784" t="inlineStr"/>
      <c r="J2784" t="inlineStr">
        <is>
          <t>GOIÂNIA</t>
        </is>
      </c>
      <c r="K2784" t="n">
        <v>1</v>
      </c>
      <c r="L2784" t="n">
        <v>4</v>
      </c>
      <c r="M2784" t="n">
        <v>0</v>
      </c>
      <c r="N2784" t="n">
        <v>0</v>
      </c>
      <c r="O2784" t="n">
        <v>12</v>
      </c>
      <c r="P2784">
        <f>HYPERLINK("http://g1.globo.com/goias/noticia/2015/11/haitiano-morre-apos-ser-atingido-por-golpes-de-faca-em-goiania.html", "URL")</f>
        <v/>
      </c>
      <c r="Q2784">
        <f>HYPERLINK("https://raw.githubusercontent.com/marcosmapl/dataset_imigrantes/main/materias_filtered/g1/haitianos/2015/10_nov/html/g1_8082cce8-2321-11ed-b24f-6dbe51e79fca_3704.html", "HTML")</f>
        <v/>
      </c>
      <c r="R2784">
        <f>HYPERLINK("https://raw.githubusercontent.com/marcosmapl/dataset_imigrantes/main/materias_filtered/g1/haitianos/2015/10_nov/txt/g1_8082cce8-2321-11ed-b24f-6dbe51e79fca_3704.txt", "TXT")</f>
        <v/>
      </c>
    </row>
    <row r="2785">
      <c r="A2785" s="1" t="n">
        <v>2783</v>
      </c>
      <c r="B2785" t="n">
        <v>2015</v>
      </c>
      <c r="C2785" s="2" t="n">
        <v>42332.91666666666</v>
      </c>
      <c r="D2785" t="inlineStr">
        <is>
          <t>G1</t>
        </is>
      </c>
      <c r="E2785" t="inlineStr">
        <is>
          <t>HAITIANOS</t>
        </is>
      </c>
      <c r="F2785" t="inlineStr"/>
      <c r="G2785" t="inlineStr">
        <is>
          <t>1 RO</t>
        </is>
      </c>
      <c r="H2785" t="inlineStr">
        <is>
          <t>PALESTRA SOBRE SAÚDE MENTAL E EXIBIÇÃO DE CURTA ACONTECERÁ EM RO</t>
        </is>
      </c>
      <c r="I2785" t="inlineStr"/>
      <c r="J2785" t="inlineStr">
        <is>
          <t>RONDÔNIA, PORTO VELHO</t>
        </is>
      </c>
      <c r="K2785" t="n">
        <v>2</v>
      </c>
      <c r="L2785" t="n">
        <v>5</v>
      </c>
      <c r="M2785" t="n">
        <v>0</v>
      </c>
      <c r="N2785" t="n">
        <v>0</v>
      </c>
      <c r="O2785" t="n">
        <v>13</v>
      </c>
      <c r="P2785">
        <f>HYPERLINK("http://g1.globo.com/ro/rondonia/noticia/2015/11/palestra-sobre-saude-mental-e-exibicao-de-curta-acontecera-em-ro.html", "URL")</f>
        <v/>
      </c>
      <c r="Q2785">
        <f>HYPERLINK("https://raw.githubusercontent.com/marcosmapl/dataset_imigrantes/main/materias_filtered/g1/haitianos/2015/10_nov/html/g1_fcf3963a-230e-11ed-b24f-6dbe51e79fca_2771.html", "HTML")</f>
        <v/>
      </c>
      <c r="R2785">
        <f>HYPERLINK("https://raw.githubusercontent.com/marcosmapl/dataset_imigrantes/main/materias_filtered/g1/haitianos/2015/10_nov/txt/g1_fcf3963a-230e-11ed-b24f-6dbe51e79fca_2771.txt", "TXT")</f>
        <v/>
      </c>
    </row>
    <row r="2786">
      <c r="A2786" s="1" t="n">
        <v>2784</v>
      </c>
      <c r="B2786" t="n">
        <v>2015</v>
      </c>
      <c r="C2786" s="2" t="n">
        <v>42331.77083333334</v>
      </c>
      <c r="D2786" t="inlineStr">
        <is>
          <t>G1</t>
        </is>
      </c>
      <c r="E2786" t="inlineStr">
        <is>
          <t>HAITIANOS</t>
        </is>
      </c>
      <c r="F2786" t="inlineStr"/>
      <c r="G2786" t="inlineStr">
        <is>
          <t>1 MT</t>
        </is>
      </c>
      <c r="H2786" t="inlineStr">
        <is>
          <t>MOTOCICLISTA ATIRA CONTRA GRUPO DE HAITIANOS E FERE UM EM CUIABÁ</t>
        </is>
      </c>
      <c r="I2786" t="inlineStr"/>
      <c r="J2786" t="inlineStr">
        <is>
          <t>CUIABÁ</t>
        </is>
      </c>
      <c r="K2786" t="n">
        <v>1</v>
      </c>
      <c r="L2786" t="n">
        <v>4</v>
      </c>
      <c r="M2786" t="n">
        <v>0</v>
      </c>
      <c r="N2786" t="n">
        <v>0</v>
      </c>
      <c r="O2786" t="n">
        <v>11</v>
      </c>
      <c r="P2786">
        <f>HYPERLINK("http://g1.globo.com/mato-grosso/noticia/2015/11/motociclista-atira-contra-grupo-de-haitianos-e-fere-um-em-cuiaba.html", "URL")</f>
        <v/>
      </c>
      <c r="Q2786">
        <f>HYPERLINK("https://raw.githubusercontent.com/marcosmapl/dataset_imigrantes/main/materias_filtered/g1/haitianos/2015/10_nov/html/g1_bbcbfc24-22f0-11ed-b24f-6dbe51e79fca_1718.html", "HTML")</f>
        <v/>
      </c>
      <c r="R2786">
        <f>HYPERLINK("https://raw.githubusercontent.com/marcosmapl/dataset_imigrantes/main/materias_filtered/g1/haitianos/2015/10_nov/txt/g1_bbcbfc24-22f0-11ed-b24f-6dbe51e79fca_1718.txt", "TXT")</f>
        <v/>
      </c>
    </row>
    <row r="2787">
      <c r="A2787" s="1" t="n">
        <v>2785</v>
      </c>
      <c r="B2787" t="n">
        <v>2015</v>
      </c>
      <c r="C2787" s="2" t="n">
        <v>42328.29166666666</v>
      </c>
      <c r="D2787" t="inlineStr">
        <is>
          <t>G1</t>
        </is>
      </c>
      <c r="E2787" t="inlineStr">
        <is>
          <t>HAITIANOS</t>
        </is>
      </c>
      <c r="F2787" t="inlineStr"/>
      <c r="G2787" t="inlineStr">
        <is>
          <t>DRO TAPAJÓSDO G1 AM*</t>
        </is>
      </c>
      <c r="H2787" t="inlineStr">
        <is>
          <t>'CONSCIÊNCIA NEGRA DEVE LEMBRAR DO HAITIANO DISCRIMINADO', DIZ SOCIÓLOGO</t>
        </is>
      </c>
      <c r="I2787" t="inlineStr"/>
      <c r="J2787" t="inlineStr">
        <is>
          <t>MANAUS</t>
        </is>
      </c>
      <c r="K2787" t="n">
        <v>1</v>
      </c>
      <c r="L2787" t="n">
        <v>7</v>
      </c>
      <c r="M2787" t="n">
        <v>0</v>
      </c>
      <c r="N2787" t="n">
        <v>0</v>
      </c>
      <c r="O2787" t="n">
        <v>14</v>
      </c>
      <c r="P2787">
        <f>HYPERLINK("http://g1.globo.com/am/amazonas/noticia/2015/11/consciencia-negra-deve-lembrar-do-haitiano-discriminado-diz-sociologo.html", "URL")</f>
        <v/>
      </c>
      <c r="Q2787">
        <f>HYPERLINK("https://raw.githubusercontent.com/marcosmapl/dataset_imigrantes/main/materias_filtered/g1/haitianos/2015/10_nov/html/g1_b14c322a-2307-11ed-b24f-6dbe51e79fca_2335.html", "HTML")</f>
        <v/>
      </c>
      <c r="R2787">
        <f>HYPERLINK("https://raw.githubusercontent.com/marcosmapl/dataset_imigrantes/main/materias_filtered/g1/haitianos/2015/10_nov/txt/g1_b14c322a-2307-11ed-b24f-6dbe51e79fca_2335.txt", "TXT")</f>
        <v/>
      </c>
    </row>
    <row r="2788">
      <c r="A2788" s="1" t="n">
        <v>2786</v>
      </c>
      <c r="B2788" t="n">
        <v>2015</v>
      </c>
      <c r="C2788" s="2" t="n">
        <v>42326.6875</v>
      </c>
      <c r="D2788" t="inlineStr">
        <is>
          <t>G1</t>
        </is>
      </c>
      <c r="E2788" t="inlineStr">
        <is>
          <t>HAITIANOS</t>
        </is>
      </c>
      <c r="F2788" t="inlineStr"/>
      <c r="G2788" t="inlineStr">
        <is>
          <t>1 PR</t>
        </is>
      </c>
      <c r="H2788" t="inlineStr">
        <is>
          <t>MPT ENCONTRA HAITIANOS VIVENDO EM SITUAÇÃO PRECÁRIA EM UMUARAMA</t>
        </is>
      </c>
      <c r="I2788" t="inlineStr"/>
      <c r="J2788" t="inlineStr">
        <is>
          <t>PARANÁ, UMUARAMA</t>
        </is>
      </c>
      <c r="K2788" t="n">
        <v>2</v>
      </c>
      <c r="L2788" t="n">
        <v>3</v>
      </c>
      <c r="M2788" t="n">
        <v>0</v>
      </c>
      <c r="N2788" t="n">
        <v>0</v>
      </c>
      <c r="O2788" t="n">
        <v>15</v>
      </c>
      <c r="P2788">
        <f>HYPERLINK("http://g1.globo.com/pr/norte-noroeste/noticia/2015/11/mpt-encontra-haitianos-vivendo-em-situacao-precaria-em-umuarama.html", "URL")</f>
        <v/>
      </c>
      <c r="Q2788">
        <f>HYPERLINK("https://raw.githubusercontent.com/marcosmapl/dataset_imigrantes/main/materias_filtered/g1/haitianos/2015/10_nov/html/g1_098e44fe-22f5-11ed-b24f-6dbe51e79fca_1927.html", "HTML")</f>
        <v/>
      </c>
      <c r="R2788">
        <f>HYPERLINK("https://raw.githubusercontent.com/marcosmapl/dataset_imigrantes/main/materias_filtered/g1/haitianos/2015/10_nov/txt/g1_098e44fe-22f5-11ed-b24f-6dbe51e79fca_1927.txt", "TXT")</f>
        <v/>
      </c>
    </row>
    <row r="2789">
      <c r="A2789" s="1" t="n">
        <v>2787</v>
      </c>
      <c r="B2789" t="n">
        <v>2015</v>
      </c>
      <c r="C2789" s="2" t="n">
        <v>42325.87083333333</v>
      </c>
      <c r="D2789" t="inlineStr">
        <is>
          <t>G1</t>
        </is>
      </c>
      <c r="E2789" t="inlineStr">
        <is>
          <t>VENEZUELANOS</t>
        </is>
      </c>
      <c r="F2789" t="inlineStr"/>
      <c r="G2789" t="inlineStr">
        <is>
          <t>FP</t>
        </is>
      </c>
      <c r="H2789" t="inlineStr">
        <is>
          <t>AUDIÊNCIA DE SOBRINHOS DA PRIMEIRA DAMA VENEZUELANA É ADIADA NOS EUA</t>
        </is>
      </c>
      <c r="I2789" t="inlineStr"/>
      <c r="J2789" t="inlineStr">
        <is>
          <t>NICOLÁS MADURO, VENEZUELA</t>
        </is>
      </c>
      <c r="K2789" t="n">
        <v>2</v>
      </c>
      <c r="L2789" t="n">
        <v>6</v>
      </c>
      <c r="M2789" t="n">
        <v>0</v>
      </c>
      <c r="N2789" t="n">
        <v>0</v>
      </c>
      <c r="O2789" t="n">
        <v>13</v>
      </c>
      <c r="P2789">
        <f>HYPERLINK("http://g1.globo.com/mundo/noticia/2015/11/audiencia-de-sobrinhos-da-primeira-dama-venezuelana-e-adiada-nos-eua.html", "URL")</f>
        <v/>
      </c>
      <c r="Q2789">
        <f>HYPERLINK("https://raw.githubusercontent.com/marcosmapl/dataset_imigrantes/main/materias_filtered/g1/venezuelanos/2015/10_nov/html/g1_ee7fb8dc-2321-11ed-b24f-6dbe51e79fca_3725.html", "HTML")</f>
        <v/>
      </c>
      <c r="R2789">
        <f>HYPERLINK("https://raw.githubusercontent.com/marcosmapl/dataset_imigrantes/main/materias_filtered/g1/venezuelanos/2015/10_nov/txt/g1_ee7fb8dc-2321-11ed-b24f-6dbe51e79fca_3725.txt", "TXT")</f>
        <v/>
      </c>
    </row>
    <row r="2790">
      <c r="A2790" s="1" t="n">
        <v>2788</v>
      </c>
      <c r="B2790" t="n">
        <v>2015</v>
      </c>
      <c r="C2790" s="2" t="n">
        <v>42319.71319444444</v>
      </c>
      <c r="D2790" t="inlineStr">
        <is>
          <t>G1</t>
        </is>
      </c>
      <c r="E2790" t="inlineStr">
        <is>
          <t>HAITIANOS</t>
        </is>
      </c>
      <c r="F2790" t="inlineStr"/>
      <c r="G2790" t="inlineStr">
        <is>
          <t>1 DF</t>
        </is>
      </c>
      <c r="H2790" t="inlineStr">
        <is>
          <t>BRASIL AUTORIZA PERMANÊNCIA DEFINITIVA A 44 MIL REFUGIADOS HAITIANOS</t>
        </is>
      </c>
      <c r="I2790" t="inlineStr"/>
      <c r="J2790" t="inlineStr">
        <is>
          <t>BRASÍLIA, DISTRITO FEDERAL</t>
        </is>
      </c>
      <c r="K2790" t="n">
        <v>2</v>
      </c>
      <c r="L2790" t="n">
        <v>6</v>
      </c>
      <c r="M2790" t="n">
        <v>0</v>
      </c>
      <c r="N2790" t="n">
        <v>0</v>
      </c>
      <c r="O2790" t="n">
        <v>13</v>
      </c>
      <c r="P2790">
        <f>HYPERLINK("http://g1.globo.com/distrito-federal/noticia/2015/11/brasil-autoriza-permanencia-definitiva-44-mil-refugiados-haitianos.html", "URL")</f>
        <v/>
      </c>
      <c r="Q2790">
        <f>HYPERLINK("https://raw.githubusercontent.com/marcosmapl/dataset_imigrantes/main/materias_filtered/g1/haitianos/2015/10_nov/html/g1_b46f8e48-22f8-11ed-b24f-6dbe51e79fca_2152.html", "HTML")</f>
        <v/>
      </c>
      <c r="R2790">
        <f>HYPERLINK("https://raw.githubusercontent.com/marcosmapl/dataset_imigrantes/main/materias_filtered/g1/haitianos/2015/10_nov/txt/g1_b46f8e48-22f8-11ed-b24f-6dbe51e79fca_2152.txt", "TXT")</f>
        <v/>
      </c>
    </row>
    <row r="2791">
      <c r="A2791" s="1" t="n">
        <v>2789</v>
      </c>
      <c r="B2791" t="n">
        <v>2015</v>
      </c>
      <c r="C2791" s="2" t="n">
        <v>42318.88541666666</v>
      </c>
      <c r="D2791" t="inlineStr">
        <is>
          <t>G1</t>
        </is>
      </c>
      <c r="E2791" t="inlineStr">
        <is>
          <t>VENEZUELANOS</t>
        </is>
      </c>
      <c r="F2791" t="inlineStr"/>
      <c r="G2791" t="inlineStr">
        <is>
          <t>FP</t>
        </is>
      </c>
      <c r="H2791" t="inlineStr">
        <is>
          <t>OPOSIÇÃO VENEZUELANA DIZ QUE BUSCARÁ SAÍDA DE MADURO EM 2016</t>
        </is>
      </c>
      <c r="I2791" t="inlineStr"/>
      <c r="J2791" t="inlineStr">
        <is>
          <t>NICOLÁS MADURO, VENEZUELA</t>
        </is>
      </c>
      <c r="K2791" t="n">
        <v>2</v>
      </c>
      <c r="L2791" t="n">
        <v>7</v>
      </c>
      <c r="M2791" t="n">
        <v>0</v>
      </c>
      <c r="N2791" t="n">
        <v>0</v>
      </c>
      <c r="O2791" t="n">
        <v>14</v>
      </c>
      <c r="P2791">
        <f>HYPERLINK("http://g1.globo.com/mundo/noticia/2015/11/oposicao-venezuelana-diz-que-buscara-saida-de-maduro-em-2016.html", "URL")</f>
        <v/>
      </c>
      <c r="Q2791">
        <f>HYPERLINK("https://raw.githubusercontent.com/marcosmapl/dataset_imigrantes/main/materias_filtered/g1/venezuelanos/2015/10_nov/html/g1_5f22b85c-230c-11ed-b24f-6dbe51e79fca_2620.html", "HTML")</f>
        <v/>
      </c>
      <c r="R2791">
        <f>HYPERLINK("https://raw.githubusercontent.com/marcosmapl/dataset_imigrantes/main/materias_filtered/g1/venezuelanos/2015/10_nov/txt/g1_5f22b85c-230c-11ed-b24f-6dbe51e79fca_2620.txt", "TXT")</f>
        <v/>
      </c>
    </row>
    <row r="2792">
      <c r="A2792" s="1" t="n">
        <v>2790</v>
      </c>
      <c r="B2792" t="n">
        <v>2015</v>
      </c>
      <c r="C2792" s="2" t="n">
        <v>42316.28472222222</v>
      </c>
      <c r="D2792" t="inlineStr">
        <is>
          <t>G1</t>
        </is>
      </c>
      <c r="E2792" t="inlineStr">
        <is>
          <t>HAITIANOS</t>
        </is>
      </c>
      <c r="F2792" t="inlineStr"/>
      <c r="G2792" t="inlineStr">
        <is>
          <t>1 SC</t>
        </is>
      </c>
      <c r="H2792" t="inlineStr">
        <is>
          <t>HAITIANOS FAZEM PROGRAMA DE RÁDIO EM FRANCÊS E CRIOULO NO LITORAL DE SC</t>
        </is>
      </c>
      <c r="I2792" t="inlineStr"/>
      <c r="J2792" t="inlineStr">
        <is>
          <t>BALNEÁRIO CAMBORIÚ</t>
        </is>
      </c>
      <c r="K2792" t="n">
        <v>1</v>
      </c>
      <c r="L2792" t="n">
        <v>6</v>
      </c>
      <c r="M2792" t="n">
        <v>0</v>
      </c>
      <c r="N2792" t="n">
        <v>0</v>
      </c>
      <c r="O2792" t="n">
        <v>11</v>
      </c>
      <c r="P2792">
        <f>HYPERLINK("http://g1.globo.com/sc/santa-catarina/noticia/2015/11/haitianos-fazem-programa-de-radio-em-frances-e-crioulo-no-litoral-de-sc.html", "URL")</f>
        <v/>
      </c>
      <c r="Q2792">
        <f>HYPERLINK("https://raw.githubusercontent.com/marcosmapl/dataset_imigrantes/main/materias_filtered/g1/haitianos/2015/10_nov/html/g1_2ac22f2a-22f3-11ed-b24f-6dbe51e79fca_1827.html", "HTML")</f>
        <v/>
      </c>
      <c r="R2792">
        <f>HYPERLINK("https://raw.githubusercontent.com/marcosmapl/dataset_imigrantes/main/materias_filtered/g1/haitianos/2015/10_nov/txt/g1_2ac22f2a-22f3-11ed-b24f-6dbe51e79fca_1827.txt", "TXT")</f>
        <v/>
      </c>
    </row>
    <row r="2793">
      <c r="A2793" s="1" t="n">
        <v>2791</v>
      </c>
      <c r="B2793" t="n">
        <v>2015</v>
      </c>
      <c r="C2793" s="2" t="n">
        <v>42313.45625</v>
      </c>
      <c r="D2793" t="inlineStr">
        <is>
          <t>G1</t>
        </is>
      </c>
      <c r="E2793" t="inlineStr">
        <is>
          <t>VENEZUELANOS</t>
        </is>
      </c>
      <c r="F2793" t="inlineStr"/>
      <c r="G2793" t="inlineStr">
        <is>
          <t>FE</t>
        </is>
      </c>
      <c r="H2793" t="inlineStr">
        <is>
          <t>VENEZUELANA VENCE CONCURSO MISS INTERNACIONAL 2015</t>
        </is>
      </c>
      <c r="I2793" t="inlineStr"/>
      <c r="J2793" t="inlineStr">
        <is>
          <t>VENEZUELA</t>
        </is>
      </c>
      <c r="K2793" t="n">
        <v>1</v>
      </c>
      <c r="L2793" t="n">
        <v>5</v>
      </c>
      <c r="M2793" t="n">
        <v>0</v>
      </c>
      <c r="N2793" t="n">
        <v>0</v>
      </c>
      <c r="O2793" t="n">
        <v>9</v>
      </c>
      <c r="P2793">
        <f>HYPERLINK("http://g1.globo.com/mundo/noticia/2015/11/venezuelana-vence-concurso-miss-internacional-2015.html", "URL")</f>
        <v/>
      </c>
      <c r="Q2793">
        <f>HYPERLINK("https://raw.githubusercontent.com/marcosmapl/dataset_imigrantes/main/materias_filtered/g1/venezuelanos/2015/10_nov/html/g1_a188fd46-230c-11ed-b24f-6dbe51e79fca_2637.html", "HTML")</f>
        <v/>
      </c>
      <c r="R2793">
        <f>HYPERLINK("https://raw.githubusercontent.com/marcosmapl/dataset_imigrantes/main/materias_filtered/g1/venezuelanos/2015/10_nov/txt/g1_a188fd46-230c-11ed-b24f-6dbe51e79fca_2637.txt", "TXT")</f>
        <v/>
      </c>
    </row>
    <row r="2794">
      <c r="A2794" s="1" t="n">
        <v>2792</v>
      </c>
      <c r="B2794" t="n">
        <v>2015</v>
      </c>
      <c r="C2794" s="2" t="n">
        <v>42312.59236111111</v>
      </c>
      <c r="D2794" t="inlineStr">
        <is>
          <t>G1</t>
        </is>
      </c>
      <c r="E2794" t="inlineStr">
        <is>
          <t>VENEZUELANOS</t>
        </is>
      </c>
      <c r="F2794" t="inlineStr"/>
      <c r="G2794" t="inlineStr">
        <is>
          <t>1 SOROCABA E JUNDIAÍ</t>
        </is>
      </c>
      <c r="H2794" t="inlineStr">
        <is>
          <t>VENEZUELANAS SÃO PRESAS COM QUASE 15 QUILOS DE COCAÍNA EM ITU</t>
        </is>
      </c>
      <c r="I2794" t="inlineStr"/>
      <c r="J2794" t="inlineStr">
        <is>
          <t>GUARULHOS, ITU, SOROCABA</t>
        </is>
      </c>
      <c r="K2794" t="n">
        <v>3</v>
      </c>
      <c r="L2794" t="n">
        <v>5</v>
      </c>
      <c r="M2794" t="n">
        <v>0</v>
      </c>
      <c r="N2794" t="n">
        <v>0</v>
      </c>
      <c r="O2794" t="n">
        <v>12</v>
      </c>
      <c r="P2794">
        <f>HYPERLINK("http://g1.globo.com/sao-paulo/sorocaba-jundiai/noticia/2015/11/venezuelanas-sao-presas-com-quase-15-quilos-de-cocaina-em-itu.html", "URL")</f>
        <v/>
      </c>
      <c r="Q2794">
        <f>HYPERLINK("https://raw.githubusercontent.com/marcosmapl/dataset_imigrantes/main/materias_filtered/g1/venezuelanos/2015/10_nov/html/g1_3486aea8-230e-11ed-b24f-6dbe51e79fca_2728.html", "HTML")</f>
        <v/>
      </c>
      <c r="R2794">
        <f>HYPERLINK("https://raw.githubusercontent.com/marcosmapl/dataset_imigrantes/main/materias_filtered/g1/venezuelanos/2015/10_nov/txt/g1_3486aea8-230e-11ed-b24f-6dbe51e79fca_2728.txt", "TXT")</f>
        <v/>
      </c>
    </row>
    <row r="2795">
      <c r="A2795" s="1" t="n">
        <v>2793</v>
      </c>
      <c r="B2795" t="n">
        <v>2015</v>
      </c>
      <c r="C2795" s="2" t="n">
        <v>42307.47152777778</v>
      </c>
      <c r="D2795" t="inlineStr">
        <is>
          <t>G1</t>
        </is>
      </c>
      <c r="E2795" t="inlineStr">
        <is>
          <t>HAITIANOS</t>
        </is>
      </c>
      <c r="F2795" t="inlineStr"/>
      <c r="G2795" t="inlineStr">
        <is>
          <t>1 RS</t>
        </is>
      </c>
      <c r="H2795" t="inlineStr">
        <is>
          <t>HAITIANO DEVOLVE CALÇAS QUE RECEBEU DE VOLUNTÁRIO POR ENGANO NO RS</t>
        </is>
      </c>
      <c r="I2795" t="inlineStr"/>
      <c r="J2795" t="inlineStr">
        <is>
          <t>GRAVATAÍ, PORTO ALEGRE</t>
        </is>
      </c>
      <c r="K2795" t="n">
        <v>2</v>
      </c>
      <c r="L2795" t="n">
        <v>3</v>
      </c>
      <c r="M2795" t="n">
        <v>0</v>
      </c>
      <c r="N2795" t="n">
        <v>0</v>
      </c>
      <c r="O2795" t="n">
        <v>12</v>
      </c>
      <c r="P2795">
        <f>HYPERLINK("http://g1.globo.com/rs/rio-grande-do-sul/noticia/2015/10/haitiano-devolve-calcas-que-recebeu-de-voluntario-por-engano-no-rs.html", "URL")</f>
        <v/>
      </c>
      <c r="Q2795">
        <f>HYPERLINK("https://raw.githubusercontent.com/marcosmapl/dataset_imigrantes/main/materias_filtered/g1/haitianos/2015/09_out/html/g1_7d5f5618-2307-11ed-b24f-6dbe51e79fca_2321.html", "HTML")</f>
        <v/>
      </c>
      <c r="R2795">
        <f>HYPERLINK("https://raw.githubusercontent.com/marcosmapl/dataset_imigrantes/main/materias_filtered/g1/haitianos/2015/09_out/txt/g1_7d5f5618-2307-11ed-b24f-6dbe51e79fca_2321.txt", "TXT")</f>
        <v/>
      </c>
    </row>
    <row r="2796">
      <c r="A2796" s="1" t="n">
        <v>2794</v>
      </c>
      <c r="B2796" t="n">
        <v>2015</v>
      </c>
      <c r="C2796" s="2" t="n">
        <v>42304.52152777778</v>
      </c>
      <c r="D2796" t="inlineStr">
        <is>
          <t>G1</t>
        </is>
      </c>
      <c r="E2796" t="inlineStr">
        <is>
          <t>HAITIANOS</t>
        </is>
      </c>
      <c r="F2796" t="inlineStr"/>
      <c r="G2796" t="inlineStr">
        <is>
          <t>1 RO</t>
        </is>
      </c>
      <c r="H2796" t="inlineStr">
        <is>
          <t>HAITIANO É PRESO APÓS AGREDIR DOIS IDOSOS NA ZONA NORTE DE PORTO VELHO</t>
        </is>
      </c>
      <c r="I2796" t="inlineStr"/>
      <c r="J2796" t="inlineStr">
        <is>
          <t>RONDÔNIA, PORTO VELHO</t>
        </is>
      </c>
      <c r="K2796" t="n">
        <v>2</v>
      </c>
      <c r="L2796" t="n">
        <v>4</v>
      </c>
      <c r="M2796" t="n">
        <v>0</v>
      </c>
      <c r="N2796" t="n">
        <v>0</v>
      </c>
      <c r="O2796" t="n">
        <v>14</v>
      </c>
      <c r="P2796">
        <f>HYPERLINK("http://g1.globo.com/ro/rondonia/noticia/2015/10/haitiano-e-preso-apos-agredir-dois-idosos-em-uma-casa-de-porto-velho.html", "URL")</f>
        <v/>
      </c>
      <c r="Q2796">
        <f>HYPERLINK("https://raw.githubusercontent.com/marcosmapl/dataset_imigrantes/main/materias_filtered/g1/haitianos/2015/09_out/html/g1_46cce15c-231f-11ed-b24f-6dbe51e79fca_3613.html", "HTML")</f>
        <v/>
      </c>
      <c r="R2796">
        <f>HYPERLINK("https://raw.githubusercontent.com/marcosmapl/dataset_imigrantes/main/materias_filtered/g1/haitianos/2015/09_out/txt/g1_46cce15c-231f-11ed-b24f-6dbe51e79fca_3613.txt", "TXT")</f>
        <v/>
      </c>
    </row>
    <row r="2797">
      <c r="A2797" s="1" t="n">
        <v>2795</v>
      </c>
      <c r="B2797" t="n">
        <v>2015</v>
      </c>
      <c r="C2797" s="2" t="n">
        <v>42303.95277777778</v>
      </c>
      <c r="D2797" t="inlineStr">
        <is>
          <t>G1</t>
        </is>
      </c>
      <c r="E2797" t="inlineStr">
        <is>
          <t>HAITIANOS</t>
        </is>
      </c>
      <c r="F2797" t="inlineStr"/>
      <c r="G2797" t="inlineStr">
        <is>
          <t>1 RS</t>
        </is>
      </c>
      <c r="H2797" t="inlineStr">
        <is>
          <t>PROFESSORES REALIZAM PROJETO PARA ENSINAR PORTUGUÊS A HAITIANOS NO RS</t>
        </is>
      </c>
      <c r="I2797" t="inlineStr"/>
      <c r="J2797" t="inlineStr">
        <is>
          <t>CAXIAS DO SUL</t>
        </is>
      </c>
      <c r="K2797" t="n">
        <v>1</v>
      </c>
      <c r="L2797" t="n">
        <v>4</v>
      </c>
      <c r="M2797" t="n">
        <v>0</v>
      </c>
      <c r="N2797" t="n">
        <v>0</v>
      </c>
      <c r="O2797" t="n">
        <v>14</v>
      </c>
      <c r="P2797">
        <f>HYPERLINK("http://g1.globo.com/rs/rio-grande-do-sul/noticia/2015/10/professores-realizam-projeto-para-ensinar-portugues-haitianos-no-rs.html", "URL")</f>
        <v/>
      </c>
      <c r="Q2797">
        <f>HYPERLINK("https://raw.githubusercontent.com/marcosmapl/dataset_imigrantes/main/materias_filtered/g1/haitianos/2015/09_out/html/g1_55e8dcf8-22f3-11ed-b24f-6dbe51e79fca_1836.html", "HTML")</f>
        <v/>
      </c>
      <c r="R2797">
        <f>HYPERLINK("https://raw.githubusercontent.com/marcosmapl/dataset_imigrantes/main/materias_filtered/g1/haitianos/2015/09_out/txt/g1_55e8dcf8-22f3-11ed-b24f-6dbe51e79fca_1836.txt", "TXT")</f>
        <v/>
      </c>
    </row>
    <row r="2798">
      <c r="A2798" s="1" t="n">
        <v>2796</v>
      </c>
      <c r="B2798" t="n">
        <v>2015</v>
      </c>
      <c r="C2798" s="2" t="n">
        <v>42301.42638888889</v>
      </c>
      <c r="D2798" t="inlineStr">
        <is>
          <t>G1</t>
        </is>
      </c>
      <c r="E2798" t="inlineStr">
        <is>
          <t>HAITIANOS</t>
        </is>
      </c>
      <c r="F2798" t="inlineStr"/>
      <c r="G2798" t="inlineStr">
        <is>
          <t>1 SC</t>
        </is>
      </c>
      <c r="H2798" t="inlineStr">
        <is>
          <t>HAITIANO É MORTO E AS NOTÍCIAS MAIS LIDAS DA SEMANA NO G1 SC</t>
        </is>
      </c>
      <c r="I2798" t="inlineStr"/>
      <c r="J2798" t="inlineStr"/>
      <c r="K2798" t="n">
        <v>0</v>
      </c>
      <c r="L2798" t="n">
        <v>3</v>
      </c>
      <c r="M2798" t="n">
        <v>0</v>
      </c>
      <c r="N2798" t="n">
        <v>0</v>
      </c>
      <c r="O2798" t="n">
        <v>14</v>
      </c>
      <c r="P2798">
        <f>HYPERLINK("http://g1.globo.com/sc/santa-catarina/noticia/2015/10/haitiano-e-morto-e-noticias-mais-lidas-da-semana-no-g1-sc.html", "URL")</f>
        <v/>
      </c>
      <c r="Q2798">
        <f>HYPERLINK("https://raw.githubusercontent.com/marcosmapl/dataset_imigrantes/main/materias_filtered/g1/haitianos/2015/09_out/html/g1_102df5d6-2311-11ed-b24f-6dbe51e79fca_2895.html", "HTML")</f>
        <v/>
      </c>
      <c r="R2798">
        <f>HYPERLINK("https://raw.githubusercontent.com/marcosmapl/dataset_imigrantes/main/materias_filtered/g1/haitianos/2015/09_out/txt/g1_102df5d6-2311-11ed-b24f-6dbe51e79fca_2895.txt", "TXT")</f>
        <v/>
      </c>
    </row>
    <row r="2799">
      <c r="A2799" s="1" t="n">
        <v>2797</v>
      </c>
      <c r="B2799" t="n">
        <v>2015</v>
      </c>
      <c r="C2799" s="2" t="n">
        <v>42300.90833333333</v>
      </c>
      <c r="D2799" t="inlineStr">
        <is>
          <t>G1</t>
        </is>
      </c>
      <c r="E2799" t="inlineStr">
        <is>
          <t>HAITIANOS</t>
        </is>
      </c>
      <c r="F2799" t="inlineStr"/>
      <c r="G2799" t="inlineStr">
        <is>
          <t>1 SC</t>
        </is>
      </c>
      <c r="H2799" t="inlineStr">
        <is>
          <t>HAITIANO MORTO EM SC É ENTERRADO EM NAVEGANTES NESTA SEXTA</t>
        </is>
      </c>
      <c r="I2799" t="inlineStr"/>
      <c r="J2799" t="inlineStr">
        <is>
          <t>NAVEGANTES</t>
        </is>
      </c>
      <c r="K2799" t="n">
        <v>1</v>
      </c>
      <c r="L2799" t="n">
        <v>4</v>
      </c>
      <c r="M2799" t="n">
        <v>0</v>
      </c>
      <c r="N2799" t="n">
        <v>0</v>
      </c>
      <c r="O2799" t="n">
        <v>15</v>
      </c>
      <c r="P2799">
        <f>HYPERLINK("http://g1.globo.com/sc/santa-catarina/noticia/2015/10/haitiano-morto-em-sc-e-enterrado-em-navegantes-nesta-sexta.html", "URL")</f>
        <v/>
      </c>
      <c r="Q2799">
        <f>HYPERLINK("https://raw.githubusercontent.com/marcosmapl/dataset_imigrantes/main/materias_filtered/g1/haitianos/2015/09_out/html/g1_6c3406d2-231f-11ed-b24f-6dbe51e79fca_3621.html", "HTML")</f>
        <v/>
      </c>
      <c r="R2799">
        <f>HYPERLINK("https://raw.githubusercontent.com/marcosmapl/dataset_imigrantes/main/materias_filtered/g1/haitianos/2015/09_out/txt/g1_6c3406d2-231f-11ed-b24f-6dbe51e79fca_3621.txt", "TXT")</f>
        <v/>
      </c>
    </row>
    <row r="2800">
      <c r="A2800" s="1" t="n">
        <v>2798</v>
      </c>
      <c r="B2800" t="n">
        <v>2015</v>
      </c>
      <c r="C2800" s="2" t="n">
        <v>42300.74305555555</v>
      </c>
      <c r="D2800" t="inlineStr">
        <is>
          <t>G1</t>
        </is>
      </c>
      <c r="E2800" t="inlineStr">
        <is>
          <t>HAITIANOS</t>
        </is>
      </c>
      <c r="F2800" t="inlineStr"/>
      <c r="G2800" t="inlineStr">
        <is>
          <t>1 MT</t>
        </is>
      </c>
      <c r="H2800" t="inlineStr">
        <is>
          <t>'FAREI PROVA COM A ALMA', DIZ HAITIANO QUE FARÁ O ENEM PELA 1ª VEZ EM MT</t>
        </is>
      </c>
      <c r="I2800" t="inlineStr"/>
      <c r="J2800" t="inlineStr">
        <is>
          <t>ENEM, MATO GROSSO, CUIABÁ</t>
        </is>
      </c>
      <c r="K2800" t="n">
        <v>3</v>
      </c>
      <c r="L2800" t="n">
        <v>7</v>
      </c>
      <c r="M2800" t="n">
        <v>0</v>
      </c>
      <c r="N2800" t="n">
        <v>0</v>
      </c>
      <c r="O2800" t="n">
        <v>29</v>
      </c>
      <c r="P2800">
        <f>HYPERLINK("http://g1.globo.com/mato-grosso/noticia/2015/10/farei-prova-com-alma-diz-haitiano-que-fara-o-enem-pela-1-vez-em-mt.html", "URL")</f>
        <v/>
      </c>
      <c r="Q2800">
        <f>HYPERLINK("https://raw.githubusercontent.com/marcosmapl/dataset_imigrantes/main/materias_filtered/g1/haitianos/2015/09_out/html/g1_e09e75fc-231f-11ed-b24f-6dbe51e79fca_3649.html", "HTML")</f>
        <v/>
      </c>
      <c r="R2800">
        <f>HYPERLINK("https://raw.githubusercontent.com/marcosmapl/dataset_imigrantes/main/materias_filtered/g1/haitianos/2015/09_out/txt/g1_e09e75fc-231f-11ed-b24f-6dbe51e79fca_3649.txt", "TXT")</f>
        <v/>
      </c>
    </row>
    <row r="2801">
      <c r="A2801" s="1" t="n">
        <v>2799</v>
      </c>
      <c r="B2801" t="n">
        <v>2015</v>
      </c>
      <c r="C2801" s="2" t="n">
        <v>42300.47013888889</v>
      </c>
      <c r="D2801" t="inlineStr">
        <is>
          <t>G1</t>
        </is>
      </c>
      <c r="E2801" t="inlineStr">
        <is>
          <t>HAITIANOS</t>
        </is>
      </c>
      <c r="F2801" t="inlineStr"/>
      <c r="G2801" t="inlineStr">
        <is>
          <t>ANA DE ÁVILADO G1 SC</t>
        </is>
      </c>
      <c r="H2801" t="inlineStr">
        <is>
          <t>TRÊS DOS 4 MENORES SUSPEITOS DA MORTE DE HAITIANO SÃO APREENDIDOS</t>
        </is>
      </c>
      <c r="I2801" t="inlineStr"/>
      <c r="J2801" t="inlineStr">
        <is>
          <t>NAVEGANTES</t>
        </is>
      </c>
      <c r="K2801" t="n">
        <v>1</v>
      </c>
      <c r="L2801" t="n">
        <v>4</v>
      </c>
      <c r="M2801" t="n">
        <v>0</v>
      </c>
      <c r="N2801" t="n">
        <v>0</v>
      </c>
      <c r="O2801" t="n">
        <v>14</v>
      </c>
      <c r="P2801">
        <f>HYPERLINK("http://g1.globo.com/sc/santa-catarina/noticia/2015/10/tres-dos-4-menores-suspeitos-da-morte-de-haitiano-sao-apreendidos.html", "URL")</f>
        <v/>
      </c>
      <c r="Q2801">
        <f>HYPERLINK("https://raw.githubusercontent.com/marcosmapl/dataset_imigrantes/main/materias_filtered/g1/haitianos/2015/09_out/html/g1_af126738-230f-11ed-b24f-6dbe51e79fca_2812.html", "HTML")</f>
        <v/>
      </c>
      <c r="R2801">
        <f>HYPERLINK("https://raw.githubusercontent.com/marcosmapl/dataset_imigrantes/main/materias_filtered/g1/haitianos/2015/09_out/txt/g1_af126738-230f-11ed-b24f-6dbe51e79fca_2812.txt", "TXT")</f>
        <v/>
      </c>
    </row>
    <row r="2802">
      <c r="A2802" s="1" t="n">
        <v>2800</v>
      </c>
      <c r="B2802" t="n">
        <v>2015</v>
      </c>
      <c r="C2802" s="2" t="n">
        <v>42299.61666666667</v>
      </c>
      <c r="D2802" t="inlineStr">
        <is>
          <t>G1</t>
        </is>
      </c>
      <c r="E2802" t="inlineStr">
        <is>
          <t>HAITIANOS</t>
        </is>
      </c>
      <c r="F2802" t="inlineStr"/>
      <c r="G2802" t="inlineStr">
        <is>
          <t>ANA DE ÁVILADO G1 SC</t>
        </is>
      </c>
      <c r="H2802" t="inlineStr">
        <is>
          <t>JUSTIÇA DE SC MANDA APREENDER 4  ADOLESCENTES POR MORTE DE HAITIANO</t>
        </is>
      </c>
      <c r="I2802" t="inlineStr"/>
      <c r="J2802" t="inlineStr">
        <is>
          <t>NAVEGANTES</t>
        </is>
      </c>
      <c r="K2802" t="n">
        <v>1</v>
      </c>
      <c r="L2802" t="n">
        <v>6</v>
      </c>
      <c r="M2802" t="n">
        <v>0</v>
      </c>
      <c r="N2802" t="n">
        <v>0</v>
      </c>
      <c r="O2802" t="n">
        <v>11</v>
      </c>
      <c r="P2802">
        <f>HYPERLINK("http://g1.globo.com/sc/santa-catarina/noticia/2015/10/justica-de-sc-manda-apreender-4-adolescentes-por-morte-de-haitiano.html", "URL")</f>
        <v/>
      </c>
      <c r="Q2802">
        <f>HYPERLINK("https://raw.githubusercontent.com/marcosmapl/dataset_imigrantes/main/materias_filtered/g1/haitianos/2015/09_out/html/g1_23ee596c-2311-11ed-b24f-6dbe51e79fca_2901.html", "HTML")</f>
        <v/>
      </c>
      <c r="R2802">
        <f>HYPERLINK("https://raw.githubusercontent.com/marcosmapl/dataset_imigrantes/main/materias_filtered/g1/haitianos/2015/09_out/txt/g1_23ee596c-2311-11ed-b24f-6dbe51e79fca_2901.txt", "TXT")</f>
        <v/>
      </c>
    </row>
    <row r="2803">
      <c r="A2803" s="1" t="n">
        <v>2801</v>
      </c>
      <c r="B2803" t="n">
        <v>2015</v>
      </c>
      <c r="C2803" s="2" t="n">
        <v>42298.91666666666</v>
      </c>
      <c r="D2803" t="inlineStr">
        <is>
          <t>G1</t>
        </is>
      </c>
      <c r="E2803" t="inlineStr">
        <is>
          <t>HAITIANOS</t>
        </is>
      </c>
      <c r="F2803" t="inlineStr"/>
      <c r="G2803" t="inlineStr">
        <is>
          <t>1 SC</t>
        </is>
      </c>
      <c r="H2803" t="inlineStr">
        <is>
          <t>MENOR QUE CONFESSOU TER MATADO HAITIANO É SOLTO POR FALTA DE VAGAS</t>
        </is>
      </c>
      <c r="I2803" t="inlineStr"/>
      <c r="J2803" t="inlineStr">
        <is>
          <t>NAVEGANTES</t>
        </is>
      </c>
      <c r="K2803" t="n">
        <v>1</v>
      </c>
      <c r="L2803" t="n">
        <v>7</v>
      </c>
      <c r="M2803" t="n">
        <v>0</v>
      </c>
      <c r="N2803" t="n">
        <v>0</v>
      </c>
      <c r="O2803" t="n">
        <v>14</v>
      </c>
      <c r="P2803">
        <f>HYPERLINK("http://g1.globo.com/sc/santa-catarina/noticia/2015/10/menor-que-confessou-ter-matado-haitiano-e-solto-por-falta-de-vagas.html", "URL")</f>
        <v/>
      </c>
      <c r="Q2803">
        <f>HYPERLINK("https://raw.githubusercontent.com/marcosmapl/dataset_imigrantes/main/materias_filtered/g1/haitianos/2015/09_out/html/g1_b6ab24f6-2325-11ed-b24f-6dbe51e79fca_3930.html", "HTML")</f>
        <v/>
      </c>
      <c r="R2803">
        <f>HYPERLINK("https://raw.githubusercontent.com/marcosmapl/dataset_imigrantes/main/materias_filtered/g1/haitianos/2015/09_out/txt/g1_b6ab24f6-2325-11ed-b24f-6dbe51e79fca_3930.txt", "TXT")</f>
        <v/>
      </c>
    </row>
    <row r="2804">
      <c r="A2804" s="1" t="n">
        <v>2802</v>
      </c>
      <c r="B2804" t="n">
        <v>2015</v>
      </c>
      <c r="C2804" s="2" t="n">
        <v>42298.77777777778</v>
      </c>
      <c r="D2804" t="inlineStr">
        <is>
          <t>G1</t>
        </is>
      </c>
      <c r="E2804" t="inlineStr">
        <is>
          <t>HAITIANOS</t>
        </is>
      </c>
      <c r="F2804" t="inlineStr"/>
      <c r="G2804" t="inlineStr">
        <is>
          <t>1 SC</t>
        </is>
      </c>
      <c r="H2804" t="inlineStr">
        <is>
          <t>POLÍCIA CIVIL DETÉM 5 SUSPEITOS DE MORTE DE HAITIANO EM NAVEGANTES, SC</t>
        </is>
      </c>
      <c r="I2804" t="inlineStr"/>
      <c r="J2804" t="inlineStr">
        <is>
          <t>NAVEGANTES</t>
        </is>
      </c>
      <c r="K2804" t="n">
        <v>1</v>
      </c>
      <c r="L2804" t="n">
        <v>6</v>
      </c>
      <c r="M2804" t="n">
        <v>0</v>
      </c>
      <c r="N2804" t="n">
        <v>0</v>
      </c>
      <c r="O2804" t="n">
        <v>13</v>
      </c>
      <c r="P2804">
        <f>HYPERLINK("http://g1.globo.com/sc/santa-catarina/noticia/2015/10/policia-civil-apreende-suspeitos-de-morte-de-haitiano-em-sc.html", "URL")</f>
        <v/>
      </c>
      <c r="Q2804">
        <f>HYPERLINK("https://raw.githubusercontent.com/marcosmapl/dataset_imigrantes/main/materias_filtered/g1/haitianos/2015/09_out/html/g1_93419c72-231e-11ed-b24f-6dbe51e79fca_3571.html", "HTML")</f>
        <v/>
      </c>
      <c r="R2804">
        <f>HYPERLINK("https://raw.githubusercontent.com/marcosmapl/dataset_imigrantes/main/materias_filtered/g1/haitianos/2015/09_out/txt/g1_93419c72-231e-11ed-b24f-6dbe51e79fca_3571.txt", "TXT")</f>
        <v/>
      </c>
    </row>
    <row r="2805">
      <c r="A2805" s="1" t="n">
        <v>2803</v>
      </c>
      <c r="B2805" t="n">
        <v>2015</v>
      </c>
      <c r="C2805" s="2" t="n">
        <v>42298.625</v>
      </c>
      <c r="D2805" t="inlineStr">
        <is>
          <t>G1</t>
        </is>
      </c>
      <c r="E2805" t="inlineStr">
        <is>
          <t>HAITIANOS</t>
        </is>
      </c>
      <c r="F2805" t="inlineStr"/>
      <c r="G2805" t="inlineStr">
        <is>
          <t>ANA DE ÁVILADO G1 SC</t>
        </is>
      </c>
      <c r="H2805" t="inlineStr">
        <is>
          <t>CORPO DE HAITIANO MORTO EM SC É LIBERADO APÓS EMBAIXADA INTERVIR</t>
        </is>
      </c>
      <c r="I2805" t="inlineStr"/>
      <c r="J2805" t="inlineStr">
        <is>
          <t>NAVEGANTES</t>
        </is>
      </c>
      <c r="K2805" t="n">
        <v>1</v>
      </c>
      <c r="L2805" t="n">
        <v>6</v>
      </c>
      <c r="M2805" t="n">
        <v>0</v>
      </c>
      <c r="N2805" t="n">
        <v>0</v>
      </c>
      <c r="O2805" t="n">
        <v>12</v>
      </c>
      <c r="P2805">
        <f>HYPERLINK("http://g1.globo.com/sc/santa-catarina/noticia/2015/10/corpo-de-haitiano-e-liberado-quatro-dias-apos-assassinato-em-sc.html", "URL")</f>
        <v/>
      </c>
      <c r="Q2805">
        <f>HYPERLINK("https://raw.githubusercontent.com/marcosmapl/dataset_imigrantes/main/materias_filtered/g1/haitianos/2015/09_out/html/g1_089d5662-2317-11ed-b24f-6dbe51e79fca_3184.html", "HTML")</f>
        <v/>
      </c>
      <c r="R2805">
        <f>HYPERLINK("https://raw.githubusercontent.com/marcosmapl/dataset_imigrantes/main/materias_filtered/g1/haitianos/2015/09_out/txt/g1_089d5662-2317-11ed-b24f-6dbe51e79fca_3184.txt", "TXT")</f>
        <v/>
      </c>
    </row>
    <row r="2806">
      <c r="A2806" s="1" t="n">
        <v>2804</v>
      </c>
      <c r="B2806" t="n">
        <v>2015</v>
      </c>
      <c r="C2806" s="2" t="n">
        <v>42297.89791666667</v>
      </c>
      <c r="D2806" t="inlineStr">
        <is>
          <t>G1</t>
        </is>
      </c>
      <c r="E2806" t="inlineStr">
        <is>
          <t>VENEZUELANOS</t>
        </is>
      </c>
      <c r="F2806" t="inlineStr"/>
      <c r="G2806" t="inlineStr"/>
      <c r="H2806" t="inlineStr">
        <is>
          <t>TSE DESISTE DE MANDAR REPRESENTANTE PARA ACOMPANHAR ELEIÇÃO VENEZUELANA</t>
        </is>
      </c>
      <c r="I2806" t="inlineStr"/>
      <c r="J2806" t="inlineStr">
        <is>
          <t>TRIBUNAL SUPERIOR ELEITORAL, VENEZUELA</t>
        </is>
      </c>
      <c r="K2806" t="n">
        <v>2</v>
      </c>
      <c r="L2806" t="n">
        <v>4</v>
      </c>
      <c r="M2806" t="n">
        <v>0</v>
      </c>
      <c r="N2806" t="n">
        <v>0</v>
      </c>
      <c r="O2806" t="n">
        <v>10</v>
      </c>
      <c r="P2806">
        <f>HYPERLINK("http://g1.globo.com/jornal-nacional/noticia/2015/10/tse-desiste-de-mandar-representante-para-acompanhar-eleicao-venezuelana.html", "URL")</f>
        <v/>
      </c>
      <c r="Q2806">
        <f>HYPERLINK("https://raw.githubusercontent.com/marcosmapl/dataset_imigrantes/main/materias_filtered/g1/venezuelanos/2015/09_out/html/g1_0792967a-232a-11ed-b24f-6dbe51e79fca_4153.html", "HTML")</f>
        <v/>
      </c>
      <c r="R2806">
        <f>HYPERLINK("https://raw.githubusercontent.com/marcosmapl/dataset_imigrantes/main/materias_filtered/g1/venezuelanos/2015/09_out/txt/g1_0792967a-232a-11ed-b24f-6dbe51e79fca_4153.txt", "TXT")</f>
        <v/>
      </c>
    </row>
    <row r="2807">
      <c r="A2807" s="1" t="n">
        <v>2805</v>
      </c>
      <c r="B2807" t="n">
        <v>2015</v>
      </c>
      <c r="C2807" s="2" t="n">
        <v>42297.85138888889</v>
      </c>
      <c r="D2807" t="inlineStr">
        <is>
          <t>G1</t>
        </is>
      </c>
      <c r="E2807" t="inlineStr">
        <is>
          <t>HAITIANOS</t>
        </is>
      </c>
      <c r="F2807" t="inlineStr"/>
      <c r="G2807" t="inlineStr">
        <is>
          <t>1 SC</t>
        </is>
      </c>
      <c r="H2807" t="inlineStr">
        <is>
          <t>'DIZIAM: VOLTEM PARA A TERRA DE VOCÊS', CONTA MULHER DE HAITIANO MORTO EM SC</t>
        </is>
      </c>
      <c r="I2807" t="inlineStr"/>
      <c r="J2807" t="inlineStr">
        <is>
          <t>NAVEGANTES</t>
        </is>
      </c>
      <c r="K2807" t="n">
        <v>1</v>
      </c>
      <c r="L2807" t="n">
        <v>5</v>
      </c>
      <c r="M2807" t="n">
        <v>0</v>
      </c>
      <c r="N2807" t="n">
        <v>0</v>
      </c>
      <c r="O2807" t="n">
        <v>11</v>
      </c>
      <c r="P2807">
        <f>HYPERLINK("http://g1.globo.com/sc/santa-catarina/noticia/2015/10/diziam-voltem-para-terra-de-voces-conta-mulher-de-haitiano-morto-em-sc.html", "URL")</f>
        <v/>
      </c>
      <c r="Q2807">
        <f>HYPERLINK("https://raw.githubusercontent.com/marcosmapl/dataset_imigrantes/main/materias_filtered/g1/haitianos/2015/09_out/html/g1_524600b8-2329-11ed-b24f-6dbe51e79fca_4109.html", "HTML")</f>
        <v/>
      </c>
      <c r="R2807">
        <f>HYPERLINK("https://raw.githubusercontent.com/marcosmapl/dataset_imigrantes/main/materias_filtered/g1/haitianos/2015/09_out/txt/g1_524600b8-2329-11ed-b24f-6dbe51e79fca_4109.txt", "TXT")</f>
        <v/>
      </c>
    </row>
    <row r="2808">
      <c r="A2808" s="1" t="n">
        <v>2806</v>
      </c>
      <c r="B2808" t="n">
        <v>2015</v>
      </c>
      <c r="C2808" s="2" t="n">
        <v>42297.72083333333</v>
      </c>
      <c r="D2808" t="inlineStr">
        <is>
          <t>G1</t>
        </is>
      </c>
      <c r="E2808" t="inlineStr">
        <is>
          <t>HAITIANOS</t>
        </is>
      </c>
      <c r="F2808" t="inlineStr"/>
      <c r="G2808" t="inlineStr">
        <is>
          <t>1 SC</t>
        </is>
      </c>
      <c r="H2808" t="inlineStr">
        <is>
          <t>CORPO DE HAITIANO MORTO NO LITORAL DE SC AGUARDA LIBERAÇÃO APÓS TRÊS DIAS</t>
        </is>
      </c>
      <c r="I2808" t="inlineStr"/>
      <c r="J2808" t="inlineStr">
        <is>
          <t>NAVEGANTES</t>
        </is>
      </c>
      <c r="K2808" t="n">
        <v>1</v>
      </c>
      <c r="L2808" t="n">
        <v>4</v>
      </c>
      <c r="M2808" t="n">
        <v>0</v>
      </c>
      <c r="N2808" t="n">
        <v>0</v>
      </c>
      <c r="O2808" t="n">
        <v>10</v>
      </c>
      <c r="P2808">
        <f>HYPERLINK("http://g1.globo.com/sc/santa-catarina/noticia/2015/10/apos-3-dias-corpo-de-haitiano-morto-em-navegantes-aguarda-liberacao.html", "URL")</f>
        <v/>
      </c>
      <c r="Q2808">
        <f>HYPERLINK("https://raw.githubusercontent.com/marcosmapl/dataset_imigrantes/main/materias_filtered/g1/haitianos/2015/09_out/html/g1_99402984-2325-11ed-b24f-6dbe51e79fca_3923.html", "HTML")</f>
        <v/>
      </c>
      <c r="R2808">
        <f>HYPERLINK("https://raw.githubusercontent.com/marcosmapl/dataset_imigrantes/main/materias_filtered/g1/haitianos/2015/09_out/txt/g1_99402984-2325-11ed-b24f-6dbe51e79fca_3923.txt", "TXT")</f>
        <v/>
      </c>
    </row>
    <row r="2809">
      <c r="A2809" s="1" t="n">
        <v>2807</v>
      </c>
      <c r="B2809" t="n">
        <v>2015</v>
      </c>
      <c r="C2809" s="2" t="n">
        <v>42296.63819444444</v>
      </c>
      <c r="D2809" t="inlineStr">
        <is>
          <t>G1</t>
        </is>
      </c>
      <c r="E2809" t="inlineStr">
        <is>
          <t>HAITIANOS</t>
        </is>
      </c>
      <c r="F2809" t="inlineStr"/>
      <c r="G2809" t="inlineStr">
        <is>
          <t>1 SC</t>
        </is>
      </c>
      <c r="H2809" t="inlineStr">
        <is>
          <t>HAITIANO MORRE APÓS SER ESFAQUEADO EM NAVEGANTES, LITORAL DE SC</t>
        </is>
      </c>
      <c r="I2809" t="inlineStr"/>
      <c r="J2809" t="inlineStr">
        <is>
          <t>NAVEGANTES</t>
        </is>
      </c>
      <c r="K2809" t="n">
        <v>1</v>
      </c>
      <c r="L2809" t="n">
        <v>3</v>
      </c>
      <c r="M2809" t="n">
        <v>0</v>
      </c>
      <c r="N2809" t="n">
        <v>0</v>
      </c>
      <c r="O2809" t="n">
        <v>12</v>
      </c>
      <c r="P2809">
        <f>HYPERLINK("http://g1.globo.com/sc/santa-catarina/noticia/2015/10/haitiano-morre-apos-ser-esfaqueado-em-navegantes-litoral-de-sc.html", "URL")</f>
        <v/>
      </c>
      <c r="Q2809">
        <f>HYPERLINK("https://raw.githubusercontent.com/marcosmapl/dataset_imigrantes/main/materias_filtered/g1/haitianos/2015/09_out/html/g1_7b97e856-231e-11ed-b24f-6dbe51e79fca_3564.html", "HTML")</f>
        <v/>
      </c>
      <c r="R2809">
        <f>HYPERLINK("https://raw.githubusercontent.com/marcosmapl/dataset_imigrantes/main/materias_filtered/g1/haitianos/2015/09_out/txt/g1_7b97e856-231e-11ed-b24f-6dbe51e79fca_3564.txt", "TXT")</f>
        <v/>
      </c>
    </row>
    <row r="2810">
      <c r="A2810" s="1" t="n">
        <v>2808</v>
      </c>
      <c r="B2810" t="n">
        <v>2015</v>
      </c>
      <c r="C2810" s="2" t="n">
        <v>42294.52013888889</v>
      </c>
      <c r="D2810" t="inlineStr">
        <is>
          <t>G1</t>
        </is>
      </c>
      <c r="E2810" t="inlineStr">
        <is>
          <t>HAITIANOS</t>
        </is>
      </c>
      <c r="F2810" t="inlineStr"/>
      <c r="G2810" t="inlineStr">
        <is>
          <t>EUTERS</t>
        </is>
      </c>
      <c r="H2810" t="inlineStr">
        <is>
          <t>PINTURA DE BASQUIAT FOI LEVADA PELO DONO, E NÃO ROUBADA, DIZ POLÍCIA</t>
        </is>
      </c>
      <c r="I2810" t="inlineStr"/>
      <c r="J2810" t="inlineStr"/>
      <c r="K2810" t="n">
        <v>0</v>
      </c>
      <c r="L2810" t="n">
        <v>4</v>
      </c>
      <c r="M2810" t="n">
        <v>0</v>
      </c>
      <c r="N2810" t="n">
        <v>0</v>
      </c>
      <c r="O2810" t="n">
        <v>9</v>
      </c>
      <c r="P2810">
        <f>HYPERLINK("http://g1.globo.com/mundo/noticia/2015/10/pintura-de-basquiat-foi-levada-pelo-dono-e-nao-roubada-diz-policia.html", "URL")</f>
        <v/>
      </c>
      <c r="Q2810">
        <f>HYPERLINK("https://raw.githubusercontent.com/marcosmapl/dataset_imigrantes/main/materias_filtered/g1/haitianos/2015/09_out/html/g1_d9da24d0-232b-11ed-b24f-6dbe51e79fca_4275.html", "HTML")</f>
        <v/>
      </c>
      <c r="R2810">
        <f>HYPERLINK("https://raw.githubusercontent.com/marcosmapl/dataset_imigrantes/main/materias_filtered/g1/haitianos/2015/09_out/txt/g1_d9da24d0-232b-11ed-b24f-6dbe51e79fca_4275.txt", "TXT")</f>
        <v/>
      </c>
    </row>
    <row r="2811">
      <c r="A2811" s="1" t="n">
        <v>2809</v>
      </c>
      <c r="B2811" t="n">
        <v>2015</v>
      </c>
      <c r="C2811" s="2" t="n">
        <v>42294.40347222222</v>
      </c>
      <c r="D2811" t="inlineStr">
        <is>
          <t>G1</t>
        </is>
      </c>
      <c r="E2811" t="inlineStr">
        <is>
          <t>HAITIANOS</t>
        </is>
      </c>
      <c r="F2811" t="inlineStr"/>
      <c r="G2811" t="inlineStr">
        <is>
          <t>EUTERS</t>
        </is>
      </c>
      <c r="H2811" t="inlineStr">
        <is>
          <t>PINTURA DE JEAN-MICHEL BASQUIAT É ROUBADA DE APARTAMENTO EM PARIS</t>
        </is>
      </c>
      <c r="I2811" t="inlineStr"/>
      <c r="J2811" t="inlineStr"/>
      <c r="K2811" t="n">
        <v>0</v>
      </c>
      <c r="L2811" t="n">
        <v>5</v>
      </c>
      <c r="M2811" t="n">
        <v>0</v>
      </c>
      <c r="N2811" t="n">
        <v>0</v>
      </c>
      <c r="O2811" t="n">
        <v>8</v>
      </c>
      <c r="P2811">
        <f>HYPERLINK("http://g1.globo.com/mundo/noticia/2015/10/pintura-de-jean-michel-basquiat-e-roubada-de-apartamento-em-paris.html", "URL")</f>
        <v/>
      </c>
      <c r="Q2811">
        <f>HYPERLINK("https://raw.githubusercontent.com/marcosmapl/dataset_imigrantes/main/materias_filtered/g1/haitianos/2015/09_out/html/g1_655e1028-231f-11ed-b24f-6dbe51e79fca_3619.html", "HTML")</f>
        <v/>
      </c>
      <c r="R2811">
        <f>HYPERLINK("https://raw.githubusercontent.com/marcosmapl/dataset_imigrantes/main/materias_filtered/g1/haitianos/2015/09_out/txt/g1_655e1028-231f-11ed-b24f-6dbe51e79fca_3619.txt", "TXT")</f>
        <v/>
      </c>
    </row>
    <row r="2812">
      <c r="A2812" s="1" t="n">
        <v>2810</v>
      </c>
      <c r="B2812" t="n">
        <v>2015</v>
      </c>
      <c r="C2812" s="2" t="n">
        <v>42293.90277777778</v>
      </c>
      <c r="D2812" t="inlineStr">
        <is>
          <t>G1</t>
        </is>
      </c>
      <c r="E2812" t="inlineStr">
        <is>
          <t>HAITIANOS</t>
        </is>
      </c>
      <c r="F2812" t="inlineStr"/>
      <c r="G2812" t="inlineStr"/>
      <c r="H2812" t="inlineStr">
        <is>
          <t>ALTA DO DÓLAR FAZ HAITIANOS QUE VIVEM NO BRASIL PLANEJAREM VOLTA PARA CASA</t>
        </is>
      </c>
      <c r="I2812" t="inlineStr"/>
      <c r="J2812" t="inlineStr">
        <is>
          <t>RIO BRANCO, CAMPO GRANDE, CAXIAS DO SUL</t>
        </is>
      </c>
      <c r="K2812" t="n">
        <v>3</v>
      </c>
      <c r="L2812" t="n">
        <v>2</v>
      </c>
      <c r="M2812" t="n">
        <v>0</v>
      </c>
      <c r="N2812" t="n">
        <v>0</v>
      </c>
      <c r="O2812" t="n">
        <v>11</v>
      </c>
      <c r="P2812">
        <f>HYPERLINK("http://g1.globo.com/jornal-nacional/noticia/2015/10/alta-do-dolar-faz-haitianos-que-vivem-no-brasil-planejarem-volta-para-casa.html", "URL")</f>
        <v/>
      </c>
      <c r="Q2812">
        <f>HYPERLINK("https://raw.githubusercontent.com/marcosmapl/dataset_imigrantes/main/materias_filtered/g1/haitianos/2015/09_out/html/g1_57cdacfc-22f7-11ed-b24f-6dbe51e79fca_2073.html", "HTML")</f>
        <v/>
      </c>
      <c r="R2812">
        <f>HYPERLINK("https://raw.githubusercontent.com/marcosmapl/dataset_imigrantes/main/materias_filtered/g1/haitianos/2015/09_out/txt/g1_57cdacfc-22f7-11ed-b24f-6dbe51e79fca_2073.txt", "TXT")</f>
        <v/>
      </c>
    </row>
    <row r="2813">
      <c r="A2813" s="1" t="n">
        <v>2811</v>
      </c>
      <c r="B2813" t="n">
        <v>2015</v>
      </c>
      <c r="C2813" s="2" t="n">
        <v>42293.47152777778</v>
      </c>
      <c r="D2813" t="inlineStr">
        <is>
          <t>G1</t>
        </is>
      </c>
      <c r="E2813" t="inlineStr">
        <is>
          <t>HAITIANOS</t>
        </is>
      </c>
      <c r="F2813" t="inlineStr"/>
      <c r="G2813" t="inlineStr">
        <is>
          <t>EN GONÇALVESDO G1 AM</t>
        </is>
      </c>
      <c r="H2813" t="inlineStr">
        <is>
          <t>NO AM, HAITIANOS E IGREJA CRIAM FÁBRICA DE PICOLÉS E PLANEJAM AMPLIAR NEGÓCIO</t>
        </is>
      </c>
      <c r="I2813" t="inlineStr"/>
      <c r="J2813" t="inlineStr">
        <is>
          <t>MANAUS, AMAZONAS</t>
        </is>
      </c>
      <c r="K2813" t="n">
        <v>2</v>
      </c>
      <c r="L2813" t="n">
        <v>7</v>
      </c>
      <c r="M2813" t="n">
        <v>0</v>
      </c>
      <c r="N2813" t="n">
        <v>0</v>
      </c>
      <c r="O2813" t="n">
        <v>12</v>
      </c>
      <c r="P2813">
        <f>HYPERLINK("http://g1.globo.com/am/amazonas/noticia/2015/10/no-am-haitianos-e-igreja-criam-fabrica-de-picoles-e-planejam-ampliar-negocio.html", "URL")</f>
        <v/>
      </c>
      <c r="Q2813">
        <f>HYPERLINK("https://raw.githubusercontent.com/marcosmapl/dataset_imigrantes/main/materias_filtered/g1/haitianos/2015/09_out/html/g1_4f3939d4-22f3-11ed-b24f-6dbe51e79fca_1835.html", "HTML")</f>
        <v/>
      </c>
      <c r="R2813">
        <f>HYPERLINK("https://raw.githubusercontent.com/marcosmapl/dataset_imigrantes/main/materias_filtered/g1/haitianos/2015/09_out/txt/g1_4f3939d4-22f3-11ed-b24f-6dbe51e79fca_1835.txt", "TXT")</f>
        <v/>
      </c>
    </row>
    <row r="2814">
      <c r="A2814" s="1" t="n">
        <v>2812</v>
      </c>
      <c r="B2814" t="n">
        <v>2015</v>
      </c>
      <c r="C2814" s="2" t="n">
        <v>42290.10581018519</v>
      </c>
      <c r="D2814" t="inlineStr">
        <is>
          <t>A CRITICA</t>
        </is>
      </c>
      <c r="E2814" t="inlineStr">
        <is>
          <t>HAITIANOS</t>
        </is>
      </c>
      <c r="F2814" t="inlineStr">
        <is>
          <t>ESPORTES</t>
        </is>
      </c>
      <c r="G2814" t="inlineStr">
        <is>
          <t>ACRÍTICA.COM</t>
        </is>
      </c>
      <c r="H2814" t="inlineStr">
        <is>
          <t>BRASIL VENCE HAITI POR 5 A 1 EM AMISTOSO NA ARENA DA AMAZÔNIA</t>
        </is>
      </c>
      <c r="I2814" t="inlineStr">
        <is>
          <t>BRASIL SUB-23 FEZ O ÚLTIMO AMISTOSO EM MANAUS CONTRA A SELEÇÃO DO HAITI. EQUIPE VAI LUTAR PELO OURO INÉDITO NOS JOGOS OLÍMPICOS DO RIO DE JANEIRO</t>
        </is>
      </c>
      <c r="J2814" t="inlineStr"/>
      <c r="K2814" t="n">
        <v>0</v>
      </c>
      <c r="L2814" t="n">
        <v>1</v>
      </c>
      <c r="M2814" t="n">
        <v>0</v>
      </c>
      <c r="N2814" t="n">
        <v>0</v>
      </c>
      <c r="O2814" t="n">
        <v>2</v>
      </c>
      <c r="P2814">
        <f>HYPERLINK("https://www.acritica.com/esportes/brasil-vence-haiti-por-5-a-1-em-amistoso-na-arena-da-amazonia-1.245546", "URL")</f>
        <v/>
      </c>
      <c r="Q2814">
        <f>HYPERLINK("https://raw.githubusercontent.com/marcosmapl/dataset_imigrantes/main/materias_filtered/a_critica/haitianos/2015/09_out/html/1.245546_1313.html", "HTML")</f>
        <v/>
      </c>
      <c r="R2814">
        <f>HYPERLINK("https://raw.githubusercontent.com/marcosmapl/dataset_imigrantes/main/materias_filtered/a_critica/haitianos/2015/09_out/txt/1.245546_1313.txt", "TXT")</f>
        <v/>
      </c>
    </row>
    <row r="2815">
      <c r="A2815" s="1" t="n">
        <v>2813</v>
      </c>
      <c r="B2815" t="n">
        <v>2015</v>
      </c>
      <c r="C2815" s="2" t="n">
        <v>42290.09518518519</v>
      </c>
      <c r="D2815" t="inlineStr">
        <is>
          <t>A CRITICA</t>
        </is>
      </c>
      <c r="E2815" t="inlineStr">
        <is>
          <t>HAITIANOS</t>
        </is>
      </c>
      <c r="F2815" t="inlineStr">
        <is>
          <t>ESPORTES</t>
        </is>
      </c>
      <c r="G2815" t="inlineStr">
        <is>
          <t>ACRÍTICA.COM</t>
        </is>
      </c>
      <c r="H2815" t="inlineStr">
        <is>
          <t>HAITIANOS CONTAGIAM TORCIDA BRASILEIRA E FAZEM 'CARNAVAL CARIBENHO' EM JOGO NA ARENA DA AMAZÔNIA</t>
        </is>
      </c>
      <c r="I2815" t="inlineStr">
        <is>
          <t>DEZENAS DE HAITIANOS FORAM A PÉ DO BAIRRO SÃO GERALDO ATÉ O ESTÁDIO, COM DIREITO A CARRO DE SOM, CANTORIA E DANÇA NUM VERDADEIRO CARNAVAL CARIBENHO EM PLENA COSTANTINO NERY</t>
        </is>
      </c>
      <c r="J2815" t="inlineStr"/>
      <c r="K2815" t="n">
        <v>0</v>
      </c>
      <c r="L2815" t="n">
        <v>1</v>
      </c>
      <c r="M2815" t="n">
        <v>0</v>
      </c>
      <c r="N2815" t="n">
        <v>0</v>
      </c>
      <c r="O2815" t="n">
        <v>1</v>
      </c>
      <c r="P2815">
        <f>HYPERLINK("https://www.acritica.com/esportes/haitianos-contagiam-torcida-brasileira-e-fazem-carnaval-caribenho-em-jogo-na-arena-da-amazonia-1.245544", "URL")</f>
        <v/>
      </c>
      <c r="Q2815">
        <f>HYPERLINK("https://raw.githubusercontent.com/marcosmapl/dataset_imigrantes/main/materias_filtered/a_critica/haitianos/2015/09_out/html/1.245544_925.html", "HTML")</f>
        <v/>
      </c>
      <c r="R2815">
        <f>HYPERLINK("https://raw.githubusercontent.com/marcosmapl/dataset_imigrantes/main/materias_filtered/a_critica/haitianos/2015/09_out/txt/1.245544_925.txt", "TXT")</f>
        <v/>
      </c>
    </row>
    <row r="2816">
      <c r="A2816" s="1" t="n">
        <v>2814</v>
      </c>
      <c r="B2816" t="n">
        <v>2015</v>
      </c>
      <c r="C2816" s="2" t="n">
        <v>42285.71666666667</v>
      </c>
      <c r="D2816" t="inlineStr">
        <is>
          <t>G1</t>
        </is>
      </c>
      <c r="E2816" t="inlineStr">
        <is>
          <t>HAITIANOS</t>
        </is>
      </c>
      <c r="F2816" t="inlineStr"/>
      <c r="G2816" t="inlineStr">
        <is>
          <t>EL FAVERODO G1 RS</t>
        </is>
      </c>
      <c r="H2816" t="inlineStr">
        <is>
          <t>APÓS DECEPAR DEDO DE POLICIAL, HAITIANO É BALEADO E MORRE NO RS</t>
        </is>
      </c>
      <c r="I2816" t="inlineStr"/>
      <c r="J2816" t="inlineStr">
        <is>
          <t>FLORES DA CUNHA</t>
        </is>
      </c>
      <c r="K2816" t="n">
        <v>1</v>
      </c>
      <c r="L2816" t="n">
        <v>3</v>
      </c>
      <c r="M2816" t="n">
        <v>0</v>
      </c>
      <c r="N2816" t="n">
        <v>0</v>
      </c>
      <c r="O2816" t="n">
        <v>17</v>
      </c>
      <c r="P2816">
        <f>HYPERLINK("http://g1.globo.com/rs/rio-grande-do-sul/noticia/2015/10/apos-decepar-dedo-de-policial-haitiano-e-baleado-e-morre-no-rs.html", "URL")</f>
        <v/>
      </c>
      <c r="Q2816">
        <f>HYPERLINK("https://raw.githubusercontent.com/marcosmapl/dataset_imigrantes/main/materias_filtered/g1/haitianos/2015/09_out/html/g1_77051006-231f-11ed-b24f-6dbe51e79fca_3624.html", "HTML")</f>
        <v/>
      </c>
      <c r="R2816">
        <f>HYPERLINK("https://raw.githubusercontent.com/marcosmapl/dataset_imigrantes/main/materias_filtered/g1/haitianos/2015/09_out/txt/g1_77051006-231f-11ed-b24f-6dbe51e79fca_3624.txt", "TXT")</f>
        <v/>
      </c>
    </row>
    <row r="2817">
      <c r="A2817" s="1" t="n">
        <v>2815</v>
      </c>
      <c r="B2817" t="n">
        <v>2015</v>
      </c>
      <c r="C2817" s="2" t="n">
        <v>42284.29166666666</v>
      </c>
      <c r="D2817" t="inlineStr">
        <is>
          <t>G1</t>
        </is>
      </c>
      <c r="E2817" t="inlineStr">
        <is>
          <t>HAITIANOS</t>
        </is>
      </c>
      <c r="F2817" t="inlineStr"/>
      <c r="G2817" t="inlineStr">
        <is>
          <t>S PIMENTELDO G1 MG</t>
        </is>
      </c>
      <c r="H2817" t="inlineStr">
        <is>
          <t>HAITIANOS SE PREPARAM PARA O ENEM EM BUSCA DE NOVA PROFISSÃO EM BH</t>
        </is>
      </c>
      <c r="I2817" t="inlineStr"/>
      <c r="J2817" t="inlineStr">
        <is>
          <t>ENEM, BELO HORIZONTE, CONTAGEM, ESMERALDAS</t>
        </is>
      </c>
      <c r="K2817" t="n">
        <v>4</v>
      </c>
      <c r="L2817" t="n">
        <v>7</v>
      </c>
      <c r="M2817" t="n">
        <v>0</v>
      </c>
      <c r="N2817" t="n">
        <v>0</v>
      </c>
      <c r="O2817" t="n">
        <v>29</v>
      </c>
      <c r="P2817">
        <f>HYPERLINK("http://g1.globo.com/minas-gerais/noticia/2015/10/haitianos-se-preparam-para-o-enem-em-busca-de-nova-profissao-em-bh.html", "URL")</f>
        <v/>
      </c>
      <c r="Q2817">
        <f>HYPERLINK("https://raw.githubusercontent.com/marcosmapl/dataset_imigrantes/main/materias_filtered/g1/haitianos/2015/09_out/html/g1_806f27ce-22f4-11ed-b24f-6dbe51e79fca_1894.html", "HTML")</f>
        <v/>
      </c>
      <c r="R2817">
        <f>HYPERLINK("https://raw.githubusercontent.com/marcosmapl/dataset_imigrantes/main/materias_filtered/g1/haitianos/2015/09_out/txt/g1_806f27ce-22f4-11ed-b24f-6dbe51e79fca_1894.txt", "TXT")</f>
        <v/>
      </c>
    </row>
    <row r="2818">
      <c r="A2818" s="1" t="n">
        <v>2816</v>
      </c>
      <c r="B2818" t="n">
        <v>2015</v>
      </c>
      <c r="C2818" s="2" t="n">
        <v>42279.91414351852</v>
      </c>
      <c r="D2818" t="inlineStr">
        <is>
          <t>A CRITICA</t>
        </is>
      </c>
      <c r="E2818" t="inlineStr">
        <is>
          <t>HAITIANOS</t>
        </is>
      </c>
      <c r="F2818" t="inlineStr">
        <is>
          <t>ESPORTES</t>
        </is>
      </c>
      <c r="G2818" t="inlineStr">
        <is>
          <t>ANDERSON SILVA</t>
        </is>
      </c>
      <c r="H2818" t="inlineStr">
        <is>
          <t>PRIMEIRO DIA DA VENDA DE INGRESSOS PARA OS JOGOS DA SELEÇÃO FOI CONSIDERADA 'TÍMIDA'</t>
        </is>
      </c>
      <c r="I2818" t="inlineStr">
        <is>
          <t>INÍCIO DA VENDA DAS ENTRADAS PARA OS AMISTOSOS DA SELEÇÃO OLÍMPICA CONTRA A REPÚBLICA DOMINICANA E HAITI TEVE POUCA PROCURA</t>
        </is>
      </c>
      <c r="J2818" t="inlineStr"/>
      <c r="K2818" t="n">
        <v>0</v>
      </c>
      <c r="L2818" t="n">
        <v>1</v>
      </c>
      <c r="M2818" t="n">
        <v>0</v>
      </c>
      <c r="N2818" t="n">
        <v>0</v>
      </c>
      <c r="O2818" t="n">
        <v>1</v>
      </c>
      <c r="P2818">
        <f>HYPERLINK("https://www.acritica.com/esportes/primeiro-dia-da-venda-de-ingressos-para-os-jogos-da-selec-o-foi-considerada-timida-1.245617", "URL")</f>
        <v/>
      </c>
      <c r="Q2818">
        <f>HYPERLINK("https://raw.githubusercontent.com/marcosmapl/dataset_imigrantes/main/materias_filtered/a_critica/haitianos/2015/09_out/html/1.245617_270.html", "HTML")</f>
        <v/>
      </c>
      <c r="R2818">
        <f>HYPERLINK("https://raw.githubusercontent.com/marcosmapl/dataset_imigrantes/main/materias_filtered/a_critica/haitianos/2015/09_out/txt/1.245617_270.txt", "TXT")</f>
        <v/>
      </c>
    </row>
    <row r="2819">
      <c r="A2819" s="1" t="n">
        <v>2817</v>
      </c>
      <c r="B2819" t="n">
        <v>2015</v>
      </c>
      <c r="C2819" s="2" t="n">
        <v>42279.29513888889</v>
      </c>
      <c r="D2819" t="inlineStr">
        <is>
          <t>G1</t>
        </is>
      </c>
      <c r="E2819" t="inlineStr">
        <is>
          <t>HAITIANOS</t>
        </is>
      </c>
      <c r="F2819" t="inlineStr"/>
      <c r="G2819" t="inlineStr">
        <is>
          <t xml:space="preserve"> GOMES SILVEIRADO G1 ITAPETININGA E REGIÃO</t>
        </is>
      </c>
      <c r="H2819" t="inlineStr">
        <is>
          <t>CRISE AFETA FAMÍLIAS HAITIANAS DE IMIGRANTES NO BRASIL: 'REAL ESTÁ FRACO'</t>
        </is>
      </c>
      <c r="I2819" t="inlineStr"/>
      <c r="J2819" t="inlineStr">
        <is>
          <t>ASSIS BRASIL, BRASILÉIA, ACRE, PANAMÁ, REPÚBLICA DOMINICANA, EQUADOR, ITAPETININGA, SÃO PAULO</t>
        </is>
      </c>
      <c r="K2819" t="n">
        <v>8</v>
      </c>
      <c r="L2819" t="n">
        <v>9</v>
      </c>
      <c r="M2819" t="n">
        <v>0</v>
      </c>
      <c r="N2819" t="n">
        <v>0</v>
      </c>
      <c r="O2819" t="n">
        <v>23</v>
      </c>
      <c r="P2819">
        <f>HYPERLINK("http://g1.globo.com/sao-paulo/itapetininga-regiao/noticia/2015/10/crise-afeta-familias-haitianas-de-imigrantes-no-brasil-real-esta-fraco.html", "URL")</f>
        <v/>
      </c>
      <c r="Q2819">
        <f>HYPERLINK("https://raw.githubusercontent.com/marcosmapl/dataset_imigrantes/main/materias_filtered/g1/haitianos/2015/09_out/html/g1_358e547a-2315-11ed-b24f-6dbe51e79fca_3073.html", "HTML")</f>
        <v/>
      </c>
      <c r="R2819">
        <f>HYPERLINK("https://raw.githubusercontent.com/marcosmapl/dataset_imigrantes/main/materias_filtered/g1/haitianos/2015/09_out/txt/g1_358e547a-2315-11ed-b24f-6dbe51e79fca_3073.txt", "TXT")</f>
        <v/>
      </c>
    </row>
    <row r="2820">
      <c r="A2820" s="1" t="n">
        <v>2818</v>
      </c>
      <c r="B2820" t="n">
        <v>2015</v>
      </c>
      <c r="C2820" s="2" t="n">
        <v>42273.71670138889</v>
      </c>
      <c r="D2820" t="inlineStr">
        <is>
          <t>A CRITICA</t>
        </is>
      </c>
      <c r="E2820" t="inlineStr">
        <is>
          <t>HAITIANOS</t>
        </is>
      </c>
      <c r="F2820" t="inlineStr"/>
      <c r="G2820" t="inlineStr">
        <is>
          <t>ACRÍTICA.COM</t>
        </is>
      </c>
      <c r="H2820" t="inlineStr">
        <is>
          <t>INCÊNDIO DESTRÓI CASA ALUGADA POR HAITIANOS, EM MANAUS</t>
        </is>
      </c>
      <c r="I2820" t="inlineStr">
        <is>
          <t>RESIDÊNCIA NA AV. CONSTANTINO NERY, BAIRRO SÃO GERALDO, ABRIGAVA SEIS HAITIANOS E TEVE QUEIMA TOTAL DO 1º PISO. DUAS MULHERES PASSARAM MAL E FORAM LEVADAS AO HOSPITAL</t>
        </is>
      </c>
      <c r="J2820" t="inlineStr"/>
      <c r="K2820" t="n">
        <v>0</v>
      </c>
      <c r="L2820" t="n">
        <v>1</v>
      </c>
      <c r="M2820" t="n">
        <v>0</v>
      </c>
      <c r="N2820" t="n">
        <v>0</v>
      </c>
      <c r="O2820" t="n">
        <v>1</v>
      </c>
      <c r="P2820">
        <f>HYPERLINK("https://www.acritica.com/incendio-destroi-casa-alugada-por-haitianos-em-manaus-1.246210", "URL")</f>
        <v/>
      </c>
      <c r="Q2820">
        <f>HYPERLINK("https://raw.githubusercontent.com/marcosmapl/dataset_imigrantes/main/materias_filtered/a_critica/haitianos/2015/08_set/html/1.246210_1328.html", "HTML")</f>
        <v/>
      </c>
      <c r="R2820">
        <f>HYPERLINK("https://raw.githubusercontent.com/marcosmapl/dataset_imigrantes/main/materias_filtered/a_critica/haitianos/2015/08_set/txt/1.246210_1328.txt", "TXT")</f>
        <v/>
      </c>
    </row>
    <row r="2821">
      <c r="A2821" s="1" t="n">
        <v>2819</v>
      </c>
      <c r="B2821" t="n">
        <v>2015</v>
      </c>
      <c r="C2821" s="2" t="n">
        <v>42272.42708333334</v>
      </c>
      <c r="D2821" t="inlineStr">
        <is>
          <t>G1</t>
        </is>
      </c>
      <c r="E2821" t="inlineStr">
        <is>
          <t>HAITIANOS</t>
        </is>
      </c>
      <c r="F2821" t="inlineStr"/>
      <c r="G2821" t="inlineStr">
        <is>
          <t>SE SOARESDO G1 MT</t>
        </is>
      </c>
      <c r="H2821" t="inlineStr">
        <is>
          <t>CORPO DE HAITIANO ASSASSINADO SERÁ ENTERRADO EM MT SEM OS FAMILIARES</t>
        </is>
      </c>
      <c r="I2821" t="inlineStr"/>
      <c r="J2821" t="inlineStr"/>
      <c r="K2821" t="n">
        <v>0</v>
      </c>
      <c r="L2821" t="n">
        <v>2</v>
      </c>
      <c r="M2821" t="n">
        <v>0</v>
      </c>
      <c r="N2821" t="n">
        <v>0</v>
      </c>
      <c r="O2821" t="n">
        <v>7</v>
      </c>
      <c r="P2821">
        <f>HYPERLINK("http://g1.globo.com/mato-grosso/noticia/2015/09/corpo-de-haitiano-assassinado-sera-enterrado-em-mt-sem-os-familiares.html", "URL")</f>
        <v/>
      </c>
      <c r="Q2821">
        <f>HYPERLINK("https://raw.githubusercontent.com/marcosmapl/dataset_imigrantes/main/materias_filtered/g1/haitianos/2015/08_set/html/g1_5a19fc02-231c-11ed-b24f-6dbe51e79fca_3442.html", "HTML")</f>
        <v/>
      </c>
      <c r="R2821">
        <f>HYPERLINK("https://raw.githubusercontent.com/marcosmapl/dataset_imigrantes/main/materias_filtered/g1/haitianos/2015/08_set/txt/g1_5a19fc02-231c-11ed-b24f-6dbe51e79fca_3442.txt", "TXT")</f>
        <v/>
      </c>
    </row>
    <row r="2822">
      <c r="A2822" s="1" t="n">
        <v>2820</v>
      </c>
      <c r="B2822" t="n">
        <v>2015</v>
      </c>
      <c r="C2822" s="2" t="n">
        <v>42269.43333333333</v>
      </c>
      <c r="D2822" t="inlineStr">
        <is>
          <t>G1</t>
        </is>
      </c>
      <c r="E2822" t="inlineStr">
        <is>
          <t>HAITIANOS</t>
        </is>
      </c>
      <c r="F2822" t="inlineStr"/>
      <c r="G2822" t="inlineStr">
        <is>
          <t>SE SOARESDO G1 MT</t>
        </is>
      </c>
      <c r="H2822" t="inlineStr">
        <is>
          <t>CASAL É PRESO SUSPEITO DE MATAR HAITIANO PARA ROUBAR CELULAR EM MT</t>
        </is>
      </c>
      <c r="I2822" t="inlineStr"/>
      <c r="J2822" t="inlineStr">
        <is>
          <t>RONDONÓPOLIS</t>
        </is>
      </c>
      <c r="K2822" t="n">
        <v>1</v>
      </c>
      <c r="L2822" t="n">
        <v>4</v>
      </c>
      <c r="M2822" t="n">
        <v>0</v>
      </c>
      <c r="N2822" t="n">
        <v>0</v>
      </c>
      <c r="O2822" t="n">
        <v>11</v>
      </c>
      <c r="P2822">
        <f>HYPERLINK("http://g1.globo.com/mato-grosso/noticia/2015/09/casal-e-preso-suspeito-de-matar-haitiano-para-roubar-celular-em-mt.html", "URL")</f>
        <v/>
      </c>
      <c r="Q2822">
        <f>HYPERLINK("https://raw.githubusercontent.com/marcosmapl/dataset_imigrantes/main/materias_filtered/g1/haitianos/2015/08_set/html/g1_fe5ad1f2-2316-11ed-b24f-6dbe51e79fca_3181.html", "HTML")</f>
        <v/>
      </c>
      <c r="R2822">
        <f>HYPERLINK("https://raw.githubusercontent.com/marcosmapl/dataset_imigrantes/main/materias_filtered/g1/haitianos/2015/08_set/txt/g1_fe5ad1f2-2316-11ed-b24f-6dbe51e79fca_3181.txt", "TXT")</f>
        <v/>
      </c>
    </row>
    <row r="2823">
      <c r="A2823" s="1" t="n">
        <v>2821</v>
      </c>
      <c r="B2823" t="n">
        <v>2015</v>
      </c>
      <c r="C2823" s="2" t="n">
        <v>42269.40555555555</v>
      </c>
      <c r="D2823" t="inlineStr">
        <is>
          <t>G1</t>
        </is>
      </c>
      <c r="E2823" t="inlineStr">
        <is>
          <t>HAITIANOS</t>
        </is>
      </c>
      <c r="F2823" t="inlineStr"/>
      <c r="G2823" t="inlineStr">
        <is>
          <t>1 RS</t>
        </is>
      </c>
      <c r="H2823" t="inlineStr">
        <is>
          <t>SENEGALESES E HAITIANOS CONCLUEM CURSO DE AUXILIAR DE COZINHA NO RS</t>
        </is>
      </c>
      <c r="I2823" t="inlineStr"/>
      <c r="J2823" t="inlineStr">
        <is>
          <t>PORTO ALEGRE</t>
        </is>
      </c>
      <c r="K2823" t="n">
        <v>1</v>
      </c>
      <c r="L2823" t="n">
        <v>4</v>
      </c>
      <c r="M2823" t="n">
        <v>0</v>
      </c>
      <c r="N2823" t="n">
        <v>0</v>
      </c>
      <c r="O2823" t="n">
        <v>12</v>
      </c>
      <c r="P2823">
        <f>HYPERLINK("http://g1.globo.com/rs/rio-grande-do-sul/noticia/2015/09/senegaleses-e-haitianos-concluem-curso-de-auxiliar-de-cozinha-no-rs.html", "URL")</f>
        <v/>
      </c>
      <c r="Q2823">
        <f>HYPERLINK("https://raw.githubusercontent.com/marcosmapl/dataset_imigrantes/main/materias_filtered/g1/haitianos/2015/08_set/html/g1_2b6af6bc-22fa-11ed-b24f-6dbe51e79fca_2203.html", "HTML")</f>
        <v/>
      </c>
      <c r="R2823">
        <f>HYPERLINK("https://raw.githubusercontent.com/marcosmapl/dataset_imigrantes/main/materias_filtered/g1/haitianos/2015/08_set/txt/g1_2b6af6bc-22fa-11ed-b24f-6dbe51e79fca_2203.txt", "TXT")</f>
        <v/>
      </c>
    </row>
    <row r="2824">
      <c r="A2824" s="1" t="n">
        <v>2822</v>
      </c>
      <c r="B2824" t="n">
        <v>2015</v>
      </c>
      <c r="C2824" s="2" t="n">
        <v>42268.76944444444</v>
      </c>
      <c r="D2824" t="inlineStr">
        <is>
          <t>G1</t>
        </is>
      </c>
      <c r="E2824" t="inlineStr">
        <is>
          <t>VENEZUELANOS</t>
        </is>
      </c>
      <c r="F2824" t="inlineStr"/>
      <c r="G2824" t="inlineStr">
        <is>
          <t>FP</t>
        </is>
      </c>
      <c r="H2824" t="inlineStr">
        <is>
          <t>SANTOS E MADURO SE REÚNEM EM QUITO POR CRISE COLOMBO-VENEZUELANA</t>
        </is>
      </c>
      <c r="I2824" t="inlineStr"/>
      <c r="J2824" t="inlineStr">
        <is>
          <t>COLÔMBIA, EQUADOR, JUAN MANUEL SANTOS, NICOLÁS MADURO, ONU, URUGUAI</t>
        </is>
      </c>
      <c r="K2824" t="n">
        <v>6</v>
      </c>
      <c r="L2824" t="n">
        <v>8</v>
      </c>
      <c r="M2824" t="n">
        <v>0</v>
      </c>
      <c r="N2824" t="n">
        <v>0</v>
      </c>
      <c r="O2824" t="n">
        <v>17</v>
      </c>
      <c r="P2824">
        <f>HYPERLINK("http://g1.globo.com/mundo/noticia/2015/09/santos-e-maduro-se-reunem-em-quito-por-crise-colombo-venezuelana.html", "URL")</f>
        <v/>
      </c>
      <c r="Q2824">
        <f>HYPERLINK("https://raw.githubusercontent.com/marcosmapl/dataset_imigrantes/main/materias_filtered/g1/venezuelanos/2015/08_set/html/g1_ffb9da3a-231f-11ed-b24f-6dbe51e79fca_3656.html", "HTML")</f>
        <v/>
      </c>
      <c r="R2824">
        <f>HYPERLINK("https://raw.githubusercontent.com/marcosmapl/dataset_imigrantes/main/materias_filtered/g1/venezuelanos/2015/08_set/txt/g1_ffb9da3a-231f-11ed-b24f-6dbe51e79fca_3656.txt", "TXT")</f>
        <v/>
      </c>
    </row>
    <row r="2825">
      <c r="A2825" s="1" t="n">
        <v>2823</v>
      </c>
      <c r="B2825" t="n">
        <v>2015</v>
      </c>
      <c r="C2825" s="2" t="n">
        <v>42266.69861111111</v>
      </c>
      <c r="D2825" t="inlineStr">
        <is>
          <t>G1</t>
        </is>
      </c>
      <c r="E2825" t="inlineStr">
        <is>
          <t>VENEZUELANOS</t>
        </is>
      </c>
      <c r="F2825" t="inlineStr"/>
      <c r="G2825" t="inlineStr">
        <is>
          <t>1 RN</t>
        </is>
      </c>
      <c r="H2825" t="inlineStr">
        <is>
          <t>VENEZUELANAS SÃO PRESAS AO FURTAR FARMÁCIA NA ZONA SUL DE NATAL</t>
        </is>
      </c>
      <c r="I2825" t="inlineStr"/>
      <c r="J2825" t="inlineStr">
        <is>
          <t>NATAL, SÃO PAULO</t>
        </is>
      </c>
      <c r="K2825" t="n">
        <v>2</v>
      </c>
      <c r="L2825" t="n">
        <v>2</v>
      </c>
      <c r="M2825" t="n">
        <v>0</v>
      </c>
      <c r="N2825" t="n">
        <v>0</v>
      </c>
      <c r="O2825" t="n">
        <v>15</v>
      </c>
      <c r="P2825">
        <f>HYPERLINK("http://g1.globo.com/rn/rio-grande-do-norte/noticia/2015/09/venezuelanas-sao-presas-ao-furtar-farmacia-na-zona-sul-de-natal.html", "URL")</f>
        <v/>
      </c>
      <c r="Q2825">
        <f>HYPERLINK("https://raw.githubusercontent.com/marcosmapl/dataset_imigrantes/main/materias_filtered/g1/venezuelanos/2015/08_set/html/g1_2e85adb8-231f-11ed-b24f-6dbe51e79fca_3607.html", "HTML")</f>
        <v/>
      </c>
      <c r="R2825">
        <f>HYPERLINK("https://raw.githubusercontent.com/marcosmapl/dataset_imigrantes/main/materias_filtered/g1/venezuelanos/2015/08_set/txt/g1_2e85adb8-231f-11ed-b24f-6dbe51e79fca_3607.txt", "TXT")</f>
        <v/>
      </c>
    </row>
    <row r="2826">
      <c r="A2826" s="1" t="n">
        <v>2824</v>
      </c>
      <c r="B2826" t="n">
        <v>2015</v>
      </c>
      <c r="C2826" s="2" t="n">
        <v>42266.475</v>
      </c>
      <c r="D2826" t="inlineStr">
        <is>
          <t>G1</t>
        </is>
      </c>
      <c r="E2826" t="inlineStr">
        <is>
          <t>VENEZUELANOS</t>
        </is>
      </c>
      <c r="F2826" t="inlineStr"/>
      <c r="G2826" t="inlineStr">
        <is>
          <t>EUTERS</t>
        </is>
      </c>
      <c r="H2826" t="inlineStr">
        <is>
          <t>GUARDA VENEZUELANA CRUZOU FRONTEIRA DURANTE PERSEGUIÇÃO, DIZ COLÔMBIA</t>
        </is>
      </c>
      <c r="I2826" t="inlineStr"/>
      <c r="J2826" t="inlineStr">
        <is>
          <t>COLÔMBIA, VENEZUELA</t>
        </is>
      </c>
      <c r="K2826" t="n">
        <v>2</v>
      </c>
      <c r="L2826" t="n">
        <v>5</v>
      </c>
      <c r="M2826" t="n">
        <v>0</v>
      </c>
      <c r="N2826" t="n">
        <v>0</v>
      </c>
      <c r="O2826" t="n">
        <v>10</v>
      </c>
      <c r="P2826">
        <f>HYPERLINK("http://g1.globo.com/mundo/noticia/2015/09/guarda-venezuelana-cruzou-fronteira-durante-perseguicao-diz-colombia.html", "URL")</f>
        <v/>
      </c>
      <c r="Q2826">
        <f>HYPERLINK("https://raw.githubusercontent.com/marcosmapl/dataset_imigrantes/main/materias_filtered/g1/venezuelanos/2015/08_set/html/g1_7aad4bdc-2316-11ed-b24f-6dbe51e79fca_3150.html", "HTML")</f>
        <v/>
      </c>
      <c r="R2826">
        <f>HYPERLINK("https://raw.githubusercontent.com/marcosmapl/dataset_imigrantes/main/materias_filtered/g1/venezuelanos/2015/08_set/txt/g1_7aad4bdc-2316-11ed-b24f-6dbe51e79fca_3150.txt", "TXT")</f>
        <v/>
      </c>
    </row>
    <row r="2827">
      <c r="A2827" s="1" t="n">
        <v>2825</v>
      </c>
      <c r="B2827" t="n">
        <v>2015</v>
      </c>
      <c r="C2827" s="2" t="n">
        <v>42265.66875</v>
      </c>
      <c r="D2827" t="inlineStr">
        <is>
          <t>G1</t>
        </is>
      </c>
      <c r="E2827" t="inlineStr">
        <is>
          <t>HAITIANOS</t>
        </is>
      </c>
      <c r="F2827" t="inlineStr"/>
      <c r="G2827" t="inlineStr">
        <is>
          <t>1 SC</t>
        </is>
      </c>
      <c r="H2827" t="inlineStr">
        <is>
          <t>CASAL DE HAITIANOS É PRESO EM SC POR SUSPEITA DE MATAR RECÉM-NASCIDO</t>
        </is>
      </c>
      <c r="I2827" t="inlineStr"/>
      <c r="J2827" t="inlineStr">
        <is>
          <t>BLUMENAU</t>
        </is>
      </c>
      <c r="K2827" t="n">
        <v>1</v>
      </c>
      <c r="L2827" t="n">
        <v>5</v>
      </c>
      <c r="M2827" t="n">
        <v>0</v>
      </c>
      <c r="N2827" t="n">
        <v>0</v>
      </c>
      <c r="O2827" t="n">
        <v>10</v>
      </c>
      <c r="P2827">
        <f>HYPERLINK("http://g1.globo.com/sc/santa-catarina/noticia/2015/09/casal-de-haitianos-e-preso-em-sc-por-suspeita-de-matar-recem-nascido.html", "URL")</f>
        <v/>
      </c>
      <c r="Q2827">
        <f>HYPERLINK("https://raw.githubusercontent.com/marcosmapl/dataset_imigrantes/main/materias_filtered/g1/haitianos/2015/08_set/html/g1_b7f55180-22f6-11ed-b24f-6dbe51e79fca_2032.html", "HTML")</f>
        <v/>
      </c>
      <c r="R2827">
        <f>HYPERLINK("https://raw.githubusercontent.com/marcosmapl/dataset_imigrantes/main/materias_filtered/g1/haitianos/2015/08_set/txt/g1_b7f55180-22f6-11ed-b24f-6dbe51e79fca_2032.txt", "TXT")</f>
        <v/>
      </c>
    </row>
    <row r="2828">
      <c r="A2828" s="1" t="n">
        <v>2826</v>
      </c>
      <c r="B2828" t="n">
        <v>2015</v>
      </c>
      <c r="C2828" s="2" t="n">
        <v>42265.59861111111</v>
      </c>
      <c r="D2828" t="inlineStr">
        <is>
          <t>G1</t>
        </is>
      </c>
      <c r="E2828" t="inlineStr">
        <is>
          <t>HAITIANOS</t>
        </is>
      </c>
      <c r="F2828" t="inlineStr"/>
      <c r="G2828" t="inlineStr">
        <is>
          <t xml:space="preserve"> RODRIGUESDO G1 AC</t>
        </is>
      </c>
      <c r="H2828" t="inlineStr">
        <is>
          <t>PELA 1ª VEZ, Nº DE SENEGALESES É MAIOR QUE DE HAITIANOS EM ABRIGO NO AC</t>
        </is>
      </c>
      <c r="I2828" t="inlineStr"/>
      <c r="J2828" t="inlineStr">
        <is>
          <t>RIO BRANCO</t>
        </is>
      </c>
      <c r="K2828" t="n">
        <v>1</v>
      </c>
      <c r="L2828" t="n">
        <v>4</v>
      </c>
      <c r="M2828" t="n">
        <v>0</v>
      </c>
      <c r="N2828" t="n">
        <v>0</v>
      </c>
      <c r="O2828" t="n">
        <v>13</v>
      </c>
      <c r="P2828">
        <f>HYPERLINK("http://g1.globo.com/ac/acre/noticia/2015/09/pela-1-vez-n-de-senegaleses-e-maior-de-que-de-haitianos-em-abrigo-no-ac.html", "URL")</f>
        <v/>
      </c>
      <c r="Q2828">
        <f>HYPERLINK("https://raw.githubusercontent.com/marcosmapl/dataset_imigrantes/main/materias_filtered/g1/haitianos/2015/08_set/html/g1_2999eb48-22f7-11ed-b24f-6dbe51e79fca_2063.html", "HTML")</f>
        <v/>
      </c>
      <c r="R2828">
        <f>HYPERLINK("https://raw.githubusercontent.com/marcosmapl/dataset_imigrantes/main/materias_filtered/g1/haitianos/2015/08_set/txt/g1_2999eb48-22f7-11ed-b24f-6dbe51e79fca_2063.txt", "TXT")</f>
        <v/>
      </c>
    </row>
    <row r="2829">
      <c r="A2829" s="1" t="n">
        <v>2827</v>
      </c>
      <c r="B2829" t="n">
        <v>2015</v>
      </c>
      <c r="C2829" s="2" t="n">
        <v>42263.64791666667</v>
      </c>
      <c r="D2829" t="inlineStr">
        <is>
          <t>G1</t>
        </is>
      </c>
      <c r="E2829" t="inlineStr">
        <is>
          <t>HAITIANOS</t>
        </is>
      </c>
      <c r="F2829" t="inlineStr"/>
      <c r="G2829" t="inlineStr">
        <is>
          <t>1 SUL DE MINAS</t>
        </is>
      </c>
      <c r="H2829" t="inlineStr">
        <is>
          <t>PASTOR ABRE IGREJA PARA HAITIANOS QUE MORAM E TRABALHAM EM ANDRADAS, MG</t>
        </is>
      </c>
      <c r="I2829" t="inlineStr"/>
      <c r="J2829" t="inlineStr">
        <is>
          <t>ANDRADAS</t>
        </is>
      </c>
      <c r="K2829" t="n">
        <v>1</v>
      </c>
      <c r="L2829" t="n">
        <v>5</v>
      </c>
      <c r="M2829" t="n">
        <v>0</v>
      </c>
      <c r="N2829" t="n">
        <v>0</v>
      </c>
      <c r="O2829" t="n">
        <v>9</v>
      </c>
      <c r="P2829">
        <f>HYPERLINK("http://g1.globo.com/mg/sul-de-minas/noticia/2015/09/pastor-abre-igreja-para-haitianos-que-moram-e-trabalham-em-andradas-mg.html", "URL")</f>
        <v/>
      </c>
      <c r="Q2829">
        <f>HYPERLINK("https://raw.githubusercontent.com/marcosmapl/dataset_imigrantes/main/materias_filtered/g1/haitianos/2015/08_set/html/g1_f08480f2-22f1-11ed-b24f-6dbe51e79fca_1772.html", "HTML")</f>
        <v/>
      </c>
      <c r="R2829">
        <f>HYPERLINK("https://raw.githubusercontent.com/marcosmapl/dataset_imigrantes/main/materias_filtered/g1/haitianos/2015/08_set/txt/g1_f08480f2-22f1-11ed-b24f-6dbe51e79fca_1772.txt", "TXT")</f>
        <v/>
      </c>
    </row>
    <row r="2830">
      <c r="A2830" s="1" t="n">
        <v>2828</v>
      </c>
      <c r="B2830" t="n">
        <v>2015</v>
      </c>
      <c r="C2830" s="2" t="n">
        <v>42261.51041666666</v>
      </c>
      <c r="D2830" t="inlineStr">
        <is>
          <t>G1</t>
        </is>
      </c>
      <c r="E2830" t="inlineStr">
        <is>
          <t>HAITIANOS</t>
        </is>
      </c>
      <c r="F2830" t="inlineStr"/>
      <c r="G2830" t="inlineStr">
        <is>
          <t>YANA ARAÚJODO G1 MT</t>
        </is>
      </c>
      <c r="H2830" t="inlineStr">
        <is>
          <t>HAITIANO É MORTO NA PORTA DE CASA EM MT SUPOSTAMENTE VÍTIMA DE LATROCÍNIO</t>
        </is>
      </c>
      <c r="I2830" t="inlineStr"/>
      <c r="J2830" t="inlineStr">
        <is>
          <t>RONDONÓPOLIS</t>
        </is>
      </c>
      <c r="K2830" t="n">
        <v>1</v>
      </c>
      <c r="L2830" t="n">
        <v>5</v>
      </c>
      <c r="M2830" t="n">
        <v>0</v>
      </c>
      <c r="N2830" t="n">
        <v>0</v>
      </c>
      <c r="O2830" t="n">
        <v>12</v>
      </c>
      <c r="P2830">
        <f>HYPERLINK("http://g1.globo.com/mato-grosso/noticia/2015/09/haitiano-e-morto-na-porta-de-casa-em-mt-supostamente-vitima-de-latrocinio.html", "URL")</f>
        <v/>
      </c>
      <c r="Q2830">
        <f>HYPERLINK("https://raw.githubusercontent.com/marcosmapl/dataset_imigrantes/main/materias_filtered/g1/haitianos/2015/08_set/html/g1_eb048f3e-230d-11ed-b24f-6dbe51e79fca_2712.html", "HTML")</f>
        <v/>
      </c>
      <c r="R2830">
        <f>HYPERLINK("https://raw.githubusercontent.com/marcosmapl/dataset_imigrantes/main/materias_filtered/g1/haitianos/2015/08_set/txt/g1_eb048f3e-230d-11ed-b24f-6dbe51e79fca_2712.txt", "TXT")</f>
        <v/>
      </c>
    </row>
    <row r="2831">
      <c r="A2831" s="1" t="n">
        <v>2829</v>
      </c>
      <c r="B2831" t="n">
        <v>2015</v>
      </c>
      <c r="C2831" s="2" t="n">
        <v>42255.90972222222</v>
      </c>
      <c r="D2831" t="inlineStr">
        <is>
          <t>G1</t>
        </is>
      </c>
      <c r="E2831" t="inlineStr">
        <is>
          <t>HAITIANOS</t>
        </is>
      </c>
      <c r="F2831" t="inlineStr"/>
      <c r="G2831" t="inlineStr">
        <is>
          <t>1 RO</t>
        </is>
      </c>
      <c r="H2831" t="inlineStr">
        <is>
          <t>LITERATURAS HAITIANA E CARIBENHA SÃO TEMAS DE PALESTRAS NA UNIR, NA CAPITAL</t>
        </is>
      </c>
      <c r="I2831" t="inlineStr"/>
      <c r="J2831" t="inlineStr">
        <is>
          <t>RONDÔNIA, PORTO VELHO</t>
        </is>
      </c>
      <c r="K2831" t="n">
        <v>2</v>
      </c>
      <c r="L2831" t="n">
        <v>4</v>
      </c>
      <c r="M2831" t="n">
        <v>0</v>
      </c>
      <c r="N2831" t="n">
        <v>0</v>
      </c>
      <c r="O2831" t="n">
        <v>13</v>
      </c>
      <c r="P2831">
        <f>HYPERLINK("http://g1.globo.com/ro/rondonia/noticia/2015/09/literaturas-haitiana-e-caribenha-sao-temas-de-palestras-na-unir-na-capital.html", "URL")</f>
        <v/>
      </c>
      <c r="Q2831">
        <f>HYPERLINK("https://raw.githubusercontent.com/marcosmapl/dataset_imigrantes/main/materias_filtered/g1/haitianos/2015/08_set/html/g1_06053556-2311-11ed-b24f-6dbe51e79fca_2892.html", "HTML")</f>
        <v/>
      </c>
      <c r="R2831">
        <f>HYPERLINK("https://raw.githubusercontent.com/marcosmapl/dataset_imigrantes/main/materias_filtered/g1/haitianos/2015/08_set/txt/g1_06053556-2311-11ed-b24f-6dbe51e79fca_2892.txt", "TXT")</f>
        <v/>
      </c>
    </row>
    <row r="2832">
      <c r="A2832" s="1" t="n">
        <v>2830</v>
      </c>
      <c r="B2832" t="n">
        <v>2015</v>
      </c>
      <c r="C2832" s="2" t="n">
        <v>42254.575</v>
      </c>
      <c r="D2832" t="inlineStr">
        <is>
          <t>G1</t>
        </is>
      </c>
      <c r="E2832" t="inlineStr">
        <is>
          <t>HAITIANOS</t>
        </is>
      </c>
      <c r="F2832" t="inlineStr"/>
      <c r="G2832" t="inlineStr">
        <is>
          <t xml:space="preserve"> BARBOSACUIABÁ, MT</t>
        </is>
      </c>
      <c r="H2832" t="inlineStr">
        <is>
          <t>HAITIANOS ENFRENTAM DIFICULDADES PARA CONSEGUIR EMPREGO NO BRASIL</t>
        </is>
      </c>
      <c r="I2832" t="inlineStr"/>
      <c r="J2832" t="inlineStr"/>
      <c r="K2832" t="n">
        <v>0</v>
      </c>
      <c r="L2832" t="n">
        <v>0</v>
      </c>
      <c r="M2832" t="n">
        <v>0</v>
      </c>
      <c r="N2832" t="n">
        <v>0</v>
      </c>
      <c r="O2832" t="n">
        <v>5</v>
      </c>
      <c r="P2832">
        <f>HYPERLINK("http://g1.globo.com/jornal-hoje/noticia/2015/09/haitianos-enfrentam-dificuldades-para-conseguir-emprego-no-brasil.html", "URL")</f>
        <v/>
      </c>
      <c r="Q2832">
        <f>HYPERLINK("https://raw.githubusercontent.com/marcosmapl/dataset_imigrantes/main/materias_filtered/g1/haitianos/2015/08_set/html/g1_732d72f0-22f4-11ed-b24f-6dbe51e79fca_1890.html", "HTML")</f>
        <v/>
      </c>
      <c r="R2832">
        <f>HYPERLINK("https://raw.githubusercontent.com/marcosmapl/dataset_imigrantes/main/materias_filtered/g1/haitianos/2015/08_set/txt/g1_732d72f0-22f4-11ed-b24f-6dbe51e79fca_1890.txt", "TXT")</f>
        <v/>
      </c>
    </row>
    <row r="2833">
      <c r="A2833" s="1" t="n">
        <v>2831</v>
      </c>
      <c r="B2833" t="n">
        <v>2015</v>
      </c>
      <c r="C2833" s="2" t="n">
        <v>42254.55555555555</v>
      </c>
      <c r="D2833" t="inlineStr">
        <is>
          <t>G1</t>
        </is>
      </c>
      <c r="E2833" t="inlineStr">
        <is>
          <t>HAITIANOS</t>
        </is>
      </c>
      <c r="F2833" t="inlineStr"/>
      <c r="G2833" t="inlineStr">
        <is>
          <t>1 CAMPINAS E REGIÃO</t>
        </is>
      </c>
      <c r="H2833" t="inlineStr">
        <is>
          <t>PARA DEFINIR POLÍTICA SOCIAL, AMERICANA MAPEIA FLUXO MIGRATÓRIO DE HAITIANOS</t>
        </is>
      </c>
      <c r="I2833" t="inlineStr"/>
      <c r="J2833" t="inlineStr">
        <is>
          <t>AMERICANA</t>
        </is>
      </c>
      <c r="K2833" t="n">
        <v>1</v>
      </c>
      <c r="L2833" t="n">
        <v>4</v>
      </c>
      <c r="M2833" t="n">
        <v>0</v>
      </c>
      <c r="N2833" t="n">
        <v>0</v>
      </c>
      <c r="O2833" t="n">
        <v>9</v>
      </c>
      <c r="P2833">
        <f>HYPERLINK("http://g1.globo.com/sp/campinas-regiao/noticia/2015/09/para-definir-politica-social-americana-mapeia-fluxo-migratorio-de-haitianos.html", "URL")</f>
        <v/>
      </c>
      <c r="Q2833">
        <f>HYPERLINK("https://raw.githubusercontent.com/marcosmapl/dataset_imigrantes/main/materias_filtered/g1/haitianos/2015/08_set/html/g1_9b104216-22f9-11ed-b24f-6dbe51e79fca_2173.html", "HTML")</f>
        <v/>
      </c>
      <c r="R2833">
        <f>HYPERLINK("https://raw.githubusercontent.com/marcosmapl/dataset_imigrantes/main/materias_filtered/g1/haitianos/2015/08_set/txt/g1_9b104216-22f9-11ed-b24f-6dbe51e79fca_2173.txt", "TXT")</f>
        <v/>
      </c>
    </row>
    <row r="2834">
      <c r="A2834" s="1" t="n">
        <v>2832</v>
      </c>
      <c r="B2834" t="n">
        <v>2015</v>
      </c>
      <c r="C2834" s="2" t="n">
        <v>42244.34097222222</v>
      </c>
      <c r="D2834" t="inlineStr">
        <is>
          <t>G1</t>
        </is>
      </c>
      <c r="E2834" t="inlineStr">
        <is>
          <t>HAITIANOS</t>
        </is>
      </c>
      <c r="F2834" t="inlineStr"/>
      <c r="G2834" t="inlineStr">
        <is>
          <t>ELLO CARVALHODO G1 PIRACICABA E REGIÃO</t>
        </is>
      </c>
      <c r="H2834" t="inlineStr">
        <is>
          <t>ALESP APURA XENOFOBIA E RACISMO EM FRASES PARA HAITIANOS NO INTERIOR DE SP</t>
        </is>
      </c>
      <c r="I2834" t="inlineStr"/>
      <c r="J2834" t="inlineStr">
        <is>
          <t>NOVA ODESSA</t>
        </is>
      </c>
      <c r="K2834" t="n">
        <v>1</v>
      </c>
      <c r="L2834" t="n">
        <v>5</v>
      </c>
      <c r="M2834" t="n">
        <v>0</v>
      </c>
      <c r="N2834" t="n">
        <v>0</v>
      </c>
      <c r="O2834" t="n">
        <v>12</v>
      </c>
      <c r="P2834">
        <f>HYPERLINK("http://g1.globo.com/sp/piracicaba-regiao/noticia/2015/08/alesp-apura-xenofobia-e-racismo-em-frases-para-haitianos-no-interior-de-sp.html", "URL")</f>
        <v/>
      </c>
      <c r="Q2834">
        <f>HYPERLINK("https://raw.githubusercontent.com/marcosmapl/dataset_imigrantes/main/materias_filtered/g1/haitianos/2015/07_ago/html/g1_a33a773c-22f8-11ed-b24f-6dbe51e79fca_2148.html", "HTML")</f>
        <v/>
      </c>
      <c r="R2834">
        <f>HYPERLINK("https://raw.githubusercontent.com/marcosmapl/dataset_imigrantes/main/materias_filtered/g1/haitianos/2015/07_ago/txt/g1_a33a773c-22f8-11ed-b24f-6dbe51e79fca_2148.txt", "TXT")</f>
        <v/>
      </c>
    </row>
    <row r="2835">
      <c r="A2835" s="1" t="n">
        <v>2833</v>
      </c>
      <c r="B2835" t="n">
        <v>2015</v>
      </c>
      <c r="C2835" s="2" t="n">
        <v>42242.94375</v>
      </c>
      <c r="D2835" t="inlineStr">
        <is>
          <t>G1</t>
        </is>
      </c>
      <c r="E2835" t="inlineStr">
        <is>
          <t>HAITIANOS</t>
        </is>
      </c>
      <c r="F2835" t="inlineStr"/>
      <c r="G2835" t="inlineStr">
        <is>
          <t>RANCE PRESSE</t>
        </is>
      </c>
      <c r="H2835" t="inlineStr">
        <is>
          <t>EUA PROLONGAM NOVAMENTE ASILO TEMPORÁRIO DE HAITIANOS NO PAÍS</t>
        </is>
      </c>
      <c r="I2835" t="inlineStr"/>
      <c r="J2835" t="inlineStr">
        <is>
          <t>ESTADOS UNIDOS, HAITI</t>
        </is>
      </c>
      <c r="K2835" t="n">
        <v>2</v>
      </c>
      <c r="L2835" t="n">
        <v>2</v>
      </c>
      <c r="M2835" t="n">
        <v>0</v>
      </c>
      <c r="N2835" t="n">
        <v>0</v>
      </c>
      <c r="O2835" t="n">
        <v>11</v>
      </c>
      <c r="P2835">
        <f>HYPERLINK("http://g1.globo.com/mundo/noticia/2015/08/eua-prolongam-novamente-asilo-temporario-de-haitianos-no-pais.html", "URL")</f>
        <v/>
      </c>
      <c r="Q2835">
        <f>HYPERLINK("https://raw.githubusercontent.com/marcosmapl/dataset_imigrantes/main/materias_filtered/g1/haitianos/2015/07_ago/html/g1_016d7690-22fb-11ed-b24f-6dbe51e79fca_2256.html", "HTML")</f>
        <v/>
      </c>
      <c r="R2835">
        <f>HYPERLINK("https://raw.githubusercontent.com/marcosmapl/dataset_imigrantes/main/materias_filtered/g1/haitianos/2015/07_ago/txt/g1_016d7690-22fb-11ed-b24f-6dbe51e79fca_2256.txt", "TXT")</f>
        <v/>
      </c>
    </row>
    <row r="2836">
      <c r="A2836" s="1" t="n">
        <v>2834</v>
      </c>
      <c r="B2836" t="n">
        <v>2015</v>
      </c>
      <c r="C2836" s="2" t="n">
        <v>42239.425</v>
      </c>
      <c r="D2836" t="inlineStr">
        <is>
          <t>G1</t>
        </is>
      </c>
      <c r="E2836" t="inlineStr">
        <is>
          <t>HAITIANOS</t>
        </is>
      </c>
      <c r="F2836" t="inlineStr"/>
      <c r="G2836" t="inlineStr">
        <is>
          <t>1 MS</t>
        </is>
      </c>
      <c r="H2836" t="inlineStr">
        <is>
          <t>HAITIANO MORDE E AGRIDE MULHER APÓS SUSPEITA DE TRAIÇÃO EM MS, DIZ POLÍCIA</t>
        </is>
      </c>
      <c r="I2836" t="inlineStr"/>
      <c r="J2836" t="inlineStr">
        <is>
          <t>MATO GROSSO DO SUL, TRÊS LAGOAS</t>
        </is>
      </c>
      <c r="K2836" t="n">
        <v>2</v>
      </c>
      <c r="L2836" t="n">
        <v>0</v>
      </c>
      <c r="M2836" t="n">
        <v>0</v>
      </c>
      <c r="N2836" t="n">
        <v>0</v>
      </c>
      <c r="O2836" t="n">
        <v>12</v>
      </c>
      <c r="P2836">
        <f>HYPERLINK("http://g1.globo.com/mato-grosso-do-sul/noticia/2015/08/haitiano-agride-mulher-apos-suspeita-de-traicao-em-ms-diz-policia-civil.html", "URL")</f>
        <v/>
      </c>
      <c r="Q2836">
        <f>HYPERLINK("https://raw.githubusercontent.com/marcosmapl/dataset_imigrantes/main/materias_filtered/g1/haitianos/2015/07_ago/html/g1_c38554c4-230e-11ed-b24f-6dbe51e79fca_2755.html", "HTML")</f>
        <v/>
      </c>
      <c r="R2836">
        <f>HYPERLINK("https://raw.githubusercontent.com/marcosmapl/dataset_imigrantes/main/materias_filtered/g1/haitianos/2015/07_ago/txt/g1_c38554c4-230e-11ed-b24f-6dbe51e79fca_2755.txt", "TXT")</f>
        <v/>
      </c>
    </row>
    <row r="2837">
      <c r="A2837" s="1" t="n">
        <v>2835</v>
      </c>
      <c r="B2837" t="n">
        <v>2015</v>
      </c>
      <c r="C2837" s="2" t="n">
        <v>42234.72152777778</v>
      </c>
      <c r="D2837" t="inlineStr">
        <is>
          <t>G1</t>
        </is>
      </c>
      <c r="E2837" t="inlineStr">
        <is>
          <t>HAITIANOS</t>
        </is>
      </c>
      <c r="F2837" t="inlineStr"/>
      <c r="G2837" t="inlineStr">
        <is>
          <t>1 RR</t>
        </is>
      </c>
      <c r="H2837" t="inlineStr">
        <is>
          <t>CORPO DE HAITIANO É ENCONTRADO NO RIO BRANCO POR BOMBEIROS DE RORAIMA</t>
        </is>
      </c>
      <c r="I2837" t="inlineStr"/>
      <c r="J2837" t="inlineStr">
        <is>
          <t>BOA VISTA</t>
        </is>
      </c>
      <c r="K2837" t="n">
        <v>1</v>
      </c>
      <c r="L2837" t="n">
        <v>5</v>
      </c>
      <c r="M2837" t="n">
        <v>0</v>
      </c>
      <c r="N2837" t="n">
        <v>0</v>
      </c>
      <c r="O2837" t="n">
        <v>13</v>
      </c>
      <c r="P2837">
        <f>HYPERLINK("http://g1.globo.com/rr/roraima/noticia/2015/08/corpo-de-haitiano-e-encontrado-no-rio-branco-por-bombeiros-de-roraima.html", "URL")</f>
        <v/>
      </c>
      <c r="Q2837">
        <f>HYPERLINK("https://raw.githubusercontent.com/marcosmapl/dataset_imigrantes/main/materias_filtered/g1/haitianos/2015/07_ago/html/g1_9e896bb4-230f-11ed-b24f-6dbe51e79fca_2808.html", "HTML")</f>
        <v/>
      </c>
      <c r="R2837">
        <f>HYPERLINK("https://raw.githubusercontent.com/marcosmapl/dataset_imigrantes/main/materias_filtered/g1/haitianos/2015/07_ago/txt/g1_9e896bb4-230f-11ed-b24f-6dbe51e79fca_2808.txt", "TXT")</f>
        <v/>
      </c>
    </row>
    <row r="2838">
      <c r="A2838" s="1" t="n">
        <v>2836</v>
      </c>
      <c r="B2838" t="n">
        <v>2015</v>
      </c>
      <c r="C2838" s="2" t="n">
        <v>42229.57013888889</v>
      </c>
      <c r="D2838" t="inlineStr">
        <is>
          <t>G1</t>
        </is>
      </c>
      <c r="E2838" t="inlineStr">
        <is>
          <t>HAITIANOS</t>
        </is>
      </c>
      <c r="F2838" t="inlineStr"/>
      <c r="G2838" t="inlineStr">
        <is>
          <t>1 RS</t>
        </is>
      </c>
      <c r="H2838" t="inlineStr">
        <is>
          <t>APÓS MAIS DE UM ANO, IMIGRANTE HAITIANO REENCONTRA FAMÍLIA NO RS</t>
        </is>
      </c>
      <c r="I2838" t="inlineStr"/>
      <c r="J2838" t="inlineStr"/>
      <c r="K2838" t="n">
        <v>0</v>
      </c>
      <c r="L2838" t="n">
        <v>1</v>
      </c>
      <c r="M2838" t="n">
        <v>0</v>
      </c>
      <c r="N2838" t="n">
        <v>0</v>
      </c>
      <c r="O2838" t="n">
        <v>5</v>
      </c>
      <c r="P2838">
        <f>HYPERLINK("http://g1.globo.com/rs/rio-grande-do-sul/noticia/2015/08/apos-mais-de-um-ano-imigrante-haitiano-reencontra-familia-no-rs.html", "URL")</f>
        <v/>
      </c>
      <c r="Q2838">
        <f>HYPERLINK("https://raw.githubusercontent.com/marcosmapl/dataset_imigrantes/main/materias_filtered/g1/haitianos/2015/07_ago/html/g1_8fa0d584-230e-11ed-b24f-6dbe51e79fca_2745.html", "HTML")</f>
        <v/>
      </c>
      <c r="R2838">
        <f>HYPERLINK("https://raw.githubusercontent.com/marcosmapl/dataset_imigrantes/main/materias_filtered/g1/haitianos/2015/07_ago/txt/g1_8fa0d584-230e-11ed-b24f-6dbe51e79fca_2745.txt", "TXT")</f>
        <v/>
      </c>
    </row>
    <row r="2839">
      <c r="A2839" s="1" t="n">
        <v>2837</v>
      </c>
      <c r="B2839" t="n">
        <v>2015</v>
      </c>
      <c r="C2839" s="2" t="n">
        <v>42227.83958333333</v>
      </c>
      <c r="D2839" t="inlineStr">
        <is>
          <t>G1</t>
        </is>
      </c>
      <c r="E2839" t="inlineStr">
        <is>
          <t>HAITIANOS</t>
        </is>
      </c>
      <c r="F2839" t="inlineStr"/>
      <c r="G2839" t="inlineStr">
        <is>
          <t>RANCE PRESSE</t>
        </is>
      </c>
      <c r="H2839" t="inlineStr">
        <is>
          <t>ORGANIZAÇÕES DE DIREITOS HUMANOS CRITICAM LEGISLATIVAS NO HAITI</t>
        </is>
      </c>
      <c r="I2839" t="inlineStr"/>
      <c r="J2839" t="inlineStr">
        <is>
          <t>HAITI</t>
        </is>
      </c>
      <c r="K2839" t="n">
        <v>1</v>
      </c>
      <c r="L2839" t="n">
        <v>6</v>
      </c>
      <c r="M2839" t="n">
        <v>0</v>
      </c>
      <c r="N2839" t="n">
        <v>0</v>
      </c>
      <c r="O2839" t="n">
        <v>13</v>
      </c>
      <c r="P2839">
        <f>HYPERLINK("http://g1.globo.com/mundo/noticia/2015/08/organizacoes-de-direitos-humanos-criticam-legislativas-no-haiti.html", "URL")</f>
        <v/>
      </c>
      <c r="Q2839">
        <f>HYPERLINK("https://raw.githubusercontent.com/marcosmapl/dataset_imigrantes/main/materias_filtered/g1/haitianos/2015/07_ago/html/g1_1470d5c6-2309-11ed-b24f-6dbe51e79fca_2424.html", "HTML")</f>
        <v/>
      </c>
      <c r="R2839">
        <f>HYPERLINK("https://raw.githubusercontent.com/marcosmapl/dataset_imigrantes/main/materias_filtered/g1/haitianos/2015/07_ago/txt/g1_1470d5c6-2309-11ed-b24f-6dbe51e79fca_2424.txt", "TXT")</f>
        <v/>
      </c>
    </row>
    <row r="2840">
      <c r="A2840" s="1" t="n">
        <v>2838</v>
      </c>
      <c r="B2840" t="n">
        <v>2015</v>
      </c>
      <c r="C2840" s="2" t="n">
        <v>42226.88680555556</v>
      </c>
      <c r="D2840" t="inlineStr">
        <is>
          <t>G1</t>
        </is>
      </c>
      <c r="E2840" t="inlineStr">
        <is>
          <t>HAITIANOS</t>
        </is>
      </c>
      <c r="F2840" t="inlineStr"/>
      <c r="G2840" t="inlineStr"/>
      <c r="H2840" t="inlineStr">
        <is>
          <t>POLÍCIA OUVE DEPOIMENTO DE HAITIANO ATINGIDO POR BALAS DE CHUMBINHO</t>
        </is>
      </c>
      <c r="I2840" t="inlineStr"/>
      <c r="J2840" t="inlineStr"/>
      <c r="K2840" t="n">
        <v>0</v>
      </c>
      <c r="L2840" t="n">
        <v>0</v>
      </c>
      <c r="M2840" t="n">
        <v>0</v>
      </c>
      <c r="N2840" t="n">
        <v>0</v>
      </c>
      <c r="O2840" t="n">
        <v>4</v>
      </c>
      <c r="P2840">
        <f>HYPERLINK("http://g1.globo.com/jornal-nacional/noticia/2015/08/policia-ouve-depoimento-de-haitiano-atingido-por-balas-de-chumbinho.html", "URL")</f>
        <v/>
      </c>
      <c r="Q2840">
        <f>HYPERLINK("https://raw.githubusercontent.com/marcosmapl/dataset_imigrantes/main/materias_filtered/g1/haitianos/2015/07_ago/html/g1_6cd4a324-22f4-11ed-b24f-6dbe51e79fca_1888.html", "HTML")</f>
        <v/>
      </c>
      <c r="R2840">
        <f>HYPERLINK("https://raw.githubusercontent.com/marcosmapl/dataset_imigrantes/main/materias_filtered/g1/haitianos/2015/07_ago/txt/g1_6cd4a324-22f4-11ed-b24f-6dbe51e79fca_1888.txt", "TXT")</f>
        <v/>
      </c>
    </row>
    <row r="2841">
      <c r="A2841" s="1" t="n">
        <v>2839</v>
      </c>
      <c r="B2841" t="n">
        <v>2015</v>
      </c>
      <c r="C2841" s="2" t="n">
        <v>42226.8</v>
      </c>
      <c r="D2841" t="inlineStr">
        <is>
          <t>G1</t>
        </is>
      </c>
      <c r="E2841" t="inlineStr">
        <is>
          <t>HAITIANOS</t>
        </is>
      </c>
      <c r="F2841" t="inlineStr"/>
      <c r="G2841" t="inlineStr">
        <is>
          <t>O TOLEDO PIZADO G1 SÃO PAULO</t>
        </is>
      </c>
      <c r="H2841" t="inlineStr">
        <is>
          <t>'PENSEI QUE ERA UMA PEDRADA', DIZ HAITIANO ATACADO NO GLICÉRIO</t>
        </is>
      </c>
      <c r="I2841" t="inlineStr"/>
      <c r="J2841" t="inlineStr">
        <is>
          <t>SÃO PAULO</t>
        </is>
      </c>
      <c r="K2841" t="n">
        <v>1</v>
      </c>
      <c r="L2841" t="n">
        <v>6</v>
      </c>
      <c r="M2841" t="n">
        <v>0</v>
      </c>
      <c r="N2841" t="n">
        <v>0</v>
      </c>
      <c r="O2841" t="n">
        <v>12</v>
      </c>
      <c r="P2841">
        <f>HYPERLINK("http://g1.globo.com/sao-paulo/noticia/2015/08/pensei-que-era-uma-pedrada-diz-haitiano-atacado-no-glicerio.html", "URL")</f>
        <v/>
      </c>
      <c r="Q2841">
        <f>HYPERLINK("https://raw.githubusercontent.com/marcosmapl/dataset_imigrantes/main/materias_filtered/g1/haitianos/2015/07_ago/html/g1_b730ee4c-2311-11ed-b24f-6dbe51e79fca_2930.html", "HTML")</f>
        <v/>
      </c>
      <c r="R2841">
        <f>HYPERLINK("https://raw.githubusercontent.com/marcosmapl/dataset_imigrantes/main/materias_filtered/g1/haitianos/2015/07_ago/txt/g1_b730ee4c-2311-11ed-b24f-6dbe51e79fca_2930.txt", "TXT")</f>
        <v/>
      </c>
    </row>
    <row r="2842">
      <c r="A2842" s="1" t="n">
        <v>2840</v>
      </c>
      <c r="B2842" t="n">
        <v>2015</v>
      </c>
      <c r="C2842" s="2" t="n">
        <v>42226.67430555556</v>
      </c>
      <c r="D2842" t="inlineStr">
        <is>
          <t>G1</t>
        </is>
      </c>
      <c r="E2842" t="inlineStr">
        <is>
          <t>HAITIANOS</t>
        </is>
      </c>
      <c r="F2842" t="inlineStr"/>
      <c r="G2842" t="inlineStr">
        <is>
          <t>1 RIO PRETO E ARAÇATUBA</t>
        </is>
      </c>
      <c r="H2842" t="inlineStr">
        <is>
          <t>HAITIANO TEM ATAQUE DE FÚRIA E DESTRÓI PAPELARIA EM SÃO JOSÉ DO RIO PRETO</t>
        </is>
      </c>
      <c r="I2842" t="inlineStr"/>
      <c r="J2842" t="inlineStr">
        <is>
          <t>SÃO JOSÉ DO RIO PRETO</t>
        </is>
      </c>
      <c r="K2842" t="n">
        <v>1</v>
      </c>
      <c r="L2842" t="n">
        <v>4</v>
      </c>
      <c r="M2842" t="n">
        <v>0</v>
      </c>
      <c r="N2842" t="n">
        <v>0</v>
      </c>
      <c r="O2842" t="n">
        <v>11</v>
      </c>
      <c r="P2842">
        <f>HYPERLINK("http://g1.globo.com/sao-paulo/sao-jose-do-rio-preto-aracatuba/noticia/2015/08/haitiano-tem-ataque-de-furia-e-destroi-papelaria-em-sao-jose-do-rio-preto.html", "URL")</f>
        <v/>
      </c>
      <c r="Q2842">
        <f>HYPERLINK("https://raw.githubusercontent.com/marcosmapl/dataset_imigrantes/main/materias_filtered/g1/haitianos/2015/07_ago/html/g1_f408188e-2327-11ed-b24f-6dbe51e79fca_4057.html", "HTML")</f>
        <v/>
      </c>
      <c r="R2842">
        <f>HYPERLINK("https://raw.githubusercontent.com/marcosmapl/dataset_imigrantes/main/materias_filtered/g1/haitianos/2015/07_ago/txt/g1_f408188e-2327-11ed-b24f-6dbe51e79fca_4057.txt", "TXT")</f>
        <v/>
      </c>
    </row>
    <row r="2843">
      <c r="A2843" s="1" t="n">
        <v>2841</v>
      </c>
      <c r="B2843" t="n">
        <v>2015</v>
      </c>
      <c r="C2843" s="2" t="n">
        <v>42226.56111111111</v>
      </c>
      <c r="D2843" t="inlineStr">
        <is>
          <t>G1</t>
        </is>
      </c>
      <c r="E2843" t="inlineStr">
        <is>
          <t>HAITIANOS</t>
        </is>
      </c>
      <c r="F2843" t="inlineStr"/>
      <c r="G2843" t="inlineStr">
        <is>
          <t>1 SÃO PAULO</t>
        </is>
      </c>
      <c r="H2843" t="inlineStr">
        <is>
          <t>HAITIANOS SOFRERAM TRÊS ATAQUES SEGUIDOS NO GLICÉRIO, DIZ DELEGADO</t>
        </is>
      </c>
      <c r="I2843" t="inlineStr"/>
      <c r="J2843" t="inlineStr">
        <is>
          <t>SÃO PAULO</t>
        </is>
      </c>
      <c r="K2843" t="n">
        <v>1</v>
      </c>
      <c r="L2843" t="n">
        <v>4</v>
      </c>
      <c r="M2843" t="n">
        <v>0</v>
      </c>
      <c r="N2843" t="n">
        <v>0</v>
      </c>
      <c r="O2843" t="n">
        <v>12</v>
      </c>
      <c r="P2843">
        <f>HYPERLINK("http://g1.globo.com/sao-paulo/noticia/2015/08/haitianos-sofreram-tres-ataques-seguidos-no-glicerio-diz-delegado.html", "URL")</f>
        <v/>
      </c>
      <c r="Q2843">
        <f>HYPERLINK("https://raw.githubusercontent.com/marcosmapl/dataset_imigrantes/main/materias_filtered/g1/haitianos/2015/07_ago/html/g1_0fc9ea4c-22f7-11ed-b24f-6dbe51e79fca_2056.html", "HTML")</f>
        <v/>
      </c>
      <c r="R2843">
        <f>HYPERLINK("https://raw.githubusercontent.com/marcosmapl/dataset_imigrantes/main/materias_filtered/g1/haitianos/2015/07_ago/txt/g1_0fc9ea4c-22f7-11ed-b24f-6dbe51e79fca_2056.txt", "TXT")</f>
        <v/>
      </c>
    </row>
    <row r="2844">
      <c r="A2844" s="1" t="n">
        <v>2842</v>
      </c>
      <c r="B2844" t="n">
        <v>2015</v>
      </c>
      <c r="C2844" s="2" t="n">
        <v>42225.53958333333</v>
      </c>
      <c r="D2844" t="inlineStr">
        <is>
          <t>G1</t>
        </is>
      </c>
      <c r="E2844" t="inlineStr">
        <is>
          <t>HAITIANOS</t>
        </is>
      </c>
      <c r="F2844" t="inlineStr"/>
      <c r="G2844" t="inlineStr">
        <is>
          <t>FP</t>
        </is>
      </c>
      <c r="H2844" t="inlineStr">
        <is>
          <t>HAITIANOS ELEGEM NOVO CONGRESSO ENTRE ATRASOS E BRIGAS</t>
        </is>
      </c>
      <c r="I2844" t="inlineStr"/>
      <c r="J2844" t="inlineStr">
        <is>
          <t>HAITI, ONU</t>
        </is>
      </c>
      <c r="K2844" t="n">
        <v>2</v>
      </c>
      <c r="L2844" t="n">
        <v>4</v>
      </c>
      <c r="M2844" t="n">
        <v>0</v>
      </c>
      <c r="N2844" t="n">
        <v>0</v>
      </c>
      <c r="O2844" t="n">
        <v>11</v>
      </c>
      <c r="P2844">
        <f>HYPERLINK("http://g1.globo.com/mundo/noticia/2015/08/haitianos-elegem-novo-congresso-entre-atrasos-e-brigas.html", "URL")</f>
        <v/>
      </c>
      <c r="Q2844">
        <f>HYPERLINK("https://raw.githubusercontent.com/marcosmapl/dataset_imigrantes/main/materias_filtered/g1/haitianos/2015/07_ago/html/g1_c5b02640-22f3-11ed-b24f-6dbe51e79fca_1857.html", "HTML")</f>
        <v/>
      </c>
      <c r="R2844">
        <f>HYPERLINK("https://raw.githubusercontent.com/marcosmapl/dataset_imigrantes/main/materias_filtered/g1/haitianos/2015/07_ago/txt/g1_c5b02640-22f3-11ed-b24f-6dbe51e79fca_1857.txt", "TXT")</f>
        <v/>
      </c>
    </row>
    <row r="2845">
      <c r="A2845" s="1" t="n">
        <v>2843</v>
      </c>
      <c r="B2845" t="n">
        <v>2015</v>
      </c>
      <c r="C2845" s="2" t="n">
        <v>42224.56597222222</v>
      </c>
      <c r="D2845" t="inlineStr">
        <is>
          <t>G1</t>
        </is>
      </c>
      <c r="E2845" t="inlineStr">
        <is>
          <t>HAITIANOS</t>
        </is>
      </c>
      <c r="F2845" t="inlineStr"/>
      <c r="G2845" t="inlineStr">
        <is>
          <t>1 SÃO PAULO</t>
        </is>
      </c>
      <c r="H2845" t="inlineStr">
        <is>
          <t>HAITIANOS SÃO ALVO DE ATAQUE NO CENTRO DE SÃO PAULO</t>
        </is>
      </c>
      <c r="I2845" t="inlineStr"/>
      <c r="J2845" t="inlineStr"/>
      <c r="K2845" t="n">
        <v>0</v>
      </c>
      <c r="L2845" t="n">
        <v>0</v>
      </c>
      <c r="M2845" t="n">
        <v>0</v>
      </c>
      <c r="N2845" t="n">
        <v>0</v>
      </c>
      <c r="O2845" t="n">
        <v>7</v>
      </c>
      <c r="P2845">
        <f>HYPERLINK("http://g1.globo.com/sao-paulo/noticia/2015/08/haitianos-sao-alvo-de-ataque-no-centro-de-sao-paulo.html", "URL")</f>
        <v/>
      </c>
      <c r="Q2845">
        <f>HYPERLINK("https://raw.githubusercontent.com/marcosmapl/dataset_imigrantes/main/materias_filtered/g1/haitianos/2015/07_ago/html/g1_470671c4-22f2-11ed-b24f-6dbe51e79fca_1789.html", "HTML")</f>
        <v/>
      </c>
      <c r="R2845">
        <f>HYPERLINK("https://raw.githubusercontent.com/marcosmapl/dataset_imigrantes/main/materias_filtered/g1/haitianos/2015/07_ago/txt/g1_470671c4-22f2-11ed-b24f-6dbe51e79fca_1789.txt", "TXT")</f>
        <v/>
      </c>
    </row>
    <row r="2846">
      <c r="A2846" s="1" t="n">
        <v>2844</v>
      </c>
      <c r="B2846" t="n">
        <v>2015</v>
      </c>
      <c r="C2846" s="2" t="n">
        <v>42218.70138888889</v>
      </c>
      <c r="D2846" t="inlineStr">
        <is>
          <t>G1</t>
        </is>
      </c>
      <c r="E2846" t="inlineStr">
        <is>
          <t>HAITIANOS</t>
        </is>
      </c>
      <c r="F2846" t="inlineStr"/>
      <c r="G2846" t="inlineStr">
        <is>
          <t>ÍCIO REBELLATODA RBS TV</t>
        </is>
      </c>
      <c r="H2846" t="inlineStr">
        <is>
          <t>'QUE SIRVA DE EXEMPLO', DIZ JOVEM QUE DEVOLVEU R$ 400 A HAITIANO NO RS</t>
        </is>
      </c>
      <c r="I2846" t="inlineStr"/>
      <c r="J2846" t="inlineStr">
        <is>
          <t>SANTA ROSA</t>
        </is>
      </c>
      <c r="K2846" t="n">
        <v>1</v>
      </c>
      <c r="L2846" t="n">
        <v>5</v>
      </c>
      <c r="M2846" t="n">
        <v>0</v>
      </c>
      <c r="N2846" t="n">
        <v>0</v>
      </c>
      <c r="O2846" t="n">
        <v>10</v>
      </c>
      <c r="P2846">
        <f>HYPERLINK("http://g1.globo.com/rs/rio-grande-do-sul/noticia/2015/08/que-sirva-de-exemplo-diz-jovem-que-devolveu-r-400-haitiano-no-rs.html", "URL")</f>
        <v/>
      </c>
      <c r="Q2846">
        <f>HYPERLINK("https://raw.githubusercontent.com/marcosmapl/dataset_imigrantes/main/materias_filtered/g1/haitianos/2015/07_ago/html/g1_d0866d7c-232a-11ed-b24f-6dbe51e79fca_4205.html", "HTML")</f>
        <v/>
      </c>
      <c r="R2846">
        <f>HYPERLINK("https://raw.githubusercontent.com/marcosmapl/dataset_imigrantes/main/materias_filtered/g1/haitianos/2015/07_ago/txt/g1_d0866d7c-232a-11ed-b24f-6dbe51e79fca_4205.txt", "TXT")</f>
        <v/>
      </c>
    </row>
    <row r="2847">
      <c r="A2847" s="1" t="n">
        <v>2845</v>
      </c>
      <c r="B2847" t="n">
        <v>2015</v>
      </c>
      <c r="C2847" s="2" t="n">
        <v>42217.78263888889</v>
      </c>
      <c r="D2847" t="inlineStr">
        <is>
          <t>G1</t>
        </is>
      </c>
      <c r="E2847" t="inlineStr">
        <is>
          <t>HAITIANOS</t>
        </is>
      </c>
      <c r="F2847" t="inlineStr"/>
      <c r="G2847" t="inlineStr">
        <is>
          <t>ELLA FRAGADO G1 RS</t>
        </is>
      </c>
      <c r="H2847" t="inlineStr">
        <is>
          <t>JOVENS ACHAM R$ 400 E DEVOLVEM A HAITIANO APÓS DIVULGAR EM RÁDIO NO RS</t>
        </is>
      </c>
      <c r="I2847" t="inlineStr"/>
      <c r="J2847" t="inlineStr">
        <is>
          <t>SANTA ROSA</t>
        </is>
      </c>
      <c r="K2847" t="n">
        <v>1</v>
      </c>
      <c r="L2847" t="n">
        <v>4</v>
      </c>
      <c r="M2847" t="n">
        <v>0</v>
      </c>
      <c r="N2847" t="n">
        <v>0</v>
      </c>
      <c r="O2847" t="n">
        <v>14</v>
      </c>
      <c r="P2847">
        <f>HYPERLINK("http://g1.globo.com/rs/rio-grande-do-sul/noticia/2015/08/jovens-acham-r-400-e-devolvem-haitiano-apos-divulgar-em-radio-no-rs.html", "URL")</f>
        <v/>
      </c>
      <c r="Q2847">
        <f>HYPERLINK("https://raw.githubusercontent.com/marcosmapl/dataset_imigrantes/main/materias_filtered/g1/haitianos/2015/07_ago/html/g1_07832dda-2329-11ed-b24f-6dbe51e79fca_4096.html", "HTML")</f>
        <v/>
      </c>
      <c r="R2847">
        <f>HYPERLINK("https://raw.githubusercontent.com/marcosmapl/dataset_imigrantes/main/materias_filtered/g1/haitianos/2015/07_ago/txt/g1_07832dda-2329-11ed-b24f-6dbe51e79fca_4096.txt", "TXT")</f>
        <v/>
      </c>
    </row>
    <row r="2848">
      <c r="A2848" s="1" t="n">
        <v>2846</v>
      </c>
      <c r="B2848" t="n">
        <v>2015</v>
      </c>
      <c r="C2848" s="2" t="n">
        <v>42214.71319444444</v>
      </c>
      <c r="D2848" t="inlineStr">
        <is>
          <t>G1</t>
        </is>
      </c>
      <c r="E2848" t="inlineStr">
        <is>
          <t>HAITIANOS</t>
        </is>
      </c>
      <c r="F2848" t="inlineStr"/>
      <c r="G2848" t="inlineStr">
        <is>
          <t>ANA FARACODO G1 SC</t>
        </is>
      </c>
      <c r="H2848" t="inlineStr">
        <is>
          <t>HAITIANA DÁ À LUZ UMA MENINA EM POSTO DE SAÚDE DE PALHOÇA, SC</t>
        </is>
      </c>
      <c r="I2848" t="inlineStr"/>
      <c r="J2848" t="inlineStr">
        <is>
          <t>PALHOÇA</t>
        </is>
      </c>
      <c r="K2848" t="n">
        <v>1</v>
      </c>
      <c r="L2848" t="n">
        <v>5</v>
      </c>
      <c r="M2848" t="n">
        <v>0</v>
      </c>
      <c r="N2848" t="n">
        <v>0</v>
      </c>
      <c r="O2848" t="n">
        <v>10</v>
      </c>
      <c r="P2848">
        <f>HYPERLINK("http://g1.globo.com/sc/santa-catarina/noticia/2015/07/haitiana-da-luz-uma-menina-em-posto-de-saude-de-palhoca-sc.html", "URL")</f>
        <v/>
      </c>
      <c r="Q2848">
        <f>HYPERLINK("https://raw.githubusercontent.com/marcosmapl/dataset_imigrantes/main/materias_filtered/g1/haitianos/2015/06_jul/html/g1_cacda9f0-2315-11ed-b24f-6dbe51e79fca_3106.html", "HTML")</f>
        <v/>
      </c>
      <c r="R2848">
        <f>HYPERLINK("https://raw.githubusercontent.com/marcosmapl/dataset_imigrantes/main/materias_filtered/g1/haitianos/2015/06_jul/txt/g1_cacda9f0-2315-11ed-b24f-6dbe51e79fca_3106.txt", "TXT")</f>
        <v/>
      </c>
    </row>
    <row r="2849">
      <c r="A2849" s="1" t="n">
        <v>2847</v>
      </c>
      <c r="B2849" t="n">
        <v>2015</v>
      </c>
      <c r="C2849" s="2" t="n">
        <v>42209.62083333333</v>
      </c>
      <c r="D2849" t="inlineStr">
        <is>
          <t>G1</t>
        </is>
      </c>
      <c r="E2849" t="inlineStr">
        <is>
          <t>HAITIANOS</t>
        </is>
      </c>
      <c r="F2849" t="inlineStr"/>
      <c r="G2849" t="inlineStr">
        <is>
          <t>1 RS</t>
        </is>
      </c>
      <c r="H2849" t="inlineStr">
        <is>
          <t>JUSTIÇA PERMITE QUE ESPOSA E FILHO VISITEM HAITIANO NO RS SEM VISTO</t>
        </is>
      </c>
      <c r="I2849" t="inlineStr"/>
      <c r="J2849" t="inlineStr">
        <is>
          <t>CANOAS</t>
        </is>
      </c>
      <c r="K2849" t="n">
        <v>1</v>
      </c>
      <c r="L2849" t="n">
        <v>4</v>
      </c>
      <c r="M2849" t="n">
        <v>0</v>
      </c>
      <c r="N2849" t="n">
        <v>0</v>
      </c>
      <c r="O2849" t="n">
        <v>11</v>
      </c>
      <c r="P2849">
        <f>HYPERLINK("http://g1.globo.com/rs/rio-grande-do-sul/noticia/2015/07/justica-permite-que-esposa-e-filho-visitem-haitiano-no-rs-sem-visto.html", "URL")</f>
        <v/>
      </c>
      <c r="Q2849">
        <f>HYPERLINK("https://raw.githubusercontent.com/marcosmapl/dataset_imigrantes/main/materias_filtered/g1/haitianos/2015/06_jul/html/g1_8cc73428-230b-11ed-b24f-6dbe51e79fca_2570.html", "HTML")</f>
        <v/>
      </c>
      <c r="R2849">
        <f>HYPERLINK("https://raw.githubusercontent.com/marcosmapl/dataset_imigrantes/main/materias_filtered/g1/haitianos/2015/06_jul/txt/g1_8cc73428-230b-11ed-b24f-6dbe51e79fca_2570.txt", "TXT")</f>
        <v/>
      </c>
    </row>
    <row r="2850">
      <c r="A2850" s="1" t="n">
        <v>2848</v>
      </c>
      <c r="B2850" t="n">
        <v>2015</v>
      </c>
      <c r="C2850" s="2" t="n">
        <v>42204.93958333333</v>
      </c>
      <c r="D2850" t="inlineStr">
        <is>
          <t>G1</t>
        </is>
      </c>
      <c r="E2850" t="inlineStr">
        <is>
          <t>HAITIANOS</t>
        </is>
      </c>
      <c r="F2850" t="inlineStr"/>
      <c r="G2850" t="inlineStr"/>
      <c r="H2850" t="inlineStr">
        <is>
          <t>IMIGRANTE DIZ QUE MUITOS BRASILEIROS CONSIDERAM HAITIANOS COMO ESCRAVOS</t>
        </is>
      </c>
      <c r="I2850" t="inlineStr"/>
      <c r="J2850" t="inlineStr">
        <is>
          <t>MANAUS, BRASÍLIA, ACRE, ALEMANHA, ANGELA MERKEL, HAITI, MINISTÉRIO DA JUSTIÇA, PANAMÁ, SANTA CATARINA, VENEZUELA, BLUMENAU, SÃO PAULO</t>
        </is>
      </c>
      <c r="K2850" t="n">
        <v>12</v>
      </c>
      <c r="L2850" t="n">
        <v>4</v>
      </c>
      <c r="M2850" t="n">
        <v>0</v>
      </c>
      <c r="N2850" t="n">
        <v>0</v>
      </c>
      <c r="O2850" t="n">
        <v>23</v>
      </c>
      <c r="P2850">
        <f>HYPERLINK("http://g1.globo.com/fantastico/noticia/2015/07/imigrante-diz-que-muitos-brasileiros-consideram-haitianos-como-escravos.html", "URL")</f>
        <v/>
      </c>
      <c r="Q2850">
        <f>HYPERLINK("https://raw.githubusercontent.com/marcosmapl/dataset_imigrantes/main/materias_filtered/g1/haitianos/2015/06_jul/html/g1_a7c9a16c-22f6-11ed-b24f-6dbe51e79fca_2027.html", "HTML")</f>
        <v/>
      </c>
      <c r="R2850">
        <f>HYPERLINK("https://raw.githubusercontent.com/marcosmapl/dataset_imigrantes/main/materias_filtered/g1/haitianos/2015/06_jul/txt/g1_a7c9a16c-22f6-11ed-b24f-6dbe51e79fca_2027.txt", "TXT")</f>
        <v/>
      </c>
    </row>
    <row r="2851">
      <c r="A2851" s="1" t="n">
        <v>2849</v>
      </c>
      <c r="B2851" t="n">
        <v>2015</v>
      </c>
      <c r="C2851" s="2" t="n">
        <v>42203.40902777778</v>
      </c>
      <c r="D2851" t="inlineStr">
        <is>
          <t>G1</t>
        </is>
      </c>
      <c r="E2851" t="inlineStr">
        <is>
          <t>HAITIANOS</t>
        </is>
      </c>
      <c r="F2851" t="inlineStr"/>
      <c r="G2851" t="inlineStr">
        <is>
          <t>1 AM</t>
        </is>
      </c>
      <c r="H2851" t="inlineStr">
        <is>
          <t>EVENTO ARRECADA FUNDOS PARA CASA DE CRIANÇAS HAITIANAS, EM MANAUS</t>
        </is>
      </c>
      <c r="I2851" t="inlineStr"/>
      <c r="J2851" t="inlineStr">
        <is>
          <t>MANAUS</t>
        </is>
      </c>
      <c r="K2851" t="n">
        <v>1</v>
      </c>
      <c r="L2851" t="n">
        <v>5</v>
      </c>
      <c r="M2851" t="n">
        <v>0</v>
      </c>
      <c r="N2851" t="n">
        <v>0</v>
      </c>
      <c r="O2851" t="n">
        <v>11</v>
      </c>
      <c r="P2851">
        <f>HYPERLINK("http://g1.globo.com/am/amazonas/noticia/2015/07/evento-arrecada-fundos-para-casa-de-imigrantes-haitianos-em-manaus.html", "URL")</f>
        <v/>
      </c>
      <c r="Q2851">
        <f>HYPERLINK("https://raw.githubusercontent.com/marcosmapl/dataset_imigrantes/main/materias_filtered/g1/haitianos/2015/06_jul/html/g1_50479182-2324-11ed-b24f-6dbe51e79fca_3863.html", "HTML")</f>
        <v/>
      </c>
      <c r="R2851">
        <f>HYPERLINK("https://raw.githubusercontent.com/marcosmapl/dataset_imigrantes/main/materias_filtered/g1/haitianos/2015/06_jul/txt/g1_50479182-2324-11ed-b24f-6dbe51e79fca_3863.txt", "TXT")</f>
        <v/>
      </c>
    </row>
    <row r="2852">
      <c r="A2852" s="1" t="n">
        <v>2850</v>
      </c>
      <c r="B2852" t="n">
        <v>2015</v>
      </c>
      <c r="C2852" s="2" t="n">
        <v>42201.56666666667</v>
      </c>
      <c r="D2852" t="inlineStr">
        <is>
          <t>G1</t>
        </is>
      </c>
      <c r="E2852" t="inlineStr">
        <is>
          <t>VENEZUELANOS</t>
        </is>
      </c>
      <c r="F2852" t="inlineStr"/>
      <c r="G2852" t="inlineStr">
        <is>
          <t xml:space="preserve"> BRANDÃODO G1 RR</t>
        </is>
      </c>
      <c r="H2852" t="inlineStr">
        <is>
          <t>OPERAÇÃO DA PF EM RR ENCONTRA 16 VENEZUELANAS EM CASA DE PROSTITUIÇÃO</t>
        </is>
      </c>
      <c r="I2852" t="inlineStr"/>
      <c r="J2852" t="inlineStr">
        <is>
          <t>BOA VISTA</t>
        </is>
      </c>
      <c r="K2852" t="n">
        <v>1</v>
      </c>
      <c r="L2852" t="n">
        <v>5</v>
      </c>
      <c r="M2852" t="n">
        <v>0</v>
      </c>
      <c r="N2852" t="n">
        <v>0</v>
      </c>
      <c r="O2852" t="n">
        <v>10</v>
      </c>
      <c r="P2852">
        <f>HYPERLINK("http://g1.globo.com/rr/roraima/noticia/2015/07/operacao-da-pf-em-rr-encontra-16-venezuelanas-em-casa-de-prostituicao.html", "URL")</f>
        <v/>
      </c>
      <c r="Q2852">
        <f>HYPERLINK("https://raw.githubusercontent.com/marcosmapl/dataset_imigrantes/main/materias_filtered/g1/venezuelanos/2015/06_jul/html/g1_bc390ce4-2307-11ed-b24f-6dbe51e79fca_2338.html", "HTML")</f>
        <v/>
      </c>
      <c r="R2852">
        <f>HYPERLINK("https://raw.githubusercontent.com/marcosmapl/dataset_imigrantes/main/materias_filtered/g1/venezuelanos/2015/06_jul/txt/g1_bc390ce4-2307-11ed-b24f-6dbe51e79fca_2338.txt", "TXT")</f>
        <v/>
      </c>
    </row>
    <row r="2853">
      <c r="A2853" s="1" t="n">
        <v>2851</v>
      </c>
      <c r="B2853" t="n">
        <v>2015</v>
      </c>
      <c r="C2853" s="2" t="n">
        <v>42200.46597222222</v>
      </c>
      <c r="D2853" t="inlineStr">
        <is>
          <t>G1</t>
        </is>
      </c>
      <c r="E2853" t="inlineStr">
        <is>
          <t>HAITIANOS</t>
        </is>
      </c>
      <c r="F2853" t="inlineStr"/>
      <c r="G2853" t="inlineStr">
        <is>
          <t xml:space="preserve"> FELLETDA BBC BRASIL</t>
        </is>
      </c>
      <c r="H2853" t="inlineStr">
        <is>
          <t>DO ABRIGO LOTADO À FACULDADE DE DIREITO: A SAGA DE UMA HAITIANA NO BRASIL</t>
        </is>
      </c>
      <c r="I2853" t="inlineStr"/>
      <c r="J2853" t="inlineStr">
        <is>
          <t>HAITI</t>
        </is>
      </c>
      <c r="K2853" t="n">
        <v>1</v>
      </c>
      <c r="L2853" t="n">
        <v>6</v>
      </c>
      <c r="M2853" t="n">
        <v>0</v>
      </c>
      <c r="N2853" t="n">
        <v>0</v>
      </c>
      <c r="O2853" t="n">
        <v>10</v>
      </c>
      <c r="P2853">
        <f>HYPERLINK("http://g1.globo.com/educacao/noticia/2015/07/do-abrigo-lotado-a-faculdade-de-direito-a-saga-de-uma-haitiana-no-brasil.html", "URL")</f>
        <v/>
      </c>
      <c r="Q2853">
        <f>HYPERLINK("https://raw.githubusercontent.com/marcosmapl/dataset_imigrantes/main/materias_filtered/g1/haitianos/2015/06_jul/html/g1_65244ff6-22ec-11ed-b24f-6dbe51e79fca_1656.html", "HTML")</f>
        <v/>
      </c>
      <c r="R2853">
        <f>HYPERLINK("https://raw.githubusercontent.com/marcosmapl/dataset_imigrantes/main/materias_filtered/g1/haitianos/2015/06_jul/txt/g1_65244ff6-22ec-11ed-b24f-6dbe51e79fca_1656.txt", "TXT")</f>
        <v/>
      </c>
    </row>
    <row r="2854">
      <c r="A2854" s="1" t="n">
        <v>2852</v>
      </c>
      <c r="B2854" t="n">
        <v>2015</v>
      </c>
      <c r="C2854" s="2" t="n">
        <v>42197.31875</v>
      </c>
      <c r="D2854" t="inlineStr">
        <is>
          <t>G1</t>
        </is>
      </c>
      <c r="E2854" t="inlineStr">
        <is>
          <t>HAITIANOS</t>
        </is>
      </c>
      <c r="F2854" t="inlineStr"/>
      <c r="G2854" t="inlineStr">
        <is>
          <t>CIA MACEDODO G1 SÃO PAULO</t>
        </is>
      </c>
      <c r="H2854" t="inlineStr">
        <is>
          <t>HAITIANOS CONSEGUEM EMPREGO EM CONFEITARIA DE CHEF FRANCÊS NOS JARDINS</t>
        </is>
      </c>
      <c r="I2854" t="inlineStr"/>
      <c r="J2854" t="inlineStr">
        <is>
          <t>BRASILÉIA, ACRE, MINISTÉRIO DA JUSTIÇA, EQUADOR, COLÔMBIA, SÃO PAULO</t>
        </is>
      </c>
      <c r="K2854" t="n">
        <v>6</v>
      </c>
      <c r="L2854" t="n">
        <v>11</v>
      </c>
      <c r="M2854" t="n">
        <v>0</v>
      </c>
      <c r="N2854" t="n">
        <v>0</v>
      </c>
      <c r="O2854" t="n">
        <v>19</v>
      </c>
      <c r="P2854">
        <f>HYPERLINK("http://g1.globo.com/sao-paulo/noticia/2015/07/haitianos-conseguem-emprego-em-confeitaria-de-chef-frances-nos-jardins.html", "URL")</f>
        <v/>
      </c>
      <c r="Q2854">
        <f>HYPERLINK("https://raw.githubusercontent.com/marcosmapl/dataset_imigrantes/main/materias_filtered/g1/haitianos/2015/06_jul/html/g1_b7028d98-22f5-11ed-b24f-6dbe51e79fca_1967.html", "HTML")</f>
        <v/>
      </c>
      <c r="R2854">
        <f>HYPERLINK("https://raw.githubusercontent.com/marcosmapl/dataset_imigrantes/main/materias_filtered/g1/haitianos/2015/06_jul/txt/g1_b7028d98-22f5-11ed-b24f-6dbe51e79fca_1967.txt", "TXT")</f>
        <v/>
      </c>
    </row>
    <row r="2855">
      <c r="A2855" s="1" t="n">
        <v>2853</v>
      </c>
      <c r="B2855" t="n">
        <v>2015</v>
      </c>
      <c r="C2855" s="2" t="n">
        <v>42193.83541666667</v>
      </c>
      <c r="D2855" t="inlineStr">
        <is>
          <t>G1</t>
        </is>
      </c>
      <c r="E2855" t="inlineStr">
        <is>
          <t>HAITIANOS</t>
        </is>
      </c>
      <c r="F2855" t="inlineStr"/>
      <c r="G2855" t="inlineStr">
        <is>
          <t>1 PR, COM  INFORMAÇÕES DA RPC CASCAVEL</t>
        </is>
      </c>
      <c r="H2855" t="inlineStr">
        <is>
          <t>POLÍCIA INVESTIGA AGÊNCIA DE TURISMO SUSPEITA DE APLICAR GOLPE EM HAITIANOS</t>
        </is>
      </c>
      <c r="I2855" t="inlineStr"/>
      <c r="J2855" t="inlineStr">
        <is>
          <t>CASCAVEL</t>
        </is>
      </c>
      <c r="K2855" t="n">
        <v>1</v>
      </c>
      <c r="L2855" t="n">
        <v>4</v>
      </c>
      <c r="M2855" t="n">
        <v>0</v>
      </c>
      <c r="N2855" t="n">
        <v>0</v>
      </c>
      <c r="O2855" t="n">
        <v>12</v>
      </c>
      <c r="P2855">
        <f>HYPERLINK("http://g1.globo.com/pr/oeste-sudoeste/noticia/2015/07/policia-investiga-agencia-de-turismo-suspeita-de-aplicar-golpe-em-haitianos.html", "URL")</f>
        <v/>
      </c>
      <c r="Q2855">
        <f>HYPERLINK("https://raw.githubusercontent.com/marcosmapl/dataset_imigrantes/main/materias_filtered/g1/haitianos/2015/06_jul/html/g1_b3f161e4-22f3-11ed-b24f-6dbe51e79fca_1854.html", "HTML")</f>
        <v/>
      </c>
      <c r="R2855">
        <f>HYPERLINK("https://raw.githubusercontent.com/marcosmapl/dataset_imigrantes/main/materias_filtered/g1/haitianos/2015/06_jul/txt/g1_b3f161e4-22f3-11ed-b24f-6dbe51e79fca_1854.txt", "TXT")</f>
        <v/>
      </c>
    </row>
    <row r="2856">
      <c r="A2856" s="1" t="n">
        <v>2854</v>
      </c>
      <c r="B2856" t="n">
        <v>2015</v>
      </c>
      <c r="C2856" s="2" t="n">
        <v>42189.65</v>
      </c>
      <c r="D2856" t="inlineStr">
        <is>
          <t>G1</t>
        </is>
      </c>
      <c r="E2856" t="inlineStr">
        <is>
          <t>HAITIANOS</t>
        </is>
      </c>
      <c r="F2856" t="inlineStr"/>
      <c r="G2856" t="inlineStr">
        <is>
          <t xml:space="preserve"> RODRIGUESDO G1 AC</t>
        </is>
      </c>
      <c r="H2856" t="inlineStr">
        <is>
          <t>NO AC, JUSTIÇA ESTENDE PRAZO PARA UNIÃO PROVAR QUE ASSUMIU HAITIANOS</t>
        </is>
      </c>
      <c r="I2856" t="inlineStr"/>
      <c r="J2856" t="inlineStr">
        <is>
          <t>RIO BRANCO</t>
        </is>
      </c>
      <c r="K2856" t="n">
        <v>1</v>
      </c>
      <c r="L2856" t="n">
        <v>2</v>
      </c>
      <c r="M2856" t="n">
        <v>0</v>
      </c>
      <c r="N2856" t="n">
        <v>0</v>
      </c>
      <c r="O2856" t="n">
        <v>12</v>
      </c>
      <c r="P2856">
        <f>HYPERLINK("http://g1.globo.com/ac/acre/noticia/2015/07/no-ac-justica-estende-prazo-para-uniao-provar-que-assumiu-haitianos.html", "URL")</f>
        <v/>
      </c>
      <c r="Q2856">
        <f>HYPERLINK("https://raw.githubusercontent.com/marcosmapl/dataset_imigrantes/main/materias_filtered/g1/haitianos/2015/06_jul/html/g1_1bb6b2ac-22ea-11ed-b24f-6dbe51e79fca_1647.html", "HTML")</f>
        <v/>
      </c>
      <c r="R2856">
        <f>HYPERLINK("https://raw.githubusercontent.com/marcosmapl/dataset_imigrantes/main/materias_filtered/g1/haitianos/2015/06_jul/txt/g1_1bb6b2ac-22ea-11ed-b24f-6dbe51e79fca_1647.txt", "TXT")</f>
        <v/>
      </c>
    </row>
    <row r="2857">
      <c r="A2857" s="1" t="n">
        <v>2855</v>
      </c>
      <c r="B2857" t="n">
        <v>2015</v>
      </c>
      <c r="C2857" s="2" t="n">
        <v>42187.55555555555</v>
      </c>
      <c r="D2857" t="inlineStr">
        <is>
          <t>G1</t>
        </is>
      </c>
      <c r="E2857" t="inlineStr">
        <is>
          <t>HAITIANOS</t>
        </is>
      </c>
      <c r="F2857" t="inlineStr"/>
      <c r="G2857" t="inlineStr">
        <is>
          <t>E  NASCIMENTODO G1 AC</t>
        </is>
      </c>
      <c r="H2857" t="inlineStr">
        <is>
          <t>HAITIANA IMPROVISA PRATOS TÍPICOS DO HAITI PARA IMIGRANTES EM ABRIGO DO AC</t>
        </is>
      </c>
      <c r="I2857" t="inlineStr"/>
      <c r="J2857" t="inlineStr">
        <is>
          <t>BRASILÉIA, RIO BRANCO</t>
        </is>
      </c>
      <c r="K2857" t="n">
        <v>2</v>
      </c>
      <c r="L2857" t="n">
        <v>6</v>
      </c>
      <c r="M2857" t="n">
        <v>0</v>
      </c>
      <c r="N2857" t="n">
        <v>0</v>
      </c>
      <c r="O2857" t="n">
        <v>13</v>
      </c>
      <c r="P2857">
        <f>HYPERLINK("http://g1.globo.com/ac/acre/noticia/2015/07/haitiana-improvisa-pratos-tipicos-do-haiti-para-imigrantes-em-abrigo-do-ac.html", "URL")</f>
        <v/>
      </c>
      <c r="Q2857">
        <f>HYPERLINK("https://raw.githubusercontent.com/marcosmapl/dataset_imigrantes/main/materias_filtered/g1/haitianos/2015/06_jul/html/g1_7d1294fc-230e-11ed-b24f-6dbe51e79fca_2741.html", "HTML")</f>
        <v/>
      </c>
      <c r="R2857">
        <f>HYPERLINK("https://raw.githubusercontent.com/marcosmapl/dataset_imigrantes/main/materias_filtered/g1/haitianos/2015/06_jul/txt/g1_7d1294fc-230e-11ed-b24f-6dbe51e79fca_2741.txt", "TXT")</f>
        <v/>
      </c>
    </row>
    <row r="2858">
      <c r="A2858" s="1" t="n">
        <v>2856</v>
      </c>
      <c r="B2858" t="n">
        <v>2015</v>
      </c>
      <c r="C2858" s="2" t="n">
        <v>42186.23125</v>
      </c>
      <c r="D2858" t="inlineStr">
        <is>
          <t>G1</t>
        </is>
      </c>
      <c r="E2858" t="inlineStr">
        <is>
          <t>HAITIANOS</t>
        </is>
      </c>
      <c r="F2858" t="inlineStr"/>
      <c r="G2858" t="inlineStr">
        <is>
          <t>1 RS</t>
        </is>
      </c>
      <c r="H2858" t="inlineStr">
        <is>
          <t>MAIS SEIS IMIGRANTES HAITIANOS DESEMBARCAM EM PORTO ALEGRE</t>
        </is>
      </c>
      <c r="I2858" t="inlineStr"/>
      <c r="J2858" t="inlineStr">
        <is>
          <t>PORTO ALEGRE</t>
        </is>
      </c>
      <c r="K2858" t="n">
        <v>1</v>
      </c>
      <c r="L2858" t="n">
        <v>5</v>
      </c>
      <c r="M2858" t="n">
        <v>0</v>
      </c>
      <c r="N2858" t="n">
        <v>0</v>
      </c>
      <c r="O2858" t="n">
        <v>10</v>
      </c>
      <c r="P2858">
        <f>HYPERLINK("http://g1.globo.com/rs/rio-grande-do-sul/noticia/2015/07/mais-seis-imigrantes-haitianos-desembarcam-em-porto-alegre.html", "URL")</f>
        <v/>
      </c>
      <c r="Q2858">
        <f>HYPERLINK("https://raw.githubusercontent.com/marcosmapl/dataset_imigrantes/main/materias_filtered/g1/haitianos/2015/06_jul/html/g1_872ea4d8-22f2-11ed-b24f-6dbe51e79fca_1803.html", "HTML")</f>
        <v/>
      </c>
      <c r="R2858">
        <f>HYPERLINK("https://raw.githubusercontent.com/marcosmapl/dataset_imigrantes/main/materias_filtered/g1/haitianos/2015/06_jul/txt/g1_872ea4d8-22f2-11ed-b24f-6dbe51e79fca_1803.txt", "TXT")</f>
        <v/>
      </c>
    </row>
    <row r="2859">
      <c r="A2859" s="1" t="n">
        <v>2857</v>
      </c>
      <c r="B2859" t="n">
        <v>2015</v>
      </c>
      <c r="C2859" s="2" t="n">
        <v>42184.56111111111</v>
      </c>
      <c r="D2859" t="inlineStr">
        <is>
          <t>G1</t>
        </is>
      </c>
      <c r="E2859" t="inlineStr">
        <is>
          <t>HAITIANOS</t>
        </is>
      </c>
      <c r="F2859" t="inlineStr"/>
      <c r="G2859" t="inlineStr">
        <is>
          <t>OAN SANTIAGODO G1 AP</t>
        </is>
      </c>
      <c r="H2859" t="inlineStr">
        <is>
          <t>NO AP, HAITIANOS SÃO FLAGRADOS EM TRAVESSIA IRREGULAR PARA A GUIANA</t>
        </is>
      </c>
      <c r="I2859" t="inlineStr"/>
      <c r="J2859" t="inlineStr">
        <is>
          <t>OIAPOQUE, AMAPÁ, GUIANA FRANCESA</t>
        </is>
      </c>
      <c r="K2859" t="n">
        <v>3</v>
      </c>
      <c r="L2859" t="n">
        <v>7</v>
      </c>
      <c r="M2859" t="n">
        <v>0</v>
      </c>
      <c r="N2859" t="n">
        <v>0</v>
      </c>
      <c r="O2859" t="n">
        <v>16</v>
      </c>
      <c r="P2859">
        <f>HYPERLINK("http://g1.globo.com/ap/amapa/noticia/2015/06/no-ap-haitianos-sao-flagrados-em-travessia-irregular-para-guiana.html", "URL")</f>
        <v/>
      </c>
      <c r="Q2859">
        <f>HYPERLINK("https://raw.githubusercontent.com/marcosmapl/dataset_imigrantes/main/materias_filtered/g1/haitianos/2015/05_jun/html/g1_dcc52fba-22f3-11ed-b24f-6dbe51e79fca_1862.html", "HTML")</f>
        <v/>
      </c>
      <c r="R2859">
        <f>HYPERLINK("https://raw.githubusercontent.com/marcosmapl/dataset_imigrantes/main/materias_filtered/g1/haitianos/2015/05_jun/txt/g1_dcc52fba-22f3-11ed-b24f-6dbe51e79fca_1862.txt", "TXT")</f>
        <v/>
      </c>
    </row>
    <row r="2860">
      <c r="A2860" s="1" t="n">
        <v>2858</v>
      </c>
      <c r="B2860" t="n">
        <v>2015</v>
      </c>
      <c r="C2860" s="2" t="n">
        <v>42183.89652777778</v>
      </c>
      <c r="D2860" t="inlineStr">
        <is>
          <t>G1</t>
        </is>
      </c>
      <c r="E2860" t="inlineStr">
        <is>
          <t>HAITIANOS</t>
        </is>
      </c>
      <c r="F2860" t="inlineStr"/>
      <c r="G2860" t="inlineStr">
        <is>
          <t>1 SC</t>
        </is>
      </c>
      <c r="H2860" t="inlineStr">
        <is>
          <t>MAIS 27 HAITIANOS DESEMBARCAM EM FLORIANÓPOLIS NESTE DOMINGO</t>
        </is>
      </c>
      <c r="I2860" t="inlineStr"/>
      <c r="J2860" t="inlineStr">
        <is>
          <t>FLORIANÓPOLIS</t>
        </is>
      </c>
      <c r="K2860" t="n">
        <v>1</v>
      </c>
      <c r="L2860" t="n">
        <v>4</v>
      </c>
      <c r="M2860" t="n">
        <v>0</v>
      </c>
      <c r="N2860" t="n">
        <v>0</v>
      </c>
      <c r="O2860" t="n">
        <v>13</v>
      </c>
      <c r="P2860">
        <f>HYPERLINK("http://g1.globo.com/sc/santa-catarina/noticia/2015/06/mais-27-haitianos-desembarcam-em-florianopolis-neste-domingo.html", "URL")</f>
        <v/>
      </c>
      <c r="Q2860">
        <f>HYPERLINK("https://raw.githubusercontent.com/marcosmapl/dataset_imigrantes/main/materias_filtered/g1/haitianos/2015/05_jun/html/g1_e630ecde-22ed-11ed-b24f-6dbe51e79fca_1691.html", "HTML")</f>
        <v/>
      </c>
      <c r="R2860">
        <f>HYPERLINK("https://raw.githubusercontent.com/marcosmapl/dataset_imigrantes/main/materias_filtered/g1/haitianos/2015/05_jun/txt/g1_e630ecde-22ed-11ed-b24f-6dbe51e79fca_1691.txt", "TXT")</f>
        <v/>
      </c>
    </row>
    <row r="2861">
      <c r="A2861" s="1" t="n">
        <v>2859</v>
      </c>
      <c r="B2861" t="n">
        <v>2015</v>
      </c>
      <c r="C2861" s="2" t="n">
        <v>42183.62569444445</v>
      </c>
      <c r="D2861" t="inlineStr">
        <is>
          <t>G1</t>
        </is>
      </c>
      <c r="E2861" t="inlineStr">
        <is>
          <t>HAITIANOS</t>
        </is>
      </c>
      <c r="F2861" t="inlineStr"/>
      <c r="G2861" t="inlineStr">
        <is>
          <t>ANE LISBOADO G1 RS</t>
        </is>
      </c>
      <c r="H2861" t="inlineStr">
        <is>
          <t>ÔNIBUS COM 28 IMIGRANTES HAITIANOS CHEGA A PORTO ALEGRE</t>
        </is>
      </c>
      <c r="I2861" t="inlineStr"/>
      <c r="J2861" t="inlineStr">
        <is>
          <t>PASSO FUNDO, PORTO ALEGRE</t>
        </is>
      </c>
      <c r="K2861" t="n">
        <v>2</v>
      </c>
      <c r="L2861" t="n">
        <v>4</v>
      </c>
      <c r="M2861" t="n">
        <v>0</v>
      </c>
      <c r="N2861" t="n">
        <v>0</v>
      </c>
      <c r="O2861" t="n">
        <v>12</v>
      </c>
      <c r="P2861">
        <f>HYPERLINK("http://g1.globo.com/rs/rio-grande-do-sul/noticia/2015/06/onibus-com-28-haitianos-desembarca-em-porto-alegre.html", "URL")</f>
        <v/>
      </c>
      <c r="Q2861">
        <f>HYPERLINK("https://raw.githubusercontent.com/marcosmapl/dataset_imigrantes/main/materias_filtered/g1/haitianos/2015/05_jun/html/g1_b979506e-22f7-11ed-b24f-6dbe51e79fca_2092.html", "HTML")</f>
        <v/>
      </c>
      <c r="R2861">
        <f>HYPERLINK("https://raw.githubusercontent.com/marcosmapl/dataset_imigrantes/main/materias_filtered/g1/haitianos/2015/05_jun/txt/g1_b979506e-22f7-11ed-b24f-6dbe51e79fca_2092.txt", "TXT")</f>
        <v/>
      </c>
    </row>
    <row r="2862">
      <c r="A2862" s="1" t="n">
        <v>2860</v>
      </c>
      <c r="B2862" t="n">
        <v>2015</v>
      </c>
      <c r="C2862" s="2" t="n">
        <v>42182.94513888889</v>
      </c>
      <c r="D2862" t="inlineStr">
        <is>
          <t>G1</t>
        </is>
      </c>
      <c r="E2862" t="inlineStr">
        <is>
          <t>HAITIANOS</t>
        </is>
      </c>
      <c r="F2862" t="inlineStr"/>
      <c r="G2862" t="inlineStr">
        <is>
          <t>1 SC</t>
        </is>
      </c>
      <c r="H2862" t="inlineStr">
        <is>
          <t>NOVO GRUPO DE HAITIANOS VINDOS DO ACRE DESEMBARCA EM FLORIANÓPOLIS</t>
        </is>
      </c>
      <c r="I2862" t="inlineStr"/>
      <c r="J2862" t="inlineStr">
        <is>
          <t>FLORIANÓPOLIS</t>
        </is>
      </c>
      <c r="K2862" t="n">
        <v>1</v>
      </c>
      <c r="L2862" t="n">
        <v>3</v>
      </c>
      <c r="M2862" t="n">
        <v>0</v>
      </c>
      <c r="N2862" t="n">
        <v>0</v>
      </c>
      <c r="O2862" t="n">
        <v>12</v>
      </c>
      <c r="P2862">
        <f>HYPERLINK("http://g1.globo.com/sc/santa-catarina/noticia/2015/06/novo-grupo-de-haitianos-vindos-do-acre-desembarca-em-florianopolis.html", "URL")</f>
        <v/>
      </c>
      <c r="Q2862">
        <f>HYPERLINK("https://raw.githubusercontent.com/marcosmapl/dataset_imigrantes/main/materias_filtered/g1/haitianos/2015/05_jun/html/g1_f5e76eda-22f9-11ed-b24f-6dbe51e79fca_2193.html", "HTML")</f>
        <v/>
      </c>
      <c r="R2862">
        <f>HYPERLINK("https://raw.githubusercontent.com/marcosmapl/dataset_imigrantes/main/materias_filtered/g1/haitianos/2015/05_jun/txt/g1_f5e76eda-22f9-11ed-b24f-6dbe51e79fca_2193.txt", "TXT")</f>
        <v/>
      </c>
    </row>
    <row r="2863">
      <c r="A2863" s="1" t="n">
        <v>2861</v>
      </c>
      <c r="B2863" t="n">
        <v>2015</v>
      </c>
      <c r="C2863" s="2" t="n">
        <v>42181.72916666666</v>
      </c>
      <c r="D2863" t="inlineStr">
        <is>
          <t>G1</t>
        </is>
      </c>
      <c r="E2863" t="inlineStr">
        <is>
          <t>HAITIANOS</t>
        </is>
      </c>
      <c r="F2863" t="inlineStr"/>
      <c r="G2863" t="inlineStr">
        <is>
          <t>1 RS</t>
        </is>
      </c>
      <c r="H2863" t="inlineStr">
        <is>
          <t>PORTO ALEGRE DEVE RECEBER DOIS NOVOS ÔNIBUS COM HAITIANOS ATÉ DOMINGO</t>
        </is>
      </c>
      <c r="I2863" t="inlineStr"/>
      <c r="J2863" t="inlineStr"/>
      <c r="K2863" t="n">
        <v>0</v>
      </c>
      <c r="L2863" t="n">
        <v>1</v>
      </c>
      <c r="M2863" t="n">
        <v>0</v>
      </c>
      <c r="N2863" t="n">
        <v>0</v>
      </c>
      <c r="O2863" t="n">
        <v>8</v>
      </c>
      <c r="P2863">
        <f>HYPERLINK("http://g1.globo.com/rs/rio-grande-do-sul/noticia/2015/06/porto-alegre-deve-receber-dois-novos-onibus-com-haitianos-ate-domingo.html", "URL")</f>
        <v/>
      </c>
      <c r="Q2863">
        <f>HYPERLINK("https://raw.githubusercontent.com/marcosmapl/dataset_imigrantes/main/materias_filtered/g1/haitianos/2015/05_jun/html/g1_ba1caca2-22f5-11ed-b24f-6dbe51e79fca_1968.html", "HTML")</f>
        <v/>
      </c>
      <c r="R2863">
        <f>HYPERLINK("https://raw.githubusercontent.com/marcosmapl/dataset_imigrantes/main/materias_filtered/g1/haitianos/2015/05_jun/txt/g1_ba1caca2-22f5-11ed-b24f-6dbe51e79fca_1968.txt", "TXT")</f>
        <v/>
      </c>
    </row>
    <row r="2864">
      <c r="A2864" s="1" t="n">
        <v>2862</v>
      </c>
      <c r="B2864" t="n">
        <v>2015</v>
      </c>
      <c r="C2864" s="2" t="n">
        <v>42180.92430555556</v>
      </c>
      <c r="D2864" t="inlineStr">
        <is>
          <t>G1</t>
        </is>
      </c>
      <c r="E2864" t="inlineStr">
        <is>
          <t>HAITIANOS</t>
        </is>
      </c>
      <c r="F2864" t="inlineStr"/>
      <c r="G2864" t="inlineStr">
        <is>
          <t>RANCE PRESSE</t>
        </is>
      </c>
      <c r="H2864" t="inlineStr">
        <is>
          <t>GUARDA COSTEIRA DOS EUA REPATRIA 55 CUBANOS E 18 HAITIANOS</t>
        </is>
      </c>
      <c r="I2864" t="inlineStr"/>
      <c r="J2864" t="inlineStr">
        <is>
          <t>CUBA, ESTADOS UNIDOS, HAITI</t>
        </is>
      </c>
      <c r="K2864" t="n">
        <v>3</v>
      </c>
      <c r="L2864" t="n">
        <v>4</v>
      </c>
      <c r="M2864" t="n">
        <v>0</v>
      </c>
      <c r="N2864" t="n">
        <v>0</v>
      </c>
      <c r="O2864" t="n">
        <v>11</v>
      </c>
      <c r="P2864">
        <f>HYPERLINK("http://g1.globo.com/mundo/noticia/2015/06/guarda-costeira-dos-eua-repatria-55-cubanos-e-18-haitianos.html", "URL")</f>
        <v/>
      </c>
      <c r="Q2864">
        <f>HYPERLINK("https://raw.githubusercontent.com/marcosmapl/dataset_imigrantes/main/materias_filtered/g1/haitianos/2015/05_jun/html/g1_7a1a7658-22f4-11ed-b24f-6dbe51e79fca_1892.html", "HTML")</f>
        <v/>
      </c>
      <c r="R2864">
        <f>HYPERLINK("https://raw.githubusercontent.com/marcosmapl/dataset_imigrantes/main/materias_filtered/g1/haitianos/2015/05_jun/txt/g1_7a1a7658-22f4-11ed-b24f-6dbe51e79fca_1892.txt", "TXT")</f>
        <v/>
      </c>
    </row>
    <row r="2865">
      <c r="A2865" s="1" t="n">
        <v>2863</v>
      </c>
      <c r="B2865" t="n">
        <v>2015</v>
      </c>
      <c r="C2865" s="2" t="n">
        <v>42179.90625</v>
      </c>
      <c r="D2865" t="inlineStr">
        <is>
          <t>G1</t>
        </is>
      </c>
      <c r="E2865" t="inlineStr">
        <is>
          <t>HAITIANOS</t>
        </is>
      </c>
      <c r="F2865" t="inlineStr"/>
      <c r="G2865" t="inlineStr">
        <is>
          <t>1 SC</t>
        </is>
      </c>
      <c r="H2865" t="inlineStr">
        <is>
          <t>AO MENOS MAIS 10 HAITIANOS DEVEM CHEGAR EM SC ATÉ O FIM DE SEMANA</t>
        </is>
      </c>
      <c r="I2865" t="inlineStr"/>
      <c r="J2865" t="inlineStr">
        <is>
          <t>FLORIANÓPOLIS</t>
        </is>
      </c>
      <c r="K2865" t="n">
        <v>1</v>
      </c>
      <c r="L2865" t="n">
        <v>4</v>
      </c>
      <c r="M2865" t="n">
        <v>0</v>
      </c>
      <c r="N2865" t="n">
        <v>0</v>
      </c>
      <c r="O2865" t="n">
        <v>11</v>
      </c>
      <c r="P2865">
        <f>HYPERLINK("http://g1.globo.com/sc/santa-catarina/noticia/2015/06/pelo-menos-10-haitianos-devem-chegar-em-sc-ate-o-fim-de-semana.html", "URL")</f>
        <v/>
      </c>
      <c r="Q2865">
        <f>HYPERLINK("https://raw.githubusercontent.com/marcosmapl/dataset_imigrantes/main/materias_filtered/g1/haitianos/2015/05_jun/html/g1_5490c8c2-22f1-11ed-b24f-6dbe51e79fca_1744.html", "HTML")</f>
        <v/>
      </c>
      <c r="R2865">
        <f>HYPERLINK("https://raw.githubusercontent.com/marcosmapl/dataset_imigrantes/main/materias_filtered/g1/haitianos/2015/05_jun/txt/g1_5490c8c2-22f1-11ed-b24f-6dbe51e79fca_1744.txt", "TXT")</f>
        <v/>
      </c>
    </row>
    <row r="2866">
      <c r="A2866" s="1" t="n">
        <v>2864</v>
      </c>
      <c r="B2866" t="n">
        <v>2015</v>
      </c>
      <c r="C2866" s="2" t="n">
        <v>42179.50625</v>
      </c>
      <c r="D2866" t="inlineStr">
        <is>
          <t>G1</t>
        </is>
      </c>
      <c r="E2866" t="inlineStr">
        <is>
          <t>HAITIANOS</t>
        </is>
      </c>
      <c r="F2866" t="inlineStr"/>
      <c r="G2866" t="inlineStr">
        <is>
          <t>1 RS</t>
        </is>
      </c>
      <c r="H2866" t="inlineStr">
        <is>
          <t>MAIS HAITIANOS SÃO ESPERADOS EM PORTO ALEGRE NOS PRÓXIMOS DIAS</t>
        </is>
      </c>
      <c r="I2866" t="inlineStr"/>
      <c r="J2866" t="inlineStr">
        <is>
          <t>PORTO ALEGRE</t>
        </is>
      </c>
      <c r="K2866" t="n">
        <v>1</v>
      </c>
      <c r="L2866" t="n">
        <v>4</v>
      </c>
      <c r="M2866" t="n">
        <v>0</v>
      </c>
      <c r="N2866" t="n">
        <v>0</v>
      </c>
      <c r="O2866" t="n">
        <v>13</v>
      </c>
      <c r="P2866">
        <f>HYPERLINK("http://g1.globo.com/rs/rio-grande-do-sul/noticia/2015/06/mais-haitianos-sao-esperados-em-porto-alegre-nos-proximos-dias.html", "URL")</f>
        <v/>
      </c>
      <c r="Q2866">
        <f>HYPERLINK("https://raw.githubusercontent.com/marcosmapl/dataset_imigrantes/main/materias_filtered/g1/haitianos/2015/05_jun/html/g1_d3083548-22f9-11ed-b24f-6dbe51e79fca_2186.html", "HTML")</f>
        <v/>
      </c>
      <c r="R2866">
        <f>HYPERLINK("https://raw.githubusercontent.com/marcosmapl/dataset_imigrantes/main/materias_filtered/g1/haitianos/2015/05_jun/txt/g1_d3083548-22f9-11ed-b24f-6dbe51e79fca_2186.txt", "TXT")</f>
        <v/>
      </c>
    </row>
    <row r="2867">
      <c r="A2867" s="1" t="n">
        <v>2865</v>
      </c>
      <c r="B2867" t="n">
        <v>2015</v>
      </c>
      <c r="C2867" s="2" t="n">
        <v>42178.63958333333</v>
      </c>
      <c r="D2867" t="inlineStr">
        <is>
          <t>G1</t>
        </is>
      </c>
      <c r="E2867" t="inlineStr">
        <is>
          <t>HAITIANOS</t>
        </is>
      </c>
      <c r="F2867" t="inlineStr"/>
      <c r="G2867" t="inlineStr">
        <is>
          <t>1 SUL DE MINAS</t>
        </is>
      </c>
      <c r="H2867" t="inlineStr">
        <is>
          <t>HAITIANO MOBILIZA AMIGOS BRASILEIROS PARA TRAZER FAMÍLIA PARA PASSOS, MG</t>
        </is>
      </c>
      <c r="I2867" t="inlineStr"/>
      <c r="J2867" t="inlineStr"/>
      <c r="K2867" t="n">
        <v>0</v>
      </c>
      <c r="L2867" t="n">
        <v>1</v>
      </c>
      <c r="M2867" t="n">
        <v>0</v>
      </c>
      <c r="N2867" t="n">
        <v>0</v>
      </c>
      <c r="O2867" t="n">
        <v>5</v>
      </c>
      <c r="P2867">
        <f>HYPERLINK("http://g1.globo.com/mg/sul-de-minas/noticia/2015/06/haitiano-mobiliza-amigos-brasileiros-para-trazer-familia-para-passos-mg.html", "URL")</f>
        <v/>
      </c>
      <c r="Q2867">
        <f>HYPERLINK("https://raw.githubusercontent.com/marcosmapl/dataset_imigrantes/main/materias_filtered/g1/haitianos/2015/05_jun/html/g1_1ccc903a-2308-11ed-b24f-6dbe51e79fca_2365.html", "HTML")</f>
        <v/>
      </c>
      <c r="R2867">
        <f>HYPERLINK("https://raw.githubusercontent.com/marcosmapl/dataset_imigrantes/main/materias_filtered/g1/haitianos/2015/05_jun/txt/g1_1ccc903a-2308-11ed-b24f-6dbe51e79fca_2365.txt", "TXT")</f>
        <v/>
      </c>
    </row>
    <row r="2868">
      <c r="A2868" s="1" t="n">
        <v>2866</v>
      </c>
      <c r="B2868" t="n">
        <v>2015</v>
      </c>
      <c r="C2868" s="2" t="n">
        <v>42178.60972222222</v>
      </c>
      <c r="D2868" t="inlineStr">
        <is>
          <t>G1</t>
        </is>
      </c>
      <c r="E2868" t="inlineStr">
        <is>
          <t>HAITIANOS</t>
        </is>
      </c>
      <c r="F2868" t="inlineStr"/>
      <c r="G2868" t="inlineStr">
        <is>
          <t>1 SC</t>
        </is>
      </c>
      <c r="H2868" t="inlineStr">
        <is>
          <t>NOVA LEVA DE IMIGRANTES HAITIANOS DEVE CHEGAR A SC, DIZ GOVERNO</t>
        </is>
      </c>
      <c r="I2868" t="inlineStr"/>
      <c r="J2868" t="inlineStr"/>
      <c r="K2868" t="n">
        <v>0</v>
      </c>
      <c r="L2868" t="n">
        <v>0</v>
      </c>
      <c r="M2868" t="n">
        <v>0</v>
      </c>
      <c r="N2868" t="n">
        <v>0</v>
      </c>
      <c r="O2868" t="n">
        <v>14</v>
      </c>
      <c r="P2868">
        <f>HYPERLINK("http://g1.globo.com/sc/santa-catarina/noticia/2015/06/nova-leva-de-imigrantes-haitianos-deve-chegar-sc-diz-governo.html", "URL")</f>
        <v/>
      </c>
      <c r="Q2868">
        <f>HYPERLINK("https://raw.githubusercontent.com/marcosmapl/dataset_imigrantes/main/materias_filtered/g1/haitianos/2015/05_jun/html/g1_ccf98f42-22ec-11ed-b24f-6dbe51e79fca_1668.html", "HTML")</f>
        <v/>
      </c>
      <c r="R2868">
        <f>HYPERLINK("https://raw.githubusercontent.com/marcosmapl/dataset_imigrantes/main/materias_filtered/g1/haitianos/2015/05_jun/txt/g1_ccf98f42-22ec-11ed-b24f-6dbe51e79fca_1668.txt", "TXT")</f>
        <v/>
      </c>
    </row>
    <row r="2869">
      <c r="A2869" s="1" t="n">
        <v>2867</v>
      </c>
      <c r="B2869" t="n">
        <v>2015</v>
      </c>
      <c r="C2869" s="2" t="n">
        <v>42175.53263888889</v>
      </c>
      <c r="D2869" t="inlineStr">
        <is>
          <t>G1</t>
        </is>
      </c>
      <c r="E2869" t="inlineStr">
        <is>
          <t>HAITIANOS</t>
        </is>
      </c>
      <c r="F2869" t="inlineStr"/>
      <c r="G2869" t="inlineStr">
        <is>
          <t>1 SÃO PAULO</t>
        </is>
      </c>
      <c r="H2869" t="inlineStr">
        <is>
          <t>SP RECEBE NOVO GRUPO DE HAITIANOS VINDOS DO ACRE</t>
        </is>
      </c>
      <c r="I2869" t="inlineStr"/>
      <c r="J2869" t="inlineStr">
        <is>
          <t>BRASILÉIA, ACRE, MINISTÉRIO DA JUSTIÇA, EQUADOR, COLÔMBIA, SÃO PAULO</t>
        </is>
      </c>
      <c r="K2869" t="n">
        <v>6</v>
      </c>
      <c r="L2869" t="n">
        <v>5</v>
      </c>
      <c r="M2869" t="n">
        <v>0</v>
      </c>
      <c r="N2869" t="n">
        <v>0</v>
      </c>
      <c r="O2869" t="n">
        <v>18</v>
      </c>
      <c r="P2869">
        <f>HYPERLINK("http://g1.globo.com/sao-paulo/noticia/2015/06/sp-recebe-novo-grupo-de-haitianos-vindo-do-acre.html", "URL")</f>
        <v/>
      </c>
      <c r="Q2869">
        <f>HYPERLINK("https://raw.githubusercontent.com/marcosmapl/dataset_imigrantes/main/materias_filtered/g1/haitianos/2015/05_jun/html/g1_718f8b24-22f2-11ed-b24f-6dbe51e79fca_1798.html", "HTML")</f>
        <v/>
      </c>
      <c r="R2869">
        <f>HYPERLINK("https://raw.githubusercontent.com/marcosmapl/dataset_imigrantes/main/materias_filtered/g1/haitianos/2015/05_jun/txt/g1_718f8b24-22f2-11ed-b24f-6dbe51e79fca_1798.txt", "TXT")</f>
        <v/>
      </c>
    </row>
    <row r="2870">
      <c r="A2870" s="1" t="n">
        <v>2868</v>
      </c>
      <c r="B2870" t="n">
        <v>2015</v>
      </c>
      <c r="C2870" s="2" t="n">
        <v>42174.44652777778</v>
      </c>
      <c r="D2870" t="inlineStr">
        <is>
          <t>G1</t>
        </is>
      </c>
      <c r="E2870" t="inlineStr">
        <is>
          <t>HAITIANOS</t>
        </is>
      </c>
      <c r="F2870" t="inlineStr"/>
      <c r="G2870" t="inlineStr">
        <is>
          <t>1 SÃO PAULO</t>
        </is>
      </c>
      <c r="H2870" t="inlineStr">
        <is>
          <t>CERCA DE 900 HAITIANOS DEVEM CHEGAR A SP NOS PRÓXIMOS DOIS MESES</t>
        </is>
      </c>
      <c r="I2870" t="inlineStr"/>
      <c r="J2870" t="inlineStr">
        <is>
          <t>BRASILÉIA, ACRE, MINISTÉRIO DA JUSTIÇA, EQUADOR, COLÔMBIA, SÃO PAULO</t>
        </is>
      </c>
      <c r="K2870" t="n">
        <v>6</v>
      </c>
      <c r="L2870" t="n">
        <v>6</v>
      </c>
      <c r="M2870" t="n">
        <v>0</v>
      </c>
      <c r="N2870" t="n">
        <v>0</v>
      </c>
      <c r="O2870" t="n">
        <v>18</v>
      </c>
      <c r="P2870">
        <f>HYPERLINK("http://g1.globo.com/sao-paulo/noticia/2015/06/cerca-de-900-haitianos-devem-chegar-sp-nos-proximos-dois-meses.html", "URL")</f>
        <v/>
      </c>
      <c r="Q2870">
        <f>HYPERLINK("https://raw.githubusercontent.com/marcosmapl/dataset_imigrantes/main/materias_filtered/g1/haitianos/2015/05_jun/html/g1_6186e63c-22f7-11ed-b24f-6dbe51e79fca_2075.html", "HTML")</f>
        <v/>
      </c>
      <c r="R2870">
        <f>HYPERLINK("https://raw.githubusercontent.com/marcosmapl/dataset_imigrantes/main/materias_filtered/g1/haitianos/2015/05_jun/txt/g1_6186e63c-22f7-11ed-b24f-6dbe51e79fca_2075.txt", "TXT")</f>
        <v/>
      </c>
    </row>
    <row r="2871">
      <c r="A2871" s="1" t="n">
        <v>2869</v>
      </c>
      <c r="B2871" t="n">
        <v>2015</v>
      </c>
      <c r="C2871" s="2" t="n">
        <v>42171.94375</v>
      </c>
      <c r="D2871" t="inlineStr">
        <is>
          <t>G1</t>
        </is>
      </c>
      <c r="E2871" t="inlineStr">
        <is>
          <t>HAITIANOS</t>
        </is>
      </c>
      <c r="F2871" t="inlineStr"/>
      <c r="G2871" t="inlineStr">
        <is>
          <t>RANCE PRESSE</t>
        </is>
      </c>
      <c r="H2871" t="inlineStr">
        <is>
          <t>GUARDA COSTEIRA DOS EUA RESGATA 54 HAITIANOS DE BARCO SUPERLOTADO</t>
        </is>
      </c>
      <c r="I2871" t="inlineStr"/>
      <c r="J2871" t="inlineStr">
        <is>
          <t>ESTADOS UNIDOS, HAITI</t>
        </is>
      </c>
      <c r="K2871" t="n">
        <v>2</v>
      </c>
      <c r="L2871" t="n">
        <v>2</v>
      </c>
      <c r="M2871" t="n">
        <v>0</v>
      </c>
      <c r="N2871" t="n">
        <v>0</v>
      </c>
      <c r="O2871" t="n">
        <v>10</v>
      </c>
      <c r="P2871">
        <f>HYPERLINK("http://g1.globo.com/mundo/noticia/2015/06/guarda-costeira-dos-eua-resgata-54-haitianos-de-barco-superlotado.html", "URL")</f>
        <v/>
      </c>
      <c r="Q2871">
        <f>HYPERLINK("https://raw.githubusercontent.com/marcosmapl/dataset_imigrantes/main/materias_filtered/g1/haitianos/2015/05_jun/html/g1_e88fbe02-22f1-11ed-b24f-6dbe51e79fca_1770.html", "HTML")</f>
        <v/>
      </c>
      <c r="R2871">
        <f>HYPERLINK("https://raw.githubusercontent.com/marcosmapl/dataset_imigrantes/main/materias_filtered/g1/haitianos/2015/05_jun/txt/g1_e88fbe02-22f1-11ed-b24f-6dbe51e79fca_1770.txt", "TXT")</f>
        <v/>
      </c>
    </row>
    <row r="2872">
      <c r="A2872" s="1" t="n">
        <v>2870</v>
      </c>
      <c r="B2872" t="n">
        <v>2015</v>
      </c>
      <c r="C2872" s="2" t="n">
        <v>42170.81805555556</v>
      </c>
      <c r="D2872" t="inlineStr">
        <is>
          <t>G1</t>
        </is>
      </c>
      <c r="E2872" t="inlineStr">
        <is>
          <t>HAITIANOS</t>
        </is>
      </c>
      <c r="F2872" t="inlineStr"/>
      <c r="G2872" t="inlineStr">
        <is>
          <t>ANE STOCHERODO G1, EM SÃO PAULO</t>
        </is>
      </c>
      <c r="H2872" t="inlineStr">
        <is>
          <t>MILITAR DA TROPA DE ELITE DO EXÉRCITO BRASILEIRO É BALEADO NO HAITI</t>
        </is>
      </c>
      <c r="I2872" t="inlineStr"/>
      <c r="J2872" t="inlineStr">
        <is>
          <t>HAITI</t>
        </is>
      </c>
      <c r="K2872" t="n">
        <v>1</v>
      </c>
      <c r="L2872" t="n">
        <v>5</v>
      </c>
      <c r="M2872" t="n">
        <v>0</v>
      </c>
      <c r="N2872" t="n">
        <v>0</v>
      </c>
      <c r="O2872" t="n">
        <v>9</v>
      </c>
      <c r="P2872">
        <f>HYPERLINK("http://g1.globo.com/mundo/noticia/2015/06/militar-da-tropa-de-elite-do-exercito-brasileiro-e-baleado-no-haiti.html", "URL")</f>
        <v/>
      </c>
      <c r="Q2872">
        <f>HYPERLINK("https://raw.githubusercontent.com/marcosmapl/dataset_imigrantes/main/materias_filtered/g1/haitianos/2015/05_jun/html/g1_d6dd75de-231c-11ed-b24f-6dbe51e79fca_3468.html", "HTML")</f>
        <v/>
      </c>
      <c r="R2872">
        <f>HYPERLINK("https://raw.githubusercontent.com/marcosmapl/dataset_imigrantes/main/materias_filtered/g1/haitianos/2015/05_jun/txt/g1_d6dd75de-231c-11ed-b24f-6dbe51e79fca_3468.txt", "TXT")</f>
        <v/>
      </c>
    </row>
    <row r="2873">
      <c r="A2873" s="1" t="n">
        <v>2871</v>
      </c>
      <c r="B2873" t="n">
        <v>2015</v>
      </c>
      <c r="C2873" s="2" t="n">
        <v>42167.29513888889</v>
      </c>
      <c r="D2873" t="inlineStr">
        <is>
          <t>G1</t>
        </is>
      </c>
      <c r="E2873" t="inlineStr">
        <is>
          <t>HAITIANOS</t>
        </is>
      </c>
      <c r="F2873" t="inlineStr"/>
      <c r="G2873" t="inlineStr">
        <is>
          <t>PE TRUDADO G1 RS, EM CANOAS</t>
        </is>
      </c>
      <c r="H2873" t="inlineStr">
        <is>
          <t>'O BRASIL É BOM PARA MIM', DIZ HAITIANO HOSTILIZADO EM VÍDEO NO RS</t>
        </is>
      </c>
      <c r="I2873" t="inlineStr"/>
      <c r="J2873" t="inlineStr">
        <is>
          <t>CANOAS</t>
        </is>
      </c>
      <c r="K2873" t="n">
        <v>1</v>
      </c>
      <c r="L2873" t="n">
        <v>7</v>
      </c>
      <c r="M2873" t="n">
        <v>0</v>
      </c>
      <c r="N2873" t="n">
        <v>0</v>
      </c>
      <c r="O2873" t="n">
        <v>11</v>
      </c>
      <c r="P2873">
        <f>HYPERLINK("http://g1.globo.com/rs/rio-grande-do-sul/noticia/2015/06/o-brasil-e-bom-para-mim-diz-haitiano-hostilizado-em-video-no-rs.html", "URL")</f>
        <v/>
      </c>
      <c r="Q2873">
        <f>HYPERLINK("https://raw.githubusercontent.com/marcosmapl/dataset_imigrantes/main/materias_filtered/g1/haitianos/2015/05_jun/html/g1_f2093240-2325-11ed-b24f-6dbe51e79fca_3944.html", "HTML")</f>
        <v/>
      </c>
      <c r="R2873">
        <f>HYPERLINK("https://raw.githubusercontent.com/marcosmapl/dataset_imigrantes/main/materias_filtered/g1/haitianos/2015/05_jun/txt/g1_f2093240-2325-11ed-b24f-6dbe51e79fca_3944.txt", "TXT")</f>
        <v/>
      </c>
    </row>
    <row r="2874">
      <c r="A2874" s="1" t="n">
        <v>2872</v>
      </c>
      <c r="B2874" t="n">
        <v>2015</v>
      </c>
      <c r="C2874" s="2" t="n">
        <v>42166.65763888889</v>
      </c>
      <c r="D2874" t="inlineStr">
        <is>
          <t>G1</t>
        </is>
      </c>
      <c r="E2874" t="inlineStr">
        <is>
          <t>HAITIANOS</t>
        </is>
      </c>
      <c r="F2874" t="inlineStr"/>
      <c r="G2874" t="inlineStr">
        <is>
          <t>RANCE PRESSE</t>
        </is>
      </c>
      <c r="H2874" t="inlineStr">
        <is>
          <t>RELATÓRIO DIZ QUE CASOS DE EXPLORAÇÃO SEXUAL POR SOLDADOS SÃO FREQUENTES</t>
        </is>
      </c>
      <c r="I2874" t="inlineStr"/>
      <c r="J2874" t="inlineStr">
        <is>
          <t>HAITI, LIBÉRIA, ONU</t>
        </is>
      </c>
      <c r="K2874" t="n">
        <v>3</v>
      </c>
      <c r="L2874" t="n">
        <v>2</v>
      </c>
      <c r="M2874" t="n">
        <v>0</v>
      </c>
      <c r="N2874" t="n">
        <v>0</v>
      </c>
      <c r="O2874" t="n">
        <v>7</v>
      </c>
      <c r="P2874">
        <f>HYPERLINK("http://g1.globo.com/mundo/noticia/2015/06/relatorio-diz-que-casos-de-exploracao-sexual-por-soldados-sao-frequentes.html", "URL")</f>
        <v/>
      </c>
      <c r="Q2874">
        <f>HYPERLINK("https://raw.githubusercontent.com/marcosmapl/dataset_imigrantes/main/materias_filtered/g1/haitianos/2015/05_jun/html/g1_61fd8f6a-2312-11ed-b24f-6dbe51e79fca_2964.html", "HTML")</f>
        <v/>
      </c>
      <c r="R2874">
        <f>HYPERLINK("https://raw.githubusercontent.com/marcosmapl/dataset_imigrantes/main/materias_filtered/g1/haitianos/2015/05_jun/txt/g1_61fd8f6a-2312-11ed-b24f-6dbe51e79fca_2964.txt", "TXT")</f>
        <v/>
      </c>
    </row>
    <row r="2875">
      <c r="A2875" s="1" t="n">
        <v>2873</v>
      </c>
      <c r="B2875" t="n">
        <v>2015</v>
      </c>
      <c r="C2875" s="2" t="n">
        <v>42163.87916666667</v>
      </c>
      <c r="D2875" t="inlineStr">
        <is>
          <t>G1</t>
        </is>
      </c>
      <c r="E2875" t="inlineStr">
        <is>
          <t>HAITIANOS</t>
        </is>
      </c>
      <c r="F2875" t="inlineStr"/>
      <c r="G2875" t="inlineStr">
        <is>
          <t>ELLA FRAGADO G1 RS</t>
        </is>
      </c>
      <c r="H2875" t="inlineStr">
        <is>
          <t>'É UM DELITO GRAVE', DIZ POLICIAL QUE FEZ BO SOBRE VÍDEO DE HAITIANO NO RS</t>
        </is>
      </c>
      <c r="I2875" t="inlineStr"/>
      <c r="J2875" t="inlineStr">
        <is>
          <t>CANOAS</t>
        </is>
      </c>
      <c r="K2875" t="n">
        <v>1</v>
      </c>
      <c r="L2875" t="n">
        <v>4</v>
      </c>
      <c r="M2875" t="n">
        <v>0</v>
      </c>
      <c r="N2875" t="n">
        <v>0</v>
      </c>
      <c r="O2875" t="n">
        <v>11</v>
      </c>
      <c r="P2875">
        <f>HYPERLINK("http://g1.globo.com/rs/rio-grande-do-sul/noticia/2015/06/e-um-delito-grave-diz-policial-que-fez-bo-sobre-video-de-haitiano-no-rs.html", "URL")</f>
        <v/>
      </c>
      <c r="Q2875">
        <f>HYPERLINK("https://raw.githubusercontent.com/marcosmapl/dataset_imigrantes/main/materias_filtered/g1/haitianos/2015/05_jun/html/g1_e456b29c-2313-11ed-b24f-6dbe51e79fca_3033.html", "HTML")</f>
        <v/>
      </c>
      <c r="R2875">
        <f>HYPERLINK("https://raw.githubusercontent.com/marcosmapl/dataset_imigrantes/main/materias_filtered/g1/haitianos/2015/05_jun/txt/g1_e456b29c-2313-11ed-b24f-6dbe51e79fca_3033.txt", "TXT")</f>
        <v/>
      </c>
    </row>
    <row r="2876">
      <c r="A2876" s="1" t="n">
        <v>2874</v>
      </c>
      <c r="B2876" t="n">
        <v>2015</v>
      </c>
      <c r="C2876" s="2" t="n">
        <v>42163.72361111111</v>
      </c>
      <c r="D2876" t="inlineStr">
        <is>
          <t>G1</t>
        </is>
      </c>
      <c r="E2876" t="inlineStr">
        <is>
          <t>HAITIANOS</t>
        </is>
      </c>
      <c r="F2876" t="inlineStr"/>
      <c r="G2876" t="inlineStr">
        <is>
          <t>1 RS</t>
        </is>
      </c>
      <c r="H2876" t="inlineStr">
        <is>
          <t>POLÍCIA VAI INVESTIGAR CASO DE HOMEM QUE IRONIZOU HAITIANO EM VÍDEO NO RS</t>
        </is>
      </c>
      <c r="I2876" t="inlineStr"/>
      <c r="J2876" t="inlineStr">
        <is>
          <t>CANOAS</t>
        </is>
      </c>
      <c r="K2876" t="n">
        <v>1</v>
      </c>
      <c r="L2876" t="n">
        <v>3</v>
      </c>
      <c r="M2876" t="n">
        <v>0</v>
      </c>
      <c r="N2876" t="n">
        <v>0</v>
      </c>
      <c r="O2876" t="n">
        <v>10</v>
      </c>
      <c r="P2876">
        <f>HYPERLINK("http://g1.globo.com/rs/rio-grande-do-sul/noticia/2015/06/policia-vai-investigar-caso-de-homem-que-ironizou-haitiano-em-video-no-rs.html", "URL")</f>
        <v/>
      </c>
      <c r="Q2876">
        <f>HYPERLINK("https://raw.githubusercontent.com/marcosmapl/dataset_imigrantes/main/materias_filtered/g1/haitianos/2015/05_jun/html/g1_62033e82-2313-11ed-b24f-6dbe51e79fca_3008.html", "HTML")</f>
        <v/>
      </c>
      <c r="R2876">
        <f>HYPERLINK("https://raw.githubusercontent.com/marcosmapl/dataset_imigrantes/main/materias_filtered/g1/haitianos/2015/05_jun/txt/g1_62033e82-2313-11ed-b24f-6dbe51e79fca_3008.txt", "TXT")</f>
        <v/>
      </c>
    </row>
    <row r="2877">
      <c r="A2877" s="1" t="n">
        <v>2875</v>
      </c>
      <c r="B2877" t="n">
        <v>2015</v>
      </c>
      <c r="C2877" s="2" t="n">
        <v>42163.60416666666</v>
      </c>
      <c r="D2877" t="inlineStr">
        <is>
          <t>G1</t>
        </is>
      </c>
      <c r="E2877" t="inlineStr">
        <is>
          <t>HAITIANOS</t>
        </is>
      </c>
      <c r="F2877" t="inlineStr"/>
      <c r="G2877" t="inlineStr">
        <is>
          <t>1 SC</t>
        </is>
      </c>
      <c r="H2877" t="inlineStr">
        <is>
          <t>DEBATE DISCUTE OS DESAFIOS DA IMIGRAÇÃO HAITIANA EM SANTA CATARINA</t>
        </is>
      </c>
      <c r="I2877" t="inlineStr"/>
      <c r="J2877" t="inlineStr"/>
      <c r="K2877" t="n">
        <v>0</v>
      </c>
      <c r="L2877" t="n">
        <v>2</v>
      </c>
      <c r="M2877" t="n">
        <v>0</v>
      </c>
      <c r="N2877" t="n">
        <v>0</v>
      </c>
      <c r="O2877" t="n">
        <v>5</v>
      </c>
      <c r="P2877">
        <f>HYPERLINK("http://g1.globo.com/sc/santa-catarina/noticia/2015/06/debate-discute-os-desafios-da-imigracao-haitiana-em-santa-catarina.html", "URL")</f>
        <v/>
      </c>
      <c r="Q2877">
        <f>HYPERLINK("https://raw.githubusercontent.com/marcosmapl/dataset_imigrantes/main/materias_filtered/g1/haitianos/2015/05_jun/html/g1_e12e15cc-2315-11ed-b24f-6dbe51e79fca_3112.html", "HTML")</f>
        <v/>
      </c>
      <c r="R2877">
        <f>HYPERLINK("https://raw.githubusercontent.com/marcosmapl/dataset_imigrantes/main/materias_filtered/g1/haitianos/2015/05_jun/txt/g1_e12e15cc-2315-11ed-b24f-6dbe51e79fca_3112.txt", "TXT")</f>
        <v/>
      </c>
    </row>
    <row r="2878">
      <c r="A2878" s="1" t="n">
        <v>2876</v>
      </c>
      <c r="B2878" t="n">
        <v>2015</v>
      </c>
      <c r="C2878" s="2" t="n">
        <v>42160.83055555556</v>
      </c>
      <c r="D2878" t="inlineStr">
        <is>
          <t>G1</t>
        </is>
      </c>
      <c r="E2878" t="inlineStr">
        <is>
          <t>HAITIANOS</t>
        </is>
      </c>
      <c r="F2878" t="inlineStr"/>
      <c r="G2878" t="inlineStr">
        <is>
          <t xml:space="preserve"> MARCELDO G1 AC</t>
        </is>
      </c>
      <c r="H2878" t="inlineStr">
        <is>
          <t>UNIÃO TERÁ 15 DIAS PARA ASSUMIR HAITIANOS QUE ENTRAM NO PAÍS PELO AC</t>
        </is>
      </c>
      <c r="I2878" t="inlineStr"/>
      <c r="J2878" t="inlineStr">
        <is>
          <t>BRASILÉIA, EPITACIOLÂNDIA, RIO BRANCO, GOVERNO FEDERAL, HAITI, MINISTÉRIO DA JUSTIÇA</t>
        </is>
      </c>
      <c r="K2878" t="n">
        <v>6</v>
      </c>
      <c r="L2878" t="n">
        <v>6</v>
      </c>
      <c r="M2878" t="n">
        <v>0</v>
      </c>
      <c r="N2878" t="n">
        <v>0</v>
      </c>
      <c r="O2878" t="n">
        <v>22</v>
      </c>
      <c r="P2878">
        <f>HYPERLINK("http://g1.globo.com/ac/acre/noticia/2015/06/justica-da-15-dias-para-que-uniao-assuma-haitianos-que-entram-no-pais.html", "URL")</f>
        <v/>
      </c>
      <c r="Q2878">
        <f>HYPERLINK("https://raw.githubusercontent.com/marcosmapl/dataset_imigrantes/main/materias_filtered/g1/haitianos/2015/05_jun/html/g1_0defb8cc-22ee-11ed-b24f-6dbe51e79fca_1697.html", "HTML")</f>
        <v/>
      </c>
      <c r="R2878">
        <f>HYPERLINK("https://raw.githubusercontent.com/marcosmapl/dataset_imigrantes/main/materias_filtered/g1/haitianos/2015/05_jun/txt/g1_0defb8cc-22ee-11ed-b24f-6dbe51e79fca_1697.txt", "TXT")</f>
        <v/>
      </c>
    </row>
    <row r="2879">
      <c r="A2879" s="1" t="n">
        <v>2877</v>
      </c>
      <c r="B2879" t="n">
        <v>2015</v>
      </c>
      <c r="C2879" s="2" t="n">
        <v>42159.56666666667</v>
      </c>
      <c r="D2879" t="inlineStr">
        <is>
          <t>G1</t>
        </is>
      </c>
      <c r="E2879" t="inlineStr">
        <is>
          <t>HAITIANOS</t>
        </is>
      </c>
      <c r="F2879" t="inlineStr"/>
      <c r="G2879" t="inlineStr">
        <is>
          <t>N RAMALHODO G1, EM BRASÍLIA</t>
        </is>
      </c>
      <c r="H2879" t="inlineStr">
        <is>
          <t>GOVERNO VAI AUMENTAR VISTOS PARA HAITIANOS VIREM AO BRASIL, DIZ MINISTRO</t>
        </is>
      </c>
      <c r="I2879" t="inlineStr"/>
      <c r="J2879" t="inlineStr"/>
      <c r="K2879" t="n">
        <v>0</v>
      </c>
      <c r="L2879" t="n">
        <v>0</v>
      </c>
      <c r="M2879" t="n">
        <v>0</v>
      </c>
      <c r="N2879" t="n">
        <v>0</v>
      </c>
      <c r="O2879" t="n">
        <v>7</v>
      </c>
      <c r="P2879">
        <f>HYPERLINK("http://g1.globo.com/politica/noticia/2015/06/governo-vai-aumentar-vistos-para-haitianos-virem-ao-brasil-diz-ministro.html", "URL")</f>
        <v/>
      </c>
      <c r="Q2879">
        <f>HYPERLINK("https://raw.githubusercontent.com/marcosmapl/dataset_imigrantes/main/materias_filtered/g1/haitianos/2015/05_jun/html/g1_a38a549e-22f5-11ed-b24f-6dbe51e79fca_1964.html", "HTML")</f>
        <v/>
      </c>
      <c r="R2879">
        <f>HYPERLINK("https://raw.githubusercontent.com/marcosmapl/dataset_imigrantes/main/materias_filtered/g1/haitianos/2015/05_jun/txt/g1_a38a549e-22f5-11ed-b24f-6dbe51e79fca_1964.txt", "TXT")</f>
        <v/>
      </c>
    </row>
    <row r="2880">
      <c r="A2880" s="1" t="n">
        <v>2878</v>
      </c>
      <c r="B2880" t="n">
        <v>2015</v>
      </c>
      <c r="C2880" s="2" t="n">
        <v>42158.84097222222</v>
      </c>
      <c r="D2880" t="inlineStr">
        <is>
          <t>G1</t>
        </is>
      </c>
      <c r="E2880" t="inlineStr">
        <is>
          <t>HAITIANOS</t>
        </is>
      </c>
      <c r="F2880" t="inlineStr"/>
      <c r="G2880" t="inlineStr">
        <is>
          <t>PE TRUDADO G1 RS</t>
        </is>
      </c>
      <c r="H2880" t="inlineStr">
        <is>
          <t>HOMEM ABORDA FRENTISTA HAITIANO, CITA DESEMPREGO NO PAÍS E IRONIZA: 'SORTE'</t>
        </is>
      </c>
      <c r="I2880" t="inlineStr"/>
      <c r="J2880" t="inlineStr">
        <is>
          <t>CANOAS</t>
        </is>
      </c>
      <c r="K2880" t="n">
        <v>1</v>
      </c>
      <c r="L2880" t="n">
        <v>3</v>
      </c>
      <c r="M2880" t="n">
        <v>0</v>
      </c>
      <c r="N2880" t="n">
        <v>0</v>
      </c>
      <c r="O2880" t="n">
        <v>19</v>
      </c>
      <c r="P2880">
        <f>HYPERLINK("http://g1.globo.com/rs/rio-grande-do-sul/noticia/2015/06/homem-aborda-frentista-haitiano-cita-desemprego-no-pais-e-ironiza-sorte.html", "URL")</f>
        <v/>
      </c>
      <c r="Q2880">
        <f>HYPERLINK("https://raw.githubusercontent.com/marcosmapl/dataset_imigrantes/main/materias_filtered/g1/haitianos/2015/05_jun/html/g1_6d86437c-232b-11ed-b24f-6dbe51e79fca_4245.html", "HTML")</f>
        <v/>
      </c>
      <c r="R2880">
        <f>HYPERLINK("https://raw.githubusercontent.com/marcosmapl/dataset_imigrantes/main/materias_filtered/g1/haitianos/2015/05_jun/txt/g1_6d86437c-232b-11ed-b24f-6dbe51e79fca_4245.txt", "TXT")</f>
        <v/>
      </c>
    </row>
    <row r="2881">
      <c r="A2881" s="1" t="n">
        <v>2879</v>
      </c>
      <c r="B2881" t="n">
        <v>2015</v>
      </c>
      <c r="C2881" s="2" t="n">
        <v>42158.42916666667</v>
      </c>
      <c r="D2881" t="inlineStr">
        <is>
          <t>G1</t>
        </is>
      </c>
      <c r="E2881" t="inlineStr">
        <is>
          <t>HAITIANOS</t>
        </is>
      </c>
      <c r="F2881" t="inlineStr"/>
      <c r="G2881" t="inlineStr">
        <is>
          <t>1 GO</t>
        </is>
      </c>
      <c r="H2881" t="inlineStr">
        <is>
          <t>MOTORISTA QUE ATROPELOU HAITIANOS DIZ À POLÍCIA QUE FUGIU POR MEDO, EM GO</t>
        </is>
      </c>
      <c r="I2881" t="inlineStr"/>
      <c r="J2881" t="inlineStr">
        <is>
          <t>ANÁPOLIS</t>
        </is>
      </c>
      <c r="K2881" t="n">
        <v>1</v>
      </c>
      <c r="L2881" t="n">
        <v>5</v>
      </c>
      <c r="M2881" t="n">
        <v>0</v>
      </c>
      <c r="N2881" t="n">
        <v>0</v>
      </c>
      <c r="O2881" t="n">
        <v>11</v>
      </c>
      <c r="P2881">
        <f>HYPERLINK("http://g1.globo.com/goias/noticia/2015/06/motorista-que-atropelou-haitianos-diz-policia-que-fugiu-por-medo-em-go.html", "URL")</f>
        <v/>
      </c>
      <c r="Q2881">
        <f>HYPERLINK("https://raw.githubusercontent.com/marcosmapl/dataset_imigrantes/main/materias_filtered/g1/haitianos/2015/05_jun/html/g1_ea4ce5f4-22f0-11ed-b24f-6dbe51e79fca_1726.html", "HTML")</f>
        <v/>
      </c>
      <c r="R2881">
        <f>HYPERLINK("https://raw.githubusercontent.com/marcosmapl/dataset_imigrantes/main/materias_filtered/g1/haitianos/2015/05_jun/txt/g1_ea4ce5f4-22f0-11ed-b24f-6dbe51e79fca_1726.txt", "TXT")</f>
        <v/>
      </c>
    </row>
    <row r="2882">
      <c r="A2882" s="1" t="n">
        <v>2880</v>
      </c>
      <c r="B2882" t="n">
        <v>2015</v>
      </c>
      <c r="C2882" s="2" t="n">
        <v>42157.69097222222</v>
      </c>
      <c r="D2882" t="inlineStr">
        <is>
          <t>G1</t>
        </is>
      </c>
      <c r="E2882" t="inlineStr">
        <is>
          <t>HAITIANOS</t>
        </is>
      </c>
      <c r="F2882" t="inlineStr"/>
      <c r="G2882" t="inlineStr">
        <is>
          <t>1, EM BRASÍLIA</t>
        </is>
      </c>
      <c r="H2882" t="inlineStr">
        <is>
          <t>BRASIL NEGOCIA AÇÃO CONTRA IMIGRAÇÃO ILEGAL DE HAITIANOS, DIZ CARDOZO</t>
        </is>
      </c>
      <c r="I2882" t="inlineStr"/>
      <c r="J2882" t="inlineStr"/>
      <c r="K2882" t="n">
        <v>0</v>
      </c>
      <c r="L2882" t="n">
        <v>0</v>
      </c>
      <c r="M2882" t="n">
        <v>0</v>
      </c>
      <c r="N2882" t="n">
        <v>0</v>
      </c>
      <c r="O2882" t="n">
        <v>8</v>
      </c>
      <c r="P2882">
        <f>HYPERLINK("http://g1.globo.com/politica/noticia/2015/06/brasil-negocia-acao-contra-imigracao-ilegal-de-haitianos-diz-cardozo.html", "URL")</f>
        <v/>
      </c>
      <c r="Q2882">
        <f>HYPERLINK("https://raw.githubusercontent.com/marcosmapl/dataset_imigrantes/main/materias_filtered/g1/haitianos/2015/05_jun/html/g1_d2c8096a-22f3-11ed-b24f-6dbe51e79fca_1859.html", "HTML")</f>
        <v/>
      </c>
      <c r="R2882">
        <f>HYPERLINK("https://raw.githubusercontent.com/marcosmapl/dataset_imigrantes/main/materias_filtered/g1/haitianos/2015/05_jun/txt/g1_d2c8096a-22f3-11ed-b24f-6dbe51e79fca_1859.txt", "TXT")</f>
        <v/>
      </c>
    </row>
    <row r="2883">
      <c r="A2883" s="1" t="n">
        <v>2881</v>
      </c>
      <c r="B2883" t="n">
        <v>2015</v>
      </c>
      <c r="C2883" s="2" t="n">
        <v>42157.47291666667</v>
      </c>
      <c r="D2883" t="inlineStr">
        <is>
          <t>G1</t>
        </is>
      </c>
      <c r="E2883" t="inlineStr">
        <is>
          <t>HAITIANOS</t>
        </is>
      </c>
      <c r="F2883" t="inlineStr"/>
      <c r="G2883" t="inlineStr">
        <is>
          <t>AR LEITEDA RBS TV</t>
        </is>
      </c>
      <c r="H2883" t="inlineStr">
        <is>
          <t>MAIS UM IMIGRANTE HAITIANO DESEMBARCA EM PORTO ALEGRE</t>
        </is>
      </c>
      <c r="I2883" t="inlineStr"/>
      <c r="J2883" t="inlineStr">
        <is>
          <t>CAXIAS DO SUL, PORTO ALEGRE</t>
        </is>
      </c>
      <c r="K2883" t="n">
        <v>2</v>
      </c>
      <c r="L2883" t="n">
        <v>4</v>
      </c>
      <c r="M2883" t="n">
        <v>0</v>
      </c>
      <c r="N2883" t="n">
        <v>0</v>
      </c>
      <c r="O2883" t="n">
        <v>13</v>
      </c>
      <c r="P2883">
        <f>HYPERLINK("http://g1.globo.com/rs/rio-grande-do-sul/noticia/2015/06/mais-um-imigrante-haitiano-desembarca-em-porto-alegre.html", "URL")</f>
        <v/>
      </c>
      <c r="Q2883">
        <f>HYPERLINK("https://raw.githubusercontent.com/marcosmapl/dataset_imigrantes/main/materias_filtered/g1/haitianos/2015/05_jun/html/g1_30fc7d0a-22f8-11ed-b24f-6dbe51e79fca_2120.html", "HTML")</f>
        <v/>
      </c>
      <c r="R2883">
        <f>HYPERLINK("https://raw.githubusercontent.com/marcosmapl/dataset_imigrantes/main/materias_filtered/g1/haitianos/2015/05_jun/txt/g1_30fc7d0a-22f8-11ed-b24f-6dbe51e79fca_2120.txt", "TXT")</f>
        <v/>
      </c>
    </row>
    <row r="2884">
      <c r="A2884" s="1" t="n">
        <v>2882</v>
      </c>
      <c r="B2884" t="n">
        <v>2015</v>
      </c>
      <c r="C2884" s="2" t="n">
        <v>42157.44861111111</v>
      </c>
      <c r="D2884" t="inlineStr">
        <is>
          <t>G1</t>
        </is>
      </c>
      <c r="E2884" t="inlineStr">
        <is>
          <t>HAITIANOS</t>
        </is>
      </c>
      <c r="F2884" t="inlineStr"/>
      <c r="G2884" t="inlineStr">
        <is>
          <t>1 GO</t>
        </is>
      </c>
      <c r="H2884" t="inlineStr">
        <is>
          <t>POLÍCIA IDENTIFICA MOTORISTA QUE ATROPELOU QUATRO HAITIANOS EM GOIÁS</t>
        </is>
      </c>
      <c r="I2884" t="inlineStr"/>
      <c r="J2884" t="inlineStr">
        <is>
          <t>ANÁPOLIS</t>
        </is>
      </c>
      <c r="K2884" t="n">
        <v>1</v>
      </c>
      <c r="L2884" t="n">
        <v>5</v>
      </c>
      <c r="M2884" t="n">
        <v>0</v>
      </c>
      <c r="N2884" t="n">
        <v>0</v>
      </c>
      <c r="O2884" t="n">
        <v>10</v>
      </c>
      <c r="P2884">
        <f>HYPERLINK("http://g1.globo.com/goias/noticia/2015/06/policia-identifica-motorista-que-atropelou-quatro-haitianos-em-goias.html", "URL")</f>
        <v/>
      </c>
      <c r="Q2884">
        <f>HYPERLINK("https://raw.githubusercontent.com/marcosmapl/dataset_imigrantes/main/materias_filtered/g1/haitianos/2015/05_jun/html/g1_93667296-22f5-11ed-b24f-6dbe51e79fca_1959.html", "HTML")</f>
        <v/>
      </c>
      <c r="R2884">
        <f>HYPERLINK("https://raw.githubusercontent.com/marcosmapl/dataset_imigrantes/main/materias_filtered/g1/haitianos/2015/05_jun/txt/g1_93667296-22f5-11ed-b24f-6dbe51e79fca_1959.txt", "TXT")</f>
        <v/>
      </c>
    </row>
    <row r="2885">
      <c r="A2885" s="1" t="n">
        <v>2883</v>
      </c>
      <c r="B2885" t="n">
        <v>2015</v>
      </c>
      <c r="C2885" s="2" t="n">
        <v>42156.39583333334</v>
      </c>
      <c r="D2885" t="inlineStr">
        <is>
          <t>G1</t>
        </is>
      </c>
      <c r="E2885" t="inlineStr">
        <is>
          <t>HAITIANOS</t>
        </is>
      </c>
      <c r="F2885" t="inlineStr"/>
      <c r="G2885" t="inlineStr">
        <is>
          <t xml:space="preserve"> MARCELDO G1 AC</t>
        </is>
      </c>
      <c r="H2885" t="inlineStr">
        <is>
          <t>HAITIANO VOLTA AO ACRE PARA SER TRADUTOR VOLUNTÁRIO EM ABRIGO</t>
        </is>
      </c>
      <c r="I2885" t="inlineStr"/>
      <c r="J2885" t="inlineStr">
        <is>
          <t>RIO BRANCO, HAITI</t>
        </is>
      </c>
      <c r="K2885" t="n">
        <v>2</v>
      </c>
      <c r="L2885" t="n">
        <v>6</v>
      </c>
      <c r="M2885" t="n">
        <v>0</v>
      </c>
      <c r="N2885" t="n">
        <v>0</v>
      </c>
      <c r="O2885" t="n">
        <v>17</v>
      </c>
      <c r="P2885">
        <f>HYPERLINK("http://g1.globo.com/ac/acre/noticia/2015/06/haitiano-volta-ao-acre-para-ser-tradutor-voluntario-em-abrigo.html", "URL")</f>
        <v/>
      </c>
      <c r="Q2885">
        <f>HYPERLINK("https://raw.githubusercontent.com/marcosmapl/dataset_imigrantes/main/materias_filtered/g1/haitianos/2015/05_jun/html/g1_5366a706-2327-11ed-b24f-6dbe51e79fca_4028.html", "HTML")</f>
        <v/>
      </c>
      <c r="R2885">
        <f>HYPERLINK("https://raw.githubusercontent.com/marcosmapl/dataset_imigrantes/main/materias_filtered/g1/haitianos/2015/05_jun/txt/g1_5366a706-2327-11ed-b24f-6dbe51e79fca_4028.txt", "TXT")</f>
        <v/>
      </c>
    </row>
    <row r="2886">
      <c r="A2886" s="1" t="n">
        <v>2884</v>
      </c>
      <c r="B2886" t="n">
        <v>2015</v>
      </c>
      <c r="C2886" s="2" t="n">
        <v>42155.91666666666</v>
      </c>
      <c r="D2886" t="inlineStr">
        <is>
          <t>G1</t>
        </is>
      </c>
      <c r="E2886" t="inlineStr">
        <is>
          <t>HAITIANOS</t>
        </is>
      </c>
      <c r="F2886" t="inlineStr"/>
      <c r="G2886" t="inlineStr">
        <is>
          <t>1 GO</t>
        </is>
      </c>
      <c r="H2886" t="inlineStr">
        <is>
          <t>HAITIANO MORRE E OUTROS 3 FICAM FERIDOS APÓS ATROPELAMENTO EM GOIÁS</t>
        </is>
      </c>
      <c r="I2886" t="inlineStr"/>
      <c r="J2886" t="inlineStr">
        <is>
          <t>ANÁPOLIS</t>
        </is>
      </c>
      <c r="K2886" t="n">
        <v>1</v>
      </c>
      <c r="L2886" t="n">
        <v>3</v>
      </c>
      <c r="M2886" t="n">
        <v>0</v>
      </c>
      <c r="N2886" t="n">
        <v>0</v>
      </c>
      <c r="O2886" t="n">
        <v>13</v>
      </c>
      <c r="P2886">
        <f>HYPERLINK("http://g1.globo.com/goias/transito/noticia/2015/05/haitiano-morre-e-outros-3-ficam-feridos-apos-atropelamento-em-goias.html", "URL")</f>
        <v/>
      </c>
      <c r="Q2886">
        <f>HYPERLINK("https://raw.githubusercontent.com/marcosmapl/dataset_imigrantes/main/materias_filtered/g1/haitianos/2015/04_mai/html/g1_d7e80d94-22f5-11ed-b24f-6dbe51e79fca_1975.html", "HTML")</f>
        <v/>
      </c>
      <c r="R2886">
        <f>HYPERLINK("https://raw.githubusercontent.com/marcosmapl/dataset_imigrantes/main/materias_filtered/g1/haitianos/2015/04_mai/txt/g1_d7e80d94-22f5-11ed-b24f-6dbe51e79fca_1975.txt", "TXT")</f>
        <v/>
      </c>
    </row>
    <row r="2887">
      <c r="A2887" s="1" t="n">
        <v>2885</v>
      </c>
      <c r="B2887" t="n">
        <v>2015</v>
      </c>
      <c r="C2887" s="2" t="n">
        <v>42155.40069444444</v>
      </c>
      <c r="D2887" t="inlineStr">
        <is>
          <t>G1</t>
        </is>
      </c>
      <c r="E2887" t="inlineStr">
        <is>
          <t>HAITIANOS</t>
        </is>
      </c>
      <c r="F2887" t="inlineStr"/>
      <c r="G2887" t="inlineStr">
        <is>
          <t>AR LEITE
DA RBS TV</t>
        </is>
      </c>
      <c r="H2887" t="inlineStr">
        <is>
          <t>MAIS NOVE IMIGRANTES HAITIANOS DESEMBARCAM EM PORTO ALEGRE</t>
        </is>
      </c>
      <c r="I2887" t="inlineStr"/>
      <c r="J2887" t="inlineStr"/>
      <c r="K2887" t="n">
        <v>0</v>
      </c>
      <c r="L2887" t="n">
        <v>1</v>
      </c>
      <c r="M2887" t="n">
        <v>0</v>
      </c>
      <c r="N2887" t="n">
        <v>0</v>
      </c>
      <c r="O2887" t="n">
        <v>6</v>
      </c>
      <c r="P2887">
        <f>HYPERLINK("http://g1.globo.com/rs/rio-grande-do-sul/noticia/2015/05/mais-nove-imigrantes-haitianos-desembarcam-porto-alegre.html", "URL")</f>
        <v/>
      </c>
      <c r="Q2887">
        <f>HYPERLINK("https://raw.githubusercontent.com/marcosmapl/dataset_imigrantes/main/materias_filtered/g1/haitianos/2015/04_mai/html/g1_67bdcbd8-22f7-11ed-b24f-6dbe51e79fca_2077.html", "HTML")</f>
        <v/>
      </c>
      <c r="R2887">
        <f>HYPERLINK("https://raw.githubusercontent.com/marcosmapl/dataset_imigrantes/main/materias_filtered/g1/haitianos/2015/04_mai/txt/g1_67bdcbd8-22f7-11ed-b24f-6dbe51e79fca_2077.txt", "TXT")</f>
        <v/>
      </c>
    </row>
    <row r="2888">
      <c r="A2888" s="1" t="n">
        <v>2886</v>
      </c>
      <c r="B2888" t="n">
        <v>2015</v>
      </c>
      <c r="C2888" s="2" t="n">
        <v>42154.42986111111</v>
      </c>
      <c r="D2888" t="inlineStr">
        <is>
          <t>G1</t>
        </is>
      </c>
      <c r="E2888" t="inlineStr">
        <is>
          <t>HAITIANOS</t>
        </is>
      </c>
      <c r="F2888" t="inlineStr"/>
      <c r="G2888" t="inlineStr">
        <is>
          <t>1 SC</t>
        </is>
      </c>
      <c r="H2888" t="inlineStr">
        <is>
          <t>HAITIANOS, IDOSO RESGATADO DE TRATOR... VEJA MAIS LIDAS DA SEMANA NO G1 SC</t>
        </is>
      </c>
      <c r="I2888" t="inlineStr"/>
      <c r="J2888" t="inlineStr"/>
      <c r="K2888" t="n">
        <v>0</v>
      </c>
      <c r="L2888" t="n">
        <v>3</v>
      </c>
      <c r="M2888" t="n">
        <v>0</v>
      </c>
      <c r="N2888" t="n">
        <v>0</v>
      </c>
      <c r="O2888" t="n">
        <v>12</v>
      </c>
      <c r="P2888">
        <f>HYPERLINK("http://g1.globo.com/sc/santa-catarina/noticia/2015/05/haitianos-idoso-resgatado-de-trator-veja-mais-lidas-da-semana-no-g1-sc.html", "URL")</f>
        <v/>
      </c>
      <c r="Q2888">
        <f>HYPERLINK("https://raw.githubusercontent.com/marcosmapl/dataset_imigrantes/main/materias_filtered/g1/haitianos/2015/04_mai/html/g1_9658d19c-22f5-11ed-b24f-6dbe51e79fca_1960.html", "HTML")</f>
        <v/>
      </c>
      <c r="R2888">
        <f>HYPERLINK("https://raw.githubusercontent.com/marcosmapl/dataset_imigrantes/main/materias_filtered/g1/haitianos/2015/04_mai/txt/g1_9658d19c-22f5-11ed-b24f-6dbe51e79fca_1960.txt", "TXT")</f>
        <v/>
      </c>
    </row>
    <row r="2889">
      <c r="A2889" s="1" t="n">
        <v>2887</v>
      </c>
      <c r="B2889" t="n">
        <v>2015</v>
      </c>
      <c r="C2889" s="2" t="n">
        <v>42153.50833333333</v>
      </c>
      <c r="D2889" t="inlineStr">
        <is>
          <t>G1</t>
        </is>
      </c>
      <c r="E2889" t="inlineStr">
        <is>
          <t>HAITIANOS</t>
        </is>
      </c>
      <c r="F2889" t="inlineStr"/>
      <c r="G2889" t="inlineStr">
        <is>
          <t>1 ITAPETININGA E REGIÃO</t>
        </is>
      </c>
      <c r="H2889" t="inlineStr">
        <is>
          <t>HAITIANOS VINDOS DO AC DIZEM LEVAR 'CALOTE' APÓS DEMISSÃO EM LAVOURA</t>
        </is>
      </c>
      <c r="I2889" t="inlineStr"/>
      <c r="J2889" t="inlineStr">
        <is>
          <t>CERQUEIRA CÉSAR, SÃO PAULO</t>
        </is>
      </c>
      <c r="K2889" t="n">
        <v>2</v>
      </c>
      <c r="L2889" t="n">
        <v>5</v>
      </c>
      <c r="M2889" t="n">
        <v>0</v>
      </c>
      <c r="N2889" t="n">
        <v>0</v>
      </c>
      <c r="O2889" t="n">
        <v>11</v>
      </c>
      <c r="P2889">
        <f>HYPERLINK("http://g1.globo.com/sao-paulo/itapetininga-regiao/noticia/2015/05/haitianos-do-ac-dizem-levar-calote-apos-demissao-em-lavoura-de-laranja.html", "URL")</f>
        <v/>
      </c>
      <c r="Q2889">
        <f>HYPERLINK("https://raw.githubusercontent.com/marcosmapl/dataset_imigrantes/main/materias_filtered/g1/haitianos/2015/04_mai/html/g1_c7728dcc-22fa-11ed-b24f-6dbe51e79fca_2240.html", "HTML")</f>
        <v/>
      </c>
      <c r="R2889">
        <f>HYPERLINK("https://raw.githubusercontent.com/marcosmapl/dataset_imigrantes/main/materias_filtered/g1/haitianos/2015/04_mai/txt/g1_c7728dcc-22fa-11ed-b24f-6dbe51e79fca_2240.txt", "TXT")</f>
        <v/>
      </c>
    </row>
    <row r="2890">
      <c r="A2890" s="1" t="n">
        <v>2888</v>
      </c>
      <c r="B2890" t="n">
        <v>2015</v>
      </c>
      <c r="C2890" s="2" t="n">
        <v>42152.55625</v>
      </c>
      <c r="D2890" t="inlineStr">
        <is>
          <t>G1</t>
        </is>
      </c>
      <c r="E2890" t="inlineStr">
        <is>
          <t>HAITIANOS</t>
        </is>
      </c>
      <c r="F2890" t="inlineStr"/>
      <c r="G2890" t="inlineStr">
        <is>
          <t>1 SC</t>
        </is>
      </c>
      <c r="H2890" t="inlineStr">
        <is>
          <t>MAIS UM ÔNIBUS COM HAITIANOS CHEGA A FLORIANÓPOLIS NESTA QUINTA-FEIRA</t>
        </is>
      </c>
      <c r="I2890" t="inlineStr"/>
      <c r="J2890" t="inlineStr">
        <is>
          <t>FLORIANÓPOLIS</t>
        </is>
      </c>
      <c r="K2890" t="n">
        <v>1</v>
      </c>
      <c r="L2890" t="n">
        <v>7</v>
      </c>
      <c r="M2890" t="n">
        <v>0</v>
      </c>
      <c r="N2890" t="n">
        <v>0</v>
      </c>
      <c r="O2890" t="n">
        <v>16</v>
      </c>
      <c r="P2890">
        <f>HYPERLINK("http://g1.globo.com/sc/santa-catarina/noticia/2015/05/mais-um-onibus-com-haitianos-chega-florianopolis-nesta-quinta-feira.html", "URL")</f>
        <v/>
      </c>
      <c r="Q2890">
        <f>HYPERLINK("https://raw.githubusercontent.com/marcosmapl/dataset_imigrantes/main/materias_filtered/g1/haitianos/2015/04_mai/html/g1_5f18f114-22f3-11ed-b24f-6dbe51e79fca_1838.html", "HTML")</f>
        <v/>
      </c>
      <c r="R2890">
        <f>HYPERLINK("https://raw.githubusercontent.com/marcosmapl/dataset_imigrantes/main/materias_filtered/g1/haitianos/2015/04_mai/txt/g1_5f18f114-22f3-11ed-b24f-6dbe51e79fca_1838.txt", "TXT")</f>
        <v/>
      </c>
    </row>
    <row r="2891">
      <c r="A2891" s="1" t="n">
        <v>2889</v>
      </c>
      <c r="B2891" t="n">
        <v>2015</v>
      </c>
      <c r="C2891" s="2" t="n">
        <v>42151.97418981481</v>
      </c>
      <c r="D2891" t="inlineStr">
        <is>
          <t>A CRITICA</t>
        </is>
      </c>
      <c r="E2891" t="inlineStr">
        <is>
          <t>VENEZUELANOS</t>
        </is>
      </c>
      <c r="F2891" t="inlineStr"/>
      <c r="G2891" t="inlineStr">
        <is>
          <t>ACRITICA.COM*</t>
        </is>
      </c>
      <c r="H2891" t="inlineStr">
        <is>
          <t>'ESSA DROGA FOI POSTA PRA DIFAMAR MEU FILHO', AFIRMA MÃE DE PILOTO DE AVIÃO DERRUBADO NA VENEZUELA</t>
        </is>
      </c>
      <c r="I2891" t="inlineStr">
        <is>
          <t>AVIÃO COM DOIS AMAZONENSES A BORDO FOI ABATIDO PELA FORÇA AÉREA VENEZUELANA, DA FORÇA ARMADA NACIONAL BOLIVARIANA (FANB), NA MADRUGADA DO DOMINGO (24)</t>
        </is>
      </c>
      <c r="J2891" t="inlineStr"/>
      <c r="K2891" t="n">
        <v>0</v>
      </c>
      <c r="L2891" t="n">
        <v>1</v>
      </c>
      <c r="M2891" t="n">
        <v>0</v>
      </c>
      <c r="N2891" t="n">
        <v>0</v>
      </c>
      <c r="O2891" t="n">
        <v>2</v>
      </c>
      <c r="P2891">
        <f>HYPERLINK("https://www.acritica.com/essa-droga-foi-posta-pra-difamar-meu-filho-afirma-m-e-de-piloto-de-avi-o-derrubado-na-venezuela-1.244406", "URL")</f>
        <v/>
      </c>
      <c r="Q2891">
        <f>HYPERLINK("https://raw.githubusercontent.com/marcosmapl/dataset_imigrantes/main/materias_filtered/a_critica/venezuelanos/2015/04_mai/html/1.244406_369.html", "HTML")</f>
        <v/>
      </c>
      <c r="R2891">
        <f>HYPERLINK("https://raw.githubusercontent.com/marcosmapl/dataset_imigrantes/main/materias_filtered/a_critica/venezuelanos/2015/04_mai/txt/1.244406_369.txt", "TXT")</f>
        <v/>
      </c>
    </row>
    <row r="2892">
      <c r="A2892" s="1" t="n">
        <v>2890</v>
      </c>
      <c r="B2892" t="n">
        <v>2015</v>
      </c>
      <c r="C2892" s="2" t="n">
        <v>42151.87302083334</v>
      </c>
      <c r="D2892" t="inlineStr">
        <is>
          <t>A CRITICA</t>
        </is>
      </c>
      <c r="E2892" t="inlineStr">
        <is>
          <t>VENEZUELANOS</t>
        </is>
      </c>
      <c r="F2892" t="inlineStr"/>
      <c r="G2892" t="inlineStr">
        <is>
          <t>VICTOR AFFONSO</t>
        </is>
      </c>
      <c r="H2892" t="inlineStr">
        <is>
          <t>AVIÃO COM DOIS AMAZONENSES A BORDO E MAIS DE 600 TABLETES DE COCAÍNA É ABATIDO NA VENEZUELA</t>
        </is>
      </c>
      <c r="I2892" t="inlineStr">
        <is>
          <t>AERONAVE BIMOTOR DA EMBRAER FOI DETECTADA PELOS RADARES DA FORÇA ARMADA NACIONAL BOLIVARIANA E TENTOU FUGIR, MAS CHEGOU A SER ABATIDA POR CAÇAS VENEZUELANOS HORAS DEPOIS. ENTRE OS DESTROÇOS, ESTAVAM DOCUMENTOS PESSOAIS DOS MORTOS, DINHEIRO EM TRÊS MOEDAS DIFERENTES E MUITA DROGA</t>
        </is>
      </c>
      <c r="J2892" t="inlineStr"/>
      <c r="K2892" t="n">
        <v>0</v>
      </c>
      <c r="L2892" t="n">
        <v>1</v>
      </c>
      <c r="M2892" t="n">
        <v>0</v>
      </c>
      <c r="N2892" t="n">
        <v>0</v>
      </c>
      <c r="O2892" t="n">
        <v>2</v>
      </c>
      <c r="P2892">
        <f>HYPERLINK("https://www.acritica.com/avi-o-com-dois-amazonenses-a-bordo-e-mais-de-600-tabletes-de-cocaina-e-abatido-na-venezuela-1.244420", "URL")</f>
        <v/>
      </c>
      <c r="Q2892">
        <f>HYPERLINK("https://raw.githubusercontent.com/marcosmapl/dataset_imigrantes/main/materias_filtered/a_critica/venezuelanos/2015/04_mai/html/1.244420_1051.html", "HTML")</f>
        <v/>
      </c>
      <c r="R2892">
        <f>HYPERLINK("https://raw.githubusercontent.com/marcosmapl/dataset_imigrantes/main/materias_filtered/a_critica/venezuelanos/2015/04_mai/txt/1.244420_1051.txt", "TXT")</f>
        <v/>
      </c>
    </row>
    <row r="2893">
      <c r="A2893" s="1" t="n">
        <v>2891</v>
      </c>
      <c r="B2893" t="n">
        <v>2015</v>
      </c>
      <c r="C2893" s="2" t="n">
        <v>42150.57361111111</v>
      </c>
      <c r="D2893" t="inlineStr">
        <is>
          <t>G1</t>
        </is>
      </c>
      <c r="E2893" t="inlineStr">
        <is>
          <t>HAITIANOS</t>
        </is>
      </c>
      <c r="F2893" t="inlineStr"/>
      <c r="G2893" t="inlineStr">
        <is>
          <t xml:space="preserve"> FULGÊNCIODO G1 AC</t>
        </is>
      </c>
      <c r="H2893" t="inlineStr">
        <is>
          <t>LARGURA DE CANELA É REQUISITO PARA HAITIANO TER EMPREGO NO PAÍS, DIZ MPT</t>
        </is>
      </c>
      <c r="I2893" t="inlineStr"/>
      <c r="J2893" t="inlineStr">
        <is>
          <t>RIO BRANCO, HAITI</t>
        </is>
      </c>
      <c r="K2893" t="n">
        <v>2</v>
      </c>
      <c r="L2893" t="n">
        <v>5</v>
      </c>
      <c r="M2893" t="n">
        <v>0</v>
      </c>
      <c r="N2893" t="n">
        <v>0</v>
      </c>
      <c r="O2893" t="n">
        <v>16</v>
      </c>
      <c r="P2893">
        <f>HYPERLINK("http://g1.globo.com/ac/acre/noticia/2015/05/largura-de-canela-e-requisito-para-haitiano-conseguir-emprego-no-brasil.html", "URL")</f>
        <v/>
      </c>
      <c r="Q2893">
        <f>HYPERLINK("https://raw.githubusercontent.com/marcosmapl/dataset_imigrantes/main/materias_filtered/g1/haitianos/2015/04_mai/html/g1_edd90178-232a-11ed-b24f-6dbe51e79fca_4211.html", "HTML")</f>
        <v/>
      </c>
      <c r="R2893">
        <f>HYPERLINK("https://raw.githubusercontent.com/marcosmapl/dataset_imigrantes/main/materias_filtered/g1/haitianos/2015/04_mai/txt/g1_edd90178-232a-11ed-b24f-6dbe51e79fca_4211.txt", "TXT")</f>
        <v/>
      </c>
    </row>
    <row r="2894">
      <c r="A2894" s="1" t="n">
        <v>2892</v>
      </c>
      <c r="B2894" t="n">
        <v>2015</v>
      </c>
      <c r="C2894" s="2" t="n">
        <v>42150.49583333333</v>
      </c>
      <c r="D2894" t="inlineStr">
        <is>
          <t>G1</t>
        </is>
      </c>
      <c r="E2894" t="inlineStr">
        <is>
          <t>HAITIANOS</t>
        </is>
      </c>
      <c r="F2894" t="inlineStr"/>
      <c r="G2894" t="inlineStr">
        <is>
          <t>1 SC</t>
        </is>
      </c>
      <c r="H2894" t="inlineStr">
        <is>
          <t>HAITIANOS SEGUEM INTERNADOS COM SINTOMAS DE GRIPE EM FLORIANÓPOLIS</t>
        </is>
      </c>
      <c r="I2894" t="inlineStr"/>
      <c r="J2894" t="inlineStr">
        <is>
          <t>FLORIANÓPOLIS</t>
        </is>
      </c>
      <c r="K2894" t="n">
        <v>1</v>
      </c>
      <c r="L2894" t="n">
        <v>5</v>
      </c>
      <c r="M2894" t="n">
        <v>0</v>
      </c>
      <c r="N2894" t="n">
        <v>0</v>
      </c>
      <c r="O2894" t="n">
        <v>15</v>
      </c>
      <c r="P2894">
        <f>HYPERLINK("http://g1.globo.com/sc/santa-catarina/noticia/2015/05/haitianos-seguem-internados-com-sintomas-de-gripe-em-florianopolis.html", "URL")</f>
        <v/>
      </c>
      <c r="Q2894">
        <f>HYPERLINK("https://raw.githubusercontent.com/marcosmapl/dataset_imigrantes/main/materias_filtered/g1/haitianos/2015/04_mai/html/g1_a77af330-22f3-11ed-b24f-6dbe51e79fca_1851.html", "HTML")</f>
        <v/>
      </c>
      <c r="R2894">
        <f>HYPERLINK("https://raw.githubusercontent.com/marcosmapl/dataset_imigrantes/main/materias_filtered/g1/haitianos/2015/04_mai/txt/g1_a77af330-22f3-11ed-b24f-6dbe51e79fca_1851.txt", "TXT")</f>
        <v/>
      </c>
    </row>
    <row r="2895">
      <c r="A2895" s="1" t="n">
        <v>2893</v>
      </c>
      <c r="B2895" t="n">
        <v>2015</v>
      </c>
      <c r="C2895" s="2" t="n">
        <v>42150.49444444444</v>
      </c>
      <c r="D2895" t="inlineStr">
        <is>
          <t>G1</t>
        </is>
      </c>
      <c r="E2895" t="inlineStr">
        <is>
          <t>HAITIANOS</t>
        </is>
      </c>
      <c r="F2895" t="inlineStr"/>
      <c r="G2895" t="inlineStr">
        <is>
          <t>1 PR</t>
        </is>
      </c>
      <c r="H2895" t="inlineStr">
        <is>
          <t>HAITIANOS QUE SAÍRAM DE ABRIGO SUPERLOTADO NO ACRE CHEGAM AO PR</t>
        </is>
      </c>
      <c r="I2895" t="inlineStr"/>
      <c r="J2895" t="inlineStr">
        <is>
          <t>PARANÁ, CUIABÁ, CURITIBA, PIRAQUARA, PORTO ALEGRE, FLORIANÓPOLIS</t>
        </is>
      </c>
      <c r="K2895" t="n">
        <v>6</v>
      </c>
      <c r="L2895" t="n">
        <v>4</v>
      </c>
      <c r="M2895" t="n">
        <v>0</v>
      </c>
      <c r="N2895" t="n">
        <v>0</v>
      </c>
      <c r="O2895" t="n">
        <v>20</v>
      </c>
      <c r="P2895">
        <f>HYPERLINK("http://g1.globo.com/pr/parana/noticia/2015/05/haitianos-que-sairam-de-abrigo-superlotado-no-acre-chegam-ao-pr.html", "URL")</f>
        <v/>
      </c>
      <c r="Q2895">
        <f>HYPERLINK("https://raw.githubusercontent.com/marcosmapl/dataset_imigrantes/main/materias_filtered/g1/haitianos/2015/04_mai/html/g1_6d80fdac-22f1-11ed-b24f-6dbe51e79fca_1750.html", "HTML")</f>
        <v/>
      </c>
      <c r="R2895">
        <f>HYPERLINK("https://raw.githubusercontent.com/marcosmapl/dataset_imigrantes/main/materias_filtered/g1/haitianos/2015/04_mai/txt/g1_6d80fdac-22f1-11ed-b24f-6dbe51e79fca_1750.txt", "TXT")</f>
        <v/>
      </c>
    </row>
    <row r="2896">
      <c r="A2896" s="1" t="n">
        <v>2894</v>
      </c>
      <c r="B2896" t="n">
        <v>2015</v>
      </c>
      <c r="C2896" s="2" t="n">
        <v>42150.23888888889</v>
      </c>
      <c r="D2896" t="inlineStr">
        <is>
          <t>G1</t>
        </is>
      </c>
      <c r="E2896" t="inlineStr">
        <is>
          <t>HAITIANOS</t>
        </is>
      </c>
      <c r="F2896" t="inlineStr"/>
      <c r="G2896" t="inlineStr">
        <is>
          <t>1 RS</t>
        </is>
      </c>
      <c r="H2896" t="inlineStr">
        <is>
          <t>IMIGRANTES HAITIANOS E SENEGALESES DESEMBARCAM EM PORTO ALEGRE</t>
        </is>
      </c>
      <c r="I2896" t="inlineStr"/>
      <c r="J2896" t="inlineStr">
        <is>
          <t>RIO BRANCO, CAXIAS DO SUL, PASSO FUNDO, PORTO ALEGRE</t>
        </is>
      </c>
      <c r="K2896" t="n">
        <v>4</v>
      </c>
      <c r="L2896" t="n">
        <v>5</v>
      </c>
      <c r="M2896" t="n">
        <v>0</v>
      </c>
      <c r="N2896" t="n">
        <v>0</v>
      </c>
      <c r="O2896" t="n">
        <v>13</v>
      </c>
      <c r="P2896">
        <f>HYPERLINK("http://g1.globo.com/rs/rio-grande-do-sul/noticia/2015/05/imigrantes-haitianos-e-senegaleses-desembarcam-em-porto-alegre.html", "URL")</f>
        <v/>
      </c>
      <c r="Q2896">
        <f>HYPERLINK("https://raw.githubusercontent.com/marcosmapl/dataset_imigrantes/main/materias_filtered/g1/haitianos/2015/04_mai/html/g1_b7a0d1e4-22f8-11ed-b24f-6dbe51e79fca_2153.html", "HTML")</f>
        <v/>
      </c>
      <c r="R2896">
        <f>HYPERLINK("https://raw.githubusercontent.com/marcosmapl/dataset_imigrantes/main/materias_filtered/g1/haitianos/2015/04_mai/txt/g1_b7a0d1e4-22f8-11ed-b24f-6dbe51e79fca_2153.txt", "TXT")</f>
        <v/>
      </c>
    </row>
    <row r="2897">
      <c r="A2897" s="1" t="n">
        <v>2895</v>
      </c>
      <c r="B2897" t="n">
        <v>2015</v>
      </c>
      <c r="C2897" s="2" t="n">
        <v>42149.84930555556</v>
      </c>
      <c r="D2897" t="inlineStr">
        <is>
          <t>G1</t>
        </is>
      </c>
      <c r="E2897" t="inlineStr">
        <is>
          <t>HAITIANOS</t>
        </is>
      </c>
      <c r="F2897" t="inlineStr"/>
      <c r="G2897" t="inlineStr">
        <is>
          <t xml:space="preserve"> MARCELDO G1 AC</t>
        </is>
      </c>
      <c r="H2897" t="inlineStr">
        <is>
          <t>MPT QUER QUE UNIÃO ASSUMA HAITIANOS E PAGUE INDENIZAÇÃO DE R$ 50 MI</t>
        </is>
      </c>
      <c r="I2897" t="inlineStr"/>
      <c r="J2897" t="inlineStr">
        <is>
          <t>RIO BRANCO, HAITI</t>
        </is>
      </c>
      <c r="K2897" t="n">
        <v>2</v>
      </c>
      <c r="L2897" t="n">
        <v>6</v>
      </c>
      <c r="M2897" t="n">
        <v>0</v>
      </c>
      <c r="N2897" t="n">
        <v>0</v>
      </c>
      <c r="O2897" t="n">
        <v>17</v>
      </c>
      <c r="P2897">
        <f>HYPERLINK("http://g1.globo.com/ac/acre/noticia/2015/05/mpt-quer-que-uniao-assuma-haitianos-e-pague-indenizacao-de-r-50-mi.html", "URL")</f>
        <v/>
      </c>
      <c r="Q2897">
        <f>HYPERLINK("https://raw.githubusercontent.com/marcosmapl/dataset_imigrantes/main/materias_filtered/g1/haitianos/2015/04_mai/html/g1_8be44210-22f9-11ed-b24f-6dbe51e79fca_2169.html", "HTML")</f>
        <v/>
      </c>
      <c r="R2897">
        <f>HYPERLINK("https://raw.githubusercontent.com/marcosmapl/dataset_imigrantes/main/materias_filtered/g1/haitianos/2015/04_mai/txt/g1_8be44210-22f9-11ed-b24f-6dbe51e79fca_2169.txt", "TXT")</f>
        <v/>
      </c>
    </row>
    <row r="2898">
      <c r="A2898" s="1" t="n">
        <v>2896</v>
      </c>
      <c r="B2898" t="n">
        <v>2015</v>
      </c>
      <c r="C2898" s="2" t="n">
        <v>42149.65208333333</v>
      </c>
      <c r="D2898" t="inlineStr">
        <is>
          <t>G1</t>
        </is>
      </c>
      <c r="E2898" t="inlineStr">
        <is>
          <t>HAITIANOS</t>
        </is>
      </c>
      <c r="F2898" t="inlineStr"/>
      <c r="G2898" t="inlineStr">
        <is>
          <t>1 SC</t>
        </is>
      </c>
      <c r="H2898" t="inlineStr">
        <is>
          <t>TRÊS HAITIANOS SÃO INTERNADOS EM FLORIANÓPOLIS PARA AVERIGUAR FEBRE ALTA</t>
        </is>
      </c>
      <c r="I2898" t="inlineStr"/>
      <c r="J2898" t="inlineStr"/>
      <c r="K2898" t="n">
        <v>0</v>
      </c>
      <c r="L2898" t="n">
        <v>4</v>
      </c>
      <c r="M2898" t="n">
        <v>0</v>
      </c>
      <c r="N2898" t="n">
        <v>0</v>
      </c>
      <c r="O2898" t="n">
        <v>5</v>
      </c>
      <c r="P2898">
        <f>HYPERLINK("http://g1.globo.com/sc/santa-catarina/noticia/2015/05/tres-haitianos-sao-internados-em-florianopolis-para-averiguar-febre-alta.html", "URL")</f>
        <v/>
      </c>
      <c r="Q2898">
        <f>HYPERLINK("https://raw.githubusercontent.com/marcosmapl/dataset_imigrantes/main/materias_filtered/g1/haitianos/2015/04_mai/html/g1_eeab6818-22f6-11ed-b24f-6dbe51e79fca_2048.html", "HTML")</f>
        <v/>
      </c>
      <c r="R2898">
        <f>HYPERLINK("https://raw.githubusercontent.com/marcosmapl/dataset_imigrantes/main/materias_filtered/g1/haitianos/2015/04_mai/txt/g1_eeab6818-22f6-11ed-b24f-6dbe51e79fca_2048.txt", "TXT")</f>
        <v/>
      </c>
    </row>
    <row r="2899">
      <c r="A2899" s="1" t="n">
        <v>2897</v>
      </c>
      <c r="B2899" t="n">
        <v>2015</v>
      </c>
      <c r="C2899" s="2" t="n">
        <v>42149.28055555555</v>
      </c>
      <c r="D2899" t="inlineStr">
        <is>
          <t>G1</t>
        </is>
      </c>
      <c r="E2899" t="inlineStr">
        <is>
          <t>HAITIANOS</t>
        </is>
      </c>
      <c r="F2899" t="inlineStr"/>
      <c r="G2899" t="inlineStr">
        <is>
          <t>1 SC</t>
        </is>
      </c>
      <c r="H2899" t="inlineStr">
        <is>
          <t>HAITIANOS E SENEGALESES CHEGAM A FLORIANÓPOLIS VINDOS DO ACRE</t>
        </is>
      </c>
      <c r="I2899" t="inlineStr"/>
      <c r="J2899" t="inlineStr">
        <is>
          <t>FLORIANÓPOLIS</t>
        </is>
      </c>
      <c r="K2899" t="n">
        <v>1</v>
      </c>
      <c r="L2899" t="n">
        <v>8</v>
      </c>
      <c r="M2899" t="n">
        <v>0</v>
      </c>
      <c r="N2899" t="n">
        <v>0</v>
      </c>
      <c r="O2899" t="n">
        <v>19</v>
      </c>
      <c r="P2899">
        <f>HYPERLINK("http://g1.globo.com/sc/santa-catarina/noticia/2015/05/haitianos-e-senegaleses-chegam-florianopolis-vindos-do-acre.html", "URL")</f>
        <v/>
      </c>
      <c r="Q2899">
        <f>HYPERLINK("https://raw.githubusercontent.com/marcosmapl/dataset_imigrantes/main/materias_filtered/g1/haitianos/2015/04_mai/html/g1_e46c3ea8-22f2-11ed-b24f-6dbe51e79fca_1817.html", "HTML")</f>
        <v/>
      </c>
      <c r="R2899">
        <f>HYPERLINK("https://raw.githubusercontent.com/marcosmapl/dataset_imigrantes/main/materias_filtered/g1/haitianos/2015/04_mai/txt/g1_e46c3ea8-22f2-11ed-b24f-6dbe51e79fca_1817.txt", "TXT")</f>
        <v/>
      </c>
    </row>
    <row r="2900">
      <c r="A2900" s="1" t="n">
        <v>2898</v>
      </c>
      <c r="B2900" t="n">
        <v>2015</v>
      </c>
      <c r="C2900" s="2" t="n">
        <v>42148.52708333333</v>
      </c>
      <c r="D2900" t="inlineStr">
        <is>
          <t>G1</t>
        </is>
      </c>
      <c r="E2900" t="inlineStr">
        <is>
          <t>HAITIANOS</t>
        </is>
      </c>
      <c r="F2900" t="inlineStr"/>
      <c r="G2900" t="inlineStr">
        <is>
          <t>ELLA FRAGADO G1 RS</t>
        </is>
      </c>
      <c r="H2900" t="inlineStr">
        <is>
          <t>PREFEITURA DE PORTO ALEGRE PEDE DOAÇÕES PARA RECEBER HAITIANOS</t>
        </is>
      </c>
      <c r="I2900" t="inlineStr"/>
      <c r="J2900" t="inlineStr">
        <is>
          <t>PORTO ALEGRE</t>
        </is>
      </c>
      <c r="K2900" t="n">
        <v>1</v>
      </c>
      <c r="L2900" t="n">
        <v>4</v>
      </c>
      <c r="M2900" t="n">
        <v>0</v>
      </c>
      <c r="N2900" t="n">
        <v>0</v>
      </c>
      <c r="O2900" t="n">
        <v>23</v>
      </c>
      <c r="P2900">
        <f>HYPERLINK("http://g1.globo.com/rs/rio-grande-do-sul/noticia/2015/05/prefeitura-de-porto-alegre-pede-doacoes-para-receber-haitianos.html", "URL")</f>
        <v/>
      </c>
      <c r="Q2900">
        <f>HYPERLINK("https://raw.githubusercontent.com/marcosmapl/dataset_imigrantes/main/materias_filtered/g1/haitianos/2015/04_mai/html/g1_9c8f5af6-22f8-11ed-b24f-6dbe51e79fca_2146.html", "HTML")</f>
        <v/>
      </c>
      <c r="R2900">
        <f>HYPERLINK("https://raw.githubusercontent.com/marcosmapl/dataset_imigrantes/main/materias_filtered/g1/haitianos/2015/04_mai/txt/g1_9c8f5af6-22f8-11ed-b24f-6dbe51e79fca_2146.txt", "TXT")</f>
        <v/>
      </c>
    </row>
    <row r="2901">
      <c r="A2901" s="1" t="n">
        <v>2899</v>
      </c>
      <c r="B2901" t="n">
        <v>2015</v>
      </c>
      <c r="C2901" s="2" t="n">
        <v>42148.46805555555</v>
      </c>
      <c r="D2901" t="inlineStr">
        <is>
          <t>G1</t>
        </is>
      </c>
      <c r="E2901" t="inlineStr">
        <is>
          <t>HAITIANOS</t>
        </is>
      </c>
      <c r="F2901" t="inlineStr"/>
      <c r="G2901" t="inlineStr">
        <is>
          <t>1 SC</t>
        </is>
      </c>
      <c r="H2901" t="inlineStr">
        <is>
          <t>FLORIANÓPOLIS DEVE RECEBER 46 IMIGRANTES HAITIANOS E SENEGALESES</t>
        </is>
      </c>
      <c r="I2901" t="inlineStr"/>
      <c r="J2901" t="inlineStr">
        <is>
          <t>FLORIANÓPOLIS</t>
        </is>
      </c>
      <c r="K2901" t="n">
        <v>1</v>
      </c>
      <c r="L2901" t="n">
        <v>6</v>
      </c>
      <c r="M2901" t="n">
        <v>0</v>
      </c>
      <c r="N2901" t="n">
        <v>0</v>
      </c>
      <c r="O2901" t="n">
        <v>17</v>
      </c>
      <c r="P2901">
        <f>HYPERLINK("http://g1.globo.com/sc/santa-catarina/noticia/2015/05/florianopolis-deve-receber-46-imigrantes-haitianos-e-senegaleses.html", "URL")</f>
        <v/>
      </c>
      <c r="Q2901">
        <f>HYPERLINK("https://raw.githubusercontent.com/marcosmapl/dataset_imigrantes/main/materias_filtered/g1/haitianos/2015/04_mai/html/g1_f734f338-22fa-11ed-b24f-6dbe51e79fca_2253.html", "HTML")</f>
        <v/>
      </c>
      <c r="R2901">
        <f>HYPERLINK("https://raw.githubusercontent.com/marcosmapl/dataset_imigrantes/main/materias_filtered/g1/haitianos/2015/04_mai/txt/g1_f734f338-22fa-11ed-b24f-6dbe51e79fca_2253.txt", "TXT")</f>
        <v/>
      </c>
    </row>
    <row r="2902">
      <c r="A2902" s="1" t="n">
        <v>2900</v>
      </c>
      <c r="B2902" t="n">
        <v>2015</v>
      </c>
      <c r="C2902" s="2" t="n">
        <v>42146.95</v>
      </c>
      <c r="D2902" t="inlineStr">
        <is>
          <t>G1</t>
        </is>
      </c>
      <c r="E2902" t="inlineStr">
        <is>
          <t>HAITIANOS</t>
        </is>
      </c>
      <c r="F2902" t="inlineStr"/>
      <c r="G2902" t="inlineStr">
        <is>
          <t>1 SC</t>
        </is>
      </c>
      <c r="H2902" t="inlineStr">
        <is>
          <t>GINÁSIO É DEFINIDO PARA RECEBER HAITIANOS EM FLORIANÓPOLIS</t>
        </is>
      </c>
      <c r="I2902" t="inlineStr"/>
      <c r="J2902" t="inlineStr">
        <is>
          <t>FLORIANÓPOLIS</t>
        </is>
      </c>
      <c r="K2902" t="n">
        <v>1</v>
      </c>
      <c r="L2902" t="n">
        <v>5</v>
      </c>
      <c r="M2902" t="n">
        <v>0</v>
      </c>
      <c r="N2902" t="n">
        <v>0</v>
      </c>
      <c r="O2902" t="n">
        <v>15</v>
      </c>
      <c r="P2902">
        <f>HYPERLINK("http://g1.globo.com/sc/santa-catarina/noticia/2015/05/ginasio-e-definido-para-receber-haitianos-em-florianopolis.html", "URL")</f>
        <v/>
      </c>
      <c r="Q2902">
        <f>HYPERLINK("https://raw.githubusercontent.com/marcosmapl/dataset_imigrantes/main/materias_filtered/g1/haitianos/2015/04_mai/html/g1_dc50cf70-22f4-11ed-b24f-6dbe51e79fca_1915.html", "HTML")</f>
        <v/>
      </c>
      <c r="R2902">
        <f>HYPERLINK("https://raw.githubusercontent.com/marcosmapl/dataset_imigrantes/main/materias_filtered/g1/haitianos/2015/04_mai/txt/g1_dc50cf70-22f4-11ed-b24f-6dbe51e79fca_1915.txt", "TXT")</f>
        <v/>
      </c>
    </row>
    <row r="2903">
      <c r="A2903" s="1" t="n">
        <v>2901</v>
      </c>
      <c r="B2903" t="n">
        <v>2015</v>
      </c>
      <c r="C2903" s="2" t="n">
        <v>42146.9125</v>
      </c>
      <c r="D2903" t="inlineStr">
        <is>
          <t>G1</t>
        </is>
      </c>
      <c r="E2903" t="inlineStr">
        <is>
          <t>HAITIANOS</t>
        </is>
      </c>
      <c r="F2903" t="inlineStr"/>
      <c r="G2903" t="inlineStr"/>
      <c r="H2903" t="inlineStr">
        <is>
          <t>MAIS DE SETE MIL HAITIANOS ENTRARAM NO BRASIL, PELO ACRE, SÓ EM 2015</t>
        </is>
      </c>
      <c r="I2903" t="inlineStr"/>
      <c r="J2903" t="inlineStr">
        <is>
          <t>ESTADOS UNIDOS, MINISTÉRIO DA JUSTIÇA, SÃO PAULO</t>
        </is>
      </c>
      <c r="K2903" t="n">
        <v>3</v>
      </c>
      <c r="L2903" t="n">
        <v>4</v>
      </c>
      <c r="M2903" t="n">
        <v>0</v>
      </c>
      <c r="N2903" t="n">
        <v>0</v>
      </c>
      <c r="O2903" t="n">
        <v>12</v>
      </c>
      <c r="P2903">
        <f>HYPERLINK("http://g1.globo.com/jornal-nacional/noticia/2015/05/mais-de-sete-mil-haitianos-entraram-no-brasil-pelo-acre-so-em-2015.html", "URL")</f>
        <v/>
      </c>
      <c r="Q2903">
        <f>HYPERLINK("https://raw.githubusercontent.com/marcosmapl/dataset_imigrantes/main/materias_filtered/g1/haitianos/2015/04_mai/html/g1_0e286f34-22f1-11ed-b24f-6dbe51e79fca_1732.html", "HTML")</f>
        <v/>
      </c>
      <c r="R2903">
        <f>HYPERLINK("https://raw.githubusercontent.com/marcosmapl/dataset_imigrantes/main/materias_filtered/g1/haitianos/2015/04_mai/txt/g1_0e286f34-22f1-11ed-b24f-6dbe51e79fca_1732.txt", "TXT")</f>
        <v/>
      </c>
    </row>
    <row r="2904">
      <c r="A2904" s="1" t="n">
        <v>2902</v>
      </c>
      <c r="B2904" t="n">
        <v>2015</v>
      </c>
      <c r="C2904" s="2" t="n">
        <v>42146.88333333333</v>
      </c>
      <c r="D2904" t="inlineStr">
        <is>
          <t>G1</t>
        </is>
      </c>
      <c r="E2904" t="inlineStr">
        <is>
          <t>HAITIANOS</t>
        </is>
      </c>
      <c r="F2904" t="inlineStr"/>
      <c r="G2904" t="inlineStr">
        <is>
          <t>1 RS</t>
        </is>
      </c>
      <c r="H2904" t="inlineStr">
        <is>
          <t>RS DEVE ACOLHER CERCA DE 1 MIL HAITIANOS ATÉ JULHO, DIZ SECRETARIA</t>
        </is>
      </c>
      <c r="I2904" t="inlineStr"/>
      <c r="J2904" t="inlineStr">
        <is>
          <t>PORTO ALEGRE</t>
        </is>
      </c>
      <c r="K2904" t="n">
        <v>1</v>
      </c>
      <c r="L2904" t="n">
        <v>4</v>
      </c>
      <c r="M2904" t="n">
        <v>0</v>
      </c>
      <c r="N2904" t="n">
        <v>0</v>
      </c>
      <c r="O2904" t="n">
        <v>19</v>
      </c>
      <c r="P2904">
        <f>HYPERLINK("http://g1.globo.com/rs/rio-grande-do-sul/noticia/2015/05/rs-deve-acolher-cerca-de-1-mil-haitianos-ate-julho-diz-secretaria.html", "URL")</f>
        <v/>
      </c>
      <c r="Q2904">
        <f>HYPERLINK("https://raw.githubusercontent.com/marcosmapl/dataset_imigrantes/main/materias_filtered/g1/haitianos/2015/04_mai/html/g1_90668f72-22f5-11ed-b24f-6dbe51e79fca_1958.html", "HTML")</f>
        <v/>
      </c>
      <c r="R2904">
        <f>HYPERLINK("https://raw.githubusercontent.com/marcosmapl/dataset_imigrantes/main/materias_filtered/g1/haitianos/2015/04_mai/txt/g1_90668f72-22f5-11ed-b24f-6dbe51e79fca_1958.txt", "TXT")</f>
        <v/>
      </c>
    </row>
    <row r="2905">
      <c r="A2905" s="1" t="n">
        <v>2903</v>
      </c>
      <c r="B2905" t="n">
        <v>2015</v>
      </c>
      <c r="C2905" s="2" t="n">
        <v>42145.82361111111</v>
      </c>
      <c r="D2905" t="inlineStr">
        <is>
          <t>G1</t>
        </is>
      </c>
      <c r="E2905" t="inlineStr">
        <is>
          <t>HAITIANOS</t>
        </is>
      </c>
      <c r="F2905" t="inlineStr"/>
      <c r="G2905" t="inlineStr">
        <is>
          <t>1, EM BRASÍLIA</t>
        </is>
      </c>
      <c r="H2905" t="inlineStr">
        <is>
          <t>MINISTÉRIO SUSPENDE TRANSPORTE DE HAITIANOS DO ACRE PARA OUTROS ESTADOS</t>
        </is>
      </c>
      <c r="I2905" t="inlineStr"/>
      <c r="J2905" t="inlineStr">
        <is>
          <t>ACRE, JOSÉ EDUARDO CARDOZO</t>
        </is>
      </c>
      <c r="K2905" t="n">
        <v>2</v>
      </c>
      <c r="L2905" t="n">
        <v>4</v>
      </c>
      <c r="M2905" t="n">
        <v>0</v>
      </c>
      <c r="N2905" t="n">
        <v>0</v>
      </c>
      <c r="O2905" t="n">
        <v>13</v>
      </c>
      <c r="P2905">
        <f>HYPERLINK("http://g1.globo.com/mundo/noticia/2015/05/cardozo-diz-que-brasil-aumentara-o-numero-de-vistos-para-haitianos.html", "URL")</f>
        <v/>
      </c>
      <c r="Q2905">
        <f>HYPERLINK("https://raw.githubusercontent.com/marcosmapl/dataset_imigrantes/main/materias_filtered/g1/haitianos/2015/04_mai/html/g1_b2b20fc4-22f1-11ed-b24f-6dbe51e79fca_1761.html", "HTML")</f>
        <v/>
      </c>
      <c r="R2905">
        <f>HYPERLINK("https://raw.githubusercontent.com/marcosmapl/dataset_imigrantes/main/materias_filtered/g1/haitianos/2015/04_mai/txt/g1_b2b20fc4-22f1-11ed-b24f-6dbe51e79fca_1761.txt", "TXT")</f>
        <v/>
      </c>
    </row>
    <row r="2906">
      <c r="A2906" s="1" t="n">
        <v>2904</v>
      </c>
      <c r="B2906" t="n">
        <v>2015</v>
      </c>
      <c r="C2906" s="2" t="n">
        <v>42145.76041666666</v>
      </c>
      <c r="D2906" t="inlineStr">
        <is>
          <t>G1</t>
        </is>
      </c>
      <c r="E2906" t="inlineStr">
        <is>
          <t>HAITIANOS</t>
        </is>
      </c>
      <c r="F2906" t="inlineStr"/>
      <c r="G2906" t="inlineStr">
        <is>
          <t>ELLA FRAGADO G1 RS</t>
        </is>
      </c>
      <c r="H2906" t="inlineStr">
        <is>
          <t>CHEGADA DE HAITIANOS A PORTO ALEGRE É ADIADA APÓS PEDIDO DA PREFEITURA</t>
        </is>
      </c>
      <c r="I2906" t="inlineStr"/>
      <c r="J2906" t="inlineStr">
        <is>
          <t>PORTO ALEGRE</t>
        </is>
      </c>
      <c r="K2906" t="n">
        <v>1</v>
      </c>
      <c r="L2906" t="n">
        <v>4</v>
      </c>
      <c r="M2906" t="n">
        <v>0</v>
      </c>
      <c r="N2906" t="n">
        <v>0</v>
      </c>
      <c r="O2906" t="n">
        <v>20</v>
      </c>
      <c r="P2906">
        <f>HYPERLINK("http://g1.globo.com/rs/rio-grande-do-sul/noticia/2015/05/chegada-de-haitianos-porto-alegre-e-adiada-apos-pedido-da-prefeitura.html", "URL")</f>
        <v/>
      </c>
      <c r="Q2906">
        <f>HYPERLINK("https://raw.githubusercontent.com/marcosmapl/dataset_imigrantes/main/materias_filtered/g1/haitianos/2015/04_mai/html/g1_eac91c9e-22f7-11ed-b24f-6dbe51e79fca_2104.html", "HTML")</f>
        <v/>
      </c>
      <c r="R2906">
        <f>HYPERLINK("https://raw.githubusercontent.com/marcosmapl/dataset_imigrantes/main/materias_filtered/g1/haitianos/2015/04_mai/txt/g1_eac91c9e-22f7-11ed-b24f-6dbe51e79fca_2104.txt", "TXT")</f>
        <v/>
      </c>
    </row>
    <row r="2907">
      <c r="A2907" s="1" t="n">
        <v>2905</v>
      </c>
      <c r="B2907" t="n">
        <v>2015</v>
      </c>
      <c r="C2907" s="2" t="n">
        <v>42145.57986111111</v>
      </c>
      <c r="D2907" t="inlineStr">
        <is>
          <t>G1</t>
        </is>
      </c>
      <c r="E2907" t="inlineStr">
        <is>
          <t>HAITIANOS</t>
        </is>
      </c>
      <c r="F2907" t="inlineStr"/>
      <c r="G2907" t="inlineStr">
        <is>
          <t>ON DOURADORIO BRANCO</t>
        </is>
      </c>
      <c r="H2907" t="inlineStr">
        <is>
          <t>GOVERNO DETERMINA SUSPENSÃO DO ENVIO DE HAITIANOS PARA SÃO PAULO</t>
        </is>
      </c>
      <c r="I2907" t="inlineStr"/>
      <c r="J2907" t="inlineStr"/>
      <c r="K2907" t="n">
        <v>0</v>
      </c>
      <c r="L2907" t="n">
        <v>0</v>
      </c>
      <c r="M2907" t="n">
        <v>0</v>
      </c>
      <c r="N2907" t="n">
        <v>0</v>
      </c>
      <c r="O2907" t="n">
        <v>5</v>
      </c>
      <c r="P2907">
        <f>HYPERLINK("http://g1.globo.com/jornal-hoje/noticia/2015/05/governo-determina-suspensao-do-envio-de-haitianos-para-sao-paulo.html", "URL")</f>
        <v/>
      </c>
      <c r="Q2907">
        <f>HYPERLINK("https://raw.githubusercontent.com/marcosmapl/dataset_imigrantes/main/materias_filtered/g1/haitianos/2015/04_mai/html/g1_c97fc382-22f5-11ed-b24f-6dbe51e79fca_1972.html", "HTML")</f>
        <v/>
      </c>
      <c r="R2907">
        <f>HYPERLINK("https://raw.githubusercontent.com/marcosmapl/dataset_imigrantes/main/materias_filtered/g1/haitianos/2015/04_mai/txt/g1_c97fc382-22f5-11ed-b24f-6dbe51e79fca_1972.txt", "TXT")</f>
        <v/>
      </c>
    </row>
    <row r="2908">
      <c r="A2908" s="1" t="n">
        <v>2906</v>
      </c>
      <c r="B2908" t="n">
        <v>2015</v>
      </c>
      <c r="C2908" s="2" t="n">
        <v>42145.45</v>
      </c>
      <c r="D2908" t="inlineStr">
        <is>
          <t>G1</t>
        </is>
      </c>
      <c r="E2908" t="inlineStr">
        <is>
          <t>HAITIANOS</t>
        </is>
      </c>
      <c r="F2908" t="inlineStr"/>
      <c r="G2908" t="inlineStr">
        <is>
          <t xml:space="preserve"> MARCELDO G1 AC</t>
        </is>
      </c>
      <c r="H2908" t="inlineStr">
        <is>
          <t>SEM VIAGENS PARA SP, HAITIANOS NO AC TÊM QUE ESCOLHER NOVOS DESTINOS</t>
        </is>
      </c>
      <c r="I2908" t="inlineStr"/>
      <c r="J2908" t="inlineStr">
        <is>
          <t>ASSIS BRASIL, BRASILÉIA, RIO BRANCO, ACRE, MATO GROSSO, MATO GROSSO DO SUL, MINISTÉRIO DA JUSTIÇA, PANAMÁ, PERU, REPÚBLICA DOMINICANA, CAMPO GRANDE, CUIABÁ, CURITIBA, PORTO VELHO, PORTO ALEGRE, FLORIANÓPOLIS, SÃO PAULO</t>
        </is>
      </c>
      <c r="K2908" t="n">
        <v>17</v>
      </c>
      <c r="L2908" t="n">
        <v>7</v>
      </c>
      <c r="M2908" t="n">
        <v>0</v>
      </c>
      <c r="N2908" t="n">
        <v>0</v>
      </c>
      <c r="O2908" t="n">
        <v>30</v>
      </c>
      <c r="P2908">
        <f>HYPERLINK("http://g1.globo.com/ac/acre/noticia/2015/05/sem-viagens-para-sp-imigrantes-no-ac-tem-que-optar-por-novas-rotas.html", "URL")</f>
        <v/>
      </c>
      <c r="Q2908">
        <f>HYPERLINK("https://raw.githubusercontent.com/marcosmapl/dataset_imigrantes/main/materias_filtered/g1/haitianos/2015/04_mai/html/g1_433a9482-22f5-11ed-b24f-6dbe51e79fca_1939.html", "HTML")</f>
        <v/>
      </c>
      <c r="R2908">
        <f>HYPERLINK("https://raw.githubusercontent.com/marcosmapl/dataset_imigrantes/main/materias_filtered/g1/haitianos/2015/04_mai/txt/g1_433a9482-22f5-11ed-b24f-6dbe51e79fca_1939.txt", "TXT")</f>
        <v/>
      </c>
    </row>
    <row r="2909">
      <c r="A2909" s="1" t="n">
        <v>2907</v>
      </c>
      <c r="B2909" t="n">
        <v>2015</v>
      </c>
      <c r="C2909" s="2" t="n">
        <v>42145.25763888889</v>
      </c>
      <c r="D2909" t="inlineStr">
        <is>
          <t>G1</t>
        </is>
      </c>
      <c r="E2909" t="inlineStr">
        <is>
          <t>HAITIANOS</t>
        </is>
      </c>
      <c r="F2909" t="inlineStr"/>
      <c r="G2909" t="inlineStr"/>
      <c r="H2909" t="inlineStr">
        <is>
          <t>TRÊS HAITIANOS JÁ MORRERAM NO ACRE POR PROBLEMAS DE SAÚDE</t>
        </is>
      </c>
      <c r="I2909" t="inlineStr"/>
      <c r="J2909" t="inlineStr"/>
      <c r="K2909" t="n">
        <v>0</v>
      </c>
      <c r="L2909" t="n">
        <v>0</v>
      </c>
      <c r="M2909" t="n">
        <v>0</v>
      </c>
      <c r="N2909" t="n">
        <v>0</v>
      </c>
      <c r="O2909" t="n">
        <v>5</v>
      </c>
      <c r="P2909">
        <f>HYPERLINK("http://g1.globo.com/hora1/noticia/2015/05/tres-haitianos-ja-morreram-no-acre-por-problemas-de-saude.html", "URL")</f>
        <v/>
      </c>
      <c r="Q2909">
        <f>HYPERLINK("https://raw.githubusercontent.com/marcosmapl/dataset_imigrantes/main/materias_filtered/g1/haitianos/2015/04_mai/html/g1_2322517e-22f2-11ed-b24f-6dbe51e79fca_1780.html", "HTML")</f>
        <v/>
      </c>
      <c r="R2909">
        <f>HYPERLINK("https://raw.githubusercontent.com/marcosmapl/dataset_imigrantes/main/materias_filtered/g1/haitianos/2015/04_mai/txt/g1_2322517e-22f2-11ed-b24f-6dbe51e79fca_1780.txt", "TXT")</f>
        <v/>
      </c>
    </row>
    <row r="2910">
      <c r="A2910" s="1" t="n">
        <v>2908</v>
      </c>
      <c r="B2910" t="n">
        <v>2015</v>
      </c>
      <c r="C2910" s="2" t="n">
        <v>42144.69861111111</v>
      </c>
      <c r="D2910" t="inlineStr">
        <is>
          <t>G1</t>
        </is>
      </c>
      <c r="E2910" t="inlineStr">
        <is>
          <t>HAITIANOS</t>
        </is>
      </c>
      <c r="F2910" t="inlineStr"/>
      <c r="G2910" t="inlineStr">
        <is>
          <t>1 SÃO PAULO</t>
        </is>
      </c>
      <c r="H2910" t="inlineStr">
        <is>
          <t>HADDAD DIZ QUE SUSPENSÃO DE VINDA DE HAITIANOS É 'PARA ACOLHER MELHOR'</t>
        </is>
      </c>
      <c r="I2910" t="inlineStr"/>
      <c r="J2910" t="inlineStr"/>
      <c r="K2910" t="n">
        <v>0</v>
      </c>
      <c r="L2910" t="n">
        <v>2</v>
      </c>
      <c r="M2910" t="n">
        <v>0</v>
      </c>
      <c r="N2910" t="n">
        <v>0</v>
      </c>
      <c r="O2910" t="n">
        <v>6</v>
      </c>
      <c r="P2910">
        <f>HYPERLINK("http://g1.globo.com/sao-paulo/noticia/2015/05/haddad-diz-que-suspensao-de-vinda-de-haitianos-e-para-acolher-melhor.html", "URL")</f>
        <v/>
      </c>
      <c r="Q2910">
        <f>HYPERLINK("https://raw.githubusercontent.com/marcosmapl/dataset_imigrantes/main/materias_filtered/g1/haitianos/2015/04_mai/html/g1_67eeaa52-22f5-11ed-b24f-6dbe51e79fca_1947.html", "HTML")</f>
        <v/>
      </c>
      <c r="R2910">
        <f>HYPERLINK("https://raw.githubusercontent.com/marcosmapl/dataset_imigrantes/main/materias_filtered/g1/haitianos/2015/04_mai/txt/g1_67eeaa52-22f5-11ed-b24f-6dbe51e79fca_1947.txt", "TXT")</f>
        <v/>
      </c>
    </row>
    <row r="2911">
      <c r="A2911" s="1" t="n">
        <v>2909</v>
      </c>
      <c r="B2911" t="n">
        <v>2015</v>
      </c>
      <c r="C2911" s="2" t="n">
        <v>42144.64375</v>
      </c>
      <c r="D2911" t="inlineStr">
        <is>
          <t>G1</t>
        </is>
      </c>
      <c r="E2911" t="inlineStr">
        <is>
          <t>HAITIANOS</t>
        </is>
      </c>
      <c r="F2911" t="inlineStr"/>
      <c r="G2911" t="inlineStr">
        <is>
          <t>1 AC</t>
        </is>
      </c>
      <c r="H2911" t="inlineStr">
        <is>
          <t>HAITIANO MORRE COM INSUFICIÊNCIA RENAL EM RIO BRANCO</t>
        </is>
      </c>
      <c r="I2911" t="inlineStr"/>
      <c r="J2911" t="inlineStr">
        <is>
          <t>RIO BRANCO</t>
        </is>
      </c>
      <c r="K2911" t="n">
        <v>1</v>
      </c>
      <c r="L2911" t="n">
        <v>3</v>
      </c>
      <c r="M2911" t="n">
        <v>0</v>
      </c>
      <c r="N2911" t="n">
        <v>0</v>
      </c>
      <c r="O2911" t="n">
        <v>13</v>
      </c>
      <c r="P2911">
        <f>HYPERLINK("http://g1.globo.com/ac/acre/noticia/2015/05/haitiano-morre-com-insuficiencia-renal-em-rio-branco.html", "URL")</f>
        <v/>
      </c>
      <c r="Q2911">
        <f>HYPERLINK("https://raw.githubusercontent.com/marcosmapl/dataset_imigrantes/main/materias_filtered/g1/haitianos/2015/04_mai/html/g1_bd4ac028-22f8-11ed-b24f-6dbe51e79fca_2155.html", "HTML")</f>
        <v/>
      </c>
      <c r="R2911">
        <f>HYPERLINK("https://raw.githubusercontent.com/marcosmapl/dataset_imigrantes/main/materias_filtered/g1/haitianos/2015/04_mai/txt/g1_bd4ac028-22f8-11ed-b24f-6dbe51e79fca_2155.txt", "TXT")</f>
        <v/>
      </c>
    </row>
    <row r="2912">
      <c r="A2912" s="1" t="n">
        <v>2910</v>
      </c>
      <c r="B2912" t="n">
        <v>2015</v>
      </c>
      <c r="C2912" s="2" t="n">
        <v>42144.59166666667</v>
      </c>
      <c r="D2912" t="inlineStr">
        <is>
          <t>G1</t>
        </is>
      </c>
      <c r="E2912" t="inlineStr">
        <is>
          <t>HAITIANOS</t>
        </is>
      </c>
      <c r="F2912" t="inlineStr"/>
      <c r="G2912" t="inlineStr">
        <is>
          <t>IPE SIANISÃO PAULO, SP</t>
        </is>
      </c>
      <c r="H2912" t="inlineStr">
        <is>
          <t>PREFEITO DE SÃO PAULO DIZ QUE NÃO FOI AVISADO SOBRE CHEGADA DE HAITIANOS</t>
        </is>
      </c>
      <c r="I2912" t="inlineStr"/>
      <c r="J2912" t="inlineStr"/>
      <c r="K2912" t="n">
        <v>0</v>
      </c>
      <c r="L2912" t="n">
        <v>0</v>
      </c>
      <c r="M2912" t="n">
        <v>0</v>
      </c>
      <c r="N2912" t="n">
        <v>0</v>
      </c>
      <c r="O2912" t="n">
        <v>5</v>
      </c>
      <c r="P2912">
        <f>HYPERLINK("http://g1.globo.com/jornal-hoje/noticia/2015/05/prefeito-de-sao-paulo-diz-que-nao-foi-avisado-sobre-chegada-de-haitianos.html", "URL")</f>
        <v/>
      </c>
      <c r="Q2912">
        <f>HYPERLINK("https://raw.githubusercontent.com/marcosmapl/dataset_imigrantes/main/materias_filtered/g1/haitianos/2015/04_mai/html/g1_3375d600-22f1-11ed-b24f-6dbe51e79fca_1740.html", "HTML")</f>
        <v/>
      </c>
      <c r="R2912">
        <f>HYPERLINK("https://raw.githubusercontent.com/marcosmapl/dataset_imigrantes/main/materias_filtered/g1/haitianos/2015/04_mai/txt/g1_3375d600-22f1-11ed-b24f-6dbe51e79fca_1740.txt", "TXT")</f>
        <v/>
      </c>
    </row>
    <row r="2913">
      <c r="A2913" s="1" t="n">
        <v>2911</v>
      </c>
      <c r="B2913" t="n">
        <v>2015</v>
      </c>
      <c r="C2913" s="2" t="n">
        <v>42144.52152777778</v>
      </c>
      <c r="D2913" t="inlineStr">
        <is>
          <t>G1</t>
        </is>
      </c>
      <c r="E2913" t="inlineStr">
        <is>
          <t>HAITIANOS</t>
        </is>
      </c>
      <c r="F2913" t="inlineStr"/>
      <c r="G2913" t="inlineStr">
        <is>
          <t>1 SÃO PAULO</t>
        </is>
      </c>
      <c r="H2913" t="inlineStr">
        <is>
          <t>EMPREGO PARA HAITIANOS CAIU PARA 5%, DIZ PADRE QUE ACOLHE IMIGRANTES EM SP</t>
        </is>
      </c>
      <c r="I2913" t="inlineStr"/>
      <c r="J2913" t="inlineStr"/>
      <c r="K2913" t="n">
        <v>0</v>
      </c>
      <c r="L2913" t="n">
        <v>2</v>
      </c>
      <c r="M2913" t="n">
        <v>0</v>
      </c>
      <c r="N2913" t="n">
        <v>0</v>
      </c>
      <c r="O2913" t="n">
        <v>6</v>
      </c>
      <c r="P2913">
        <f>HYPERLINK("http://g1.globo.com/sao-paulo/noticia/2015/05/emprego-para-haitianos-caiu-para-5-diz-padre-que-acolhe-imigrantes-em-sp.html", "URL")</f>
        <v/>
      </c>
      <c r="Q2913">
        <f>HYPERLINK("https://raw.githubusercontent.com/marcosmapl/dataset_imigrantes/main/materias_filtered/g1/haitianos/2015/04_mai/html/g1_99516270-22f4-11ed-b24f-6dbe51e79fca_1900.html", "HTML")</f>
        <v/>
      </c>
      <c r="R2913">
        <f>HYPERLINK("https://raw.githubusercontent.com/marcosmapl/dataset_imigrantes/main/materias_filtered/g1/haitianos/2015/04_mai/txt/g1_99516270-22f4-11ed-b24f-6dbe51e79fca_1900.txt", "TXT")</f>
        <v/>
      </c>
    </row>
    <row r="2914">
      <c r="A2914" s="1" t="n">
        <v>2912</v>
      </c>
      <c r="B2914" t="n">
        <v>2015</v>
      </c>
      <c r="C2914" s="2" t="n">
        <v>42144.50902777778</v>
      </c>
      <c r="D2914" t="inlineStr">
        <is>
          <t>G1</t>
        </is>
      </c>
      <c r="E2914" t="inlineStr">
        <is>
          <t>HAITIANOS</t>
        </is>
      </c>
      <c r="F2914" t="inlineStr"/>
      <c r="G2914" t="inlineStr">
        <is>
          <t>1 RS</t>
        </is>
      </c>
      <c r="H2914" t="inlineStr">
        <is>
          <t>PORTO ALEGRE SE PREPARA PARA RECEBER HAITIANOS, CASO DESEMBARQUEM NO RS</t>
        </is>
      </c>
      <c r="I2914" t="inlineStr"/>
      <c r="J2914" t="inlineStr">
        <is>
          <t>PORTO ALEGRE</t>
        </is>
      </c>
      <c r="K2914" t="n">
        <v>1</v>
      </c>
      <c r="L2914" t="n">
        <v>4</v>
      </c>
      <c r="M2914" t="n">
        <v>0</v>
      </c>
      <c r="N2914" t="n">
        <v>0</v>
      </c>
      <c r="O2914" t="n">
        <v>11</v>
      </c>
      <c r="P2914">
        <f>HYPERLINK("http://g1.globo.com/rs/rio-grande-do-sul/noticia/2015/05/porto-alegre-se-prepara-para-receber-haitianos-caso-desembarquem-no-rs.html", "URL")</f>
        <v/>
      </c>
      <c r="Q2914">
        <f>HYPERLINK("https://raw.githubusercontent.com/marcosmapl/dataset_imigrantes/main/materias_filtered/g1/haitianos/2015/04_mai/html/g1_15abcf2c-22fa-11ed-b24f-6dbe51e79fca_2198.html", "HTML")</f>
        <v/>
      </c>
      <c r="R2914">
        <f>HYPERLINK("https://raw.githubusercontent.com/marcosmapl/dataset_imigrantes/main/materias_filtered/g1/haitianos/2015/04_mai/txt/g1_15abcf2c-22fa-11ed-b24f-6dbe51e79fca_2198.txt", "TXT")</f>
        <v/>
      </c>
    </row>
    <row r="2915">
      <c r="A2915" s="1" t="n">
        <v>2913</v>
      </c>
      <c r="B2915" t="n">
        <v>2015</v>
      </c>
      <c r="C2915" s="2" t="n">
        <v>42144.25</v>
      </c>
      <c r="D2915" t="inlineStr">
        <is>
          <t>G1</t>
        </is>
      </c>
      <c r="E2915" t="inlineStr">
        <is>
          <t>HAITIANOS</t>
        </is>
      </c>
      <c r="F2915" t="inlineStr"/>
      <c r="G2915" t="inlineStr">
        <is>
          <t>LINA DANTASDO G1 SÃO PAULO</t>
        </is>
      </c>
      <c r="H2915" t="inlineStr">
        <is>
          <t>'ESTAMOS EM EMERGÊNCIA', DIZ PADRE QUE ACOLHE HAITIANOS EM SP</t>
        </is>
      </c>
      <c r="I2915" t="inlineStr"/>
      <c r="J2915" t="inlineStr">
        <is>
          <t>BRASILÉIA, ACRE, MINISTÉRIO DA JUSTIÇA, EQUADOR, COLÔMBIA, SÃO PAULO</t>
        </is>
      </c>
      <c r="K2915" t="n">
        <v>6</v>
      </c>
      <c r="L2915" t="n">
        <v>7</v>
      </c>
      <c r="M2915" t="n">
        <v>0</v>
      </c>
      <c r="N2915" t="n">
        <v>0</v>
      </c>
      <c r="O2915" t="n">
        <v>21</v>
      </c>
      <c r="P2915">
        <f>HYPERLINK("http://g1.globo.com/sao-paulo/noticia/2015/05/estamos-em-emergencia-diz-padre-que-acolhe-haitianos-em-sp.html", "URL")</f>
        <v/>
      </c>
      <c r="Q2915">
        <f>HYPERLINK("https://raw.githubusercontent.com/marcosmapl/dataset_imigrantes/main/materias_filtered/g1/haitianos/2015/04_mai/html/g1_8dcef63c-22f0-11ed-b24f-6dbe51e79fca_1709.html", "HTML")</f>
        <v/>
      </c>
      <c r="R2915">
        <f>HYPERLINK("https://raw.githubusercontent.com/marcosmapl/dataset_imigrantes/main/materias_filtered/g1/haitianos/2015/04_mai/txt/g1_8dcef63c-22f0-11ed-b24f-6dbe51e79fca_1709.txt", "TXT")</f>
        <v/>
      </c>
    </row>
    <row r="2916">
      <c r="A2916" s="1" t="n">
        <v>2914</v>
      </c>
      <c r="B2916" t="n">
        <v>2015</v>
      </c>
      <c r="C2916" s="2" t="n">
        <v>42143.94305555556</v>
      </c>
      <c r="D2916" t="inlineStr">
        <is>
          <t>G1</t>
        </is>
      </c>
      <c r="E2916" t="inlineStr">
        <is>
          <t>HAITIANOS</t>
        </is>
      </c>
      <c r="F2916" t="inlineStr"/>
      <c r="G2916" t="inlineStr">
        <is>
          <t>1 RS</t>
        </is>
      </c>
      <c r="H2916" t="inlineStr">
        <is>
          <t>ENVIO DE IMIGRANTES HAITIANOS DO ACRE SURPREENDE PREFEITURA DE PORTO ALEGRE</t>
        </is>
      </c>
      <c r="I2916" t="inlineStr"/>
      <c r="J2916" t="inlineStr"/>
      <c r="K2916" t="n">
        <v>0</v>
      </c>
      <c r="L2916" t="n">
        <v>2</v>
      </c>
      <c r="M2916" t="n">
        <v>0</v>
      </c>
      <c r="N2916" t="n">
        <v>0</v>
      </c>
      <c r="O2916" t="n">
        <v>11</v>
      </c>
      <c r="P2916">
        <f>HYPERLINK("http://g1.globo.com/rs/rio-grande-do-sul/noticia/2015/05/envio-de-imigrantes-haitianos-do-acre-surpreende-prefeitura-de-porto-alegre.html", "URL")</f>
        <v/>
      </c>
      <c r="Q2916">
        <f>HYPERLINK("https://raw.githubusercontent.com/marcosmapl/dataset_imigrantes/main/materias_filtered/g1/haitianos/2015/04_mai/html/g1_8ab464c0-22f3-11ed-b24f-6dbe51e79fca_1845.html", "HTML")</f>
        <v/>
      </c>
      <c r="R2916">
        <f>HYPERLINK("https://raw.githubusercontent.com/marcosmapl/dataset_imigrantes/main/materias_filtered/g1/haitianos/2015/04_mai/txt/g1_8ab464c0-22f3-11ed-b24f-6dbe51e79fca_1845.txt", "TXT")</f>
        <v/>
      </c>
    </row>
    <row r="2917">
      <c r="A2917" s="1" t="n">
        <v>2915</v>
      </c>
      <c r="B2917" t="n">
        <v>2015</v>
      </c>
      <c r="C2917" s="2" t="n">
        <v>42143.86041666667</v>
      </c>
      <c r="D2917" t="inlineStr">
        <is>
          <t>G1</t>
        </is>
      </c>
      <c r="E2917" t="inlineStr">
        <is>
          <t>HAITIANOS</t>
        </is>
      </c>
      <c r="F2917" t="inlineStr"/>
      <c r="G2917" t="inlineStr">
        <is>
          <t>LINA DANTASDO G1 SÃO PAULO</t>
        </is>
      </c>
      <c r="H2917" t="inlineStr">
        <is>
          <t>ACORDO SUSPENDE ENVIO DE HAITIANOS DO ACRE PARA A CIDADE DE SÃO PAULO</t>
        </is>
      </c>
      <c r="I2917" t="inlineStr"/>
      <c r="J2917" t="inlineStr">
        <is>
          <t>BRASILÉIA, ACRE, MINISTÉRIO DA JUSTIÇA, EQUADOR, COLÔMBIA, SÃO PAULO</t>
        </is>
      </c>
      <c r="K2917" t="n">
        <v>6</v>
      </c>
      <c r="L2917" t="n">
        <v>8</v>
      </c>
      <c r="M2917" t="n">
        <v>0</v>
      </c>
      <c r="N2917" t="n">
        <v>0</v>
      </c>
      <c r="O2917" t="n">
        <v>20</v>
      </c>
      <c r="P2917">
        <f>HYPERLINK("http://g1.globo.com/sao-paulo/noticia/2015/05/ministerio-da-justica-suspende-envio-de-haitianos-do-acre-outros-estados.html", "URL")</f>
        <v/>
      </c>
      <c r="Q2917">
        <f>HYPERLINK("https://raw.githubusercontent.com/marcosmapl/dataset_imigrantes/main/materias_filtered/g1/haitianos/2015/04_mai/html/g1_13d20cbe-22f2-11ed-b24f-6dbe51e79fca_1778.html", "HTML")</f>
        <v/>
      </c>
      <c r="R2917">
        <f>HYPERLINK("https://raw.githubusercontent.com/marcosmapl/dataset_imigrantes/main/materias_filtered/g1/haitianos/2015/04_mai/txt/g1_13d20cbe-22f2-11ed-b24f-6dbe51e79fca_1778.txt", "TXT")</f>
        <v/>
      </c>
    </row>
    <row r="2918">
      <c r="A2918" s="1" t="n">
        <v>2916</v>
      </c>
      <c r="B2918" t="n">
        <v>2015</v>
      </c>
      <c r="C2918" s="2" t="n">
        <v>42143.425</v>
      </c>
      <c r="D2918" t="inlineStr">
        <is>
          <t>G1</t>
        </is>
      </c>
      <c r="E2918" t="inlineStr">
        <is>
          <t>HAITIANOS</t>
        </is>
      </c>
      <c r="F2918" t="inlineStr"/>
      <c r="G2918" t="inlineStr">
        <is>
          <t xml:space="preserve"> RODRIGUESDO G1 AC</t>
        </is>
      </c>
      <c r="H2918" t="inlineStr">
        <is>
          <t>REPRESENTANTES DE EMBAIXADAS VÊM AO AC CONHECER ABRIGO DE IMIGRANTES</t>
        </is>
      </c>
      <c r="I2918" t="inlineStr"/>
      <c r="J2918" t="inlineStr">
        <is>
          <t>RIO BRANCO</t>
        </is>
      </c>
      <c r="K2918" t="n">
        <v>1</v>
      </c>
      <c r="L2918" t="n">
        <v>3</v>
      </c>
      <c r="M2918" t="n">
        <v>0</v>
      </c>
      <c r="N2918" t="n">
        <v>0</v>
      </c>
      <c r="O2918" t="n">
        <v>13</v>
      </c>
      <c r="P2918">
        <f>HYPERLINK("http://g1.globo.com/ac/acre/noticia/2015/05/representantes-de-embaixadas-vem-ao-ac-conhecer-abrigo-de-imigrantes.html", "URL")</f>
        <v/>
      </c>
      <c r="Q2918">
        <f>HYPERLINK("https://raw.githubusercontent.com/marcosmapl/dataset_imigrantes/main/materias_filtered/g1/haitianos/2015/04_mai/html/g1_78ed8652-2313-11ed-b24f-6dbe51e79fca_3011.html", "HTML")</f>
        <v/>
      </c>
      <c r="R2918">
        <f>HYPERLINK("https://raw.githubusercontent.com/marcosmapl/dataset_imigrantes/main/materias_filtered/g1/haitianos/2015/04_mai/txt/g1_78ed8652-2313-11ed-b24f-6dbe51e79fca_3011.txt", "TXT")</f>
        <v/>
      </c>
    </row>
    <row r="2919">
      <c r="A2919" s="1" t="n">
        <v>2917</v>
      </c>
      <c r="B2919" t="n">
        <v>2015</v>
      </c>
      <c r="C2919" s="2" t="n">
        <v>42139.41875</v>
      </c>
      <c r="D2919" t="inlineStr">
        <is>
          <t>G1</t>
        </is>
      </c>
      <c r="E2919" t="inlineStr">
        <is>
          <t>HAITIANOS</t>
        </is>
      </c>
      <c r="F2919" t="inlineStr"/>
      <c r="G2919" t="inlineStr">
        <is>
          <t>1 AM</t>
        </is>
      </c>
      <c r="H2919" t="inlineStr">
        <is>
          <t>NO BRASIL, JOVEM HAITIANO SONHA EM FAZER SUCESSO COM A MÚSICA</t>
        </is>
      </c>
      <c r="I2919" t="inlineStr"/>
      <c r="J2919" t="inlineStr">
        <is>
          <t>MANAUS, AMAZONAS</t>
        </is>
      </c>
      <c r="K2919" t="n">
        <v>2</v>
      </c>
      <c r="L2919" t="n">
        <v>5</v>
      </c>
      <c r="M2919" t="n">
        <v>0</v>
      </c>
      <c r="N2919" t="n">
        <v>0</v>
      </c>
      <c r="O2919" t="n">
        <v>13</v>
      </c>
      <c r="P2919">
        <f>HYPERLINK("http://g1.globo.com/am/amazonas/noticia/2015/05/no-brasil-jovem-haitiano-alimenta-sonho-da-fama-por-meio-da-musica.html", "URL")</f>
        <v/>
      </c>
      <c r="Q2919">
        <f>HYPERLINK("https://raw.githubusercontent.com/marcosmapl/dataset_imigrantes/main/materias_filtered/g1/haitianos/2015/04_mai/html/g1_b159c44a-2324-11ed-b24f-6dbe51e79fca_3882.html", "HTML")</f>
        <v/>
      </c>
      <c r="R2919">
        <f>HYPERLINK("https://raw.githubusercontent.com/marcosmapl/dataset_imigrantes/main/materias_filtered/g1/haitianos/2015/04_mai/txt/g1_b159c44a-2324-11ed-b24f-6dbe51e79fca_3882.txt", "TXT")</f>
        <v/>
      </c>
    </row>
    <row r="2920">
      <c r="A2920" s="1" t="n">
        <v>2918</v>
      </c>
      <c r="B2920" t="n">
        <v>2015</v>
      </c>
      <c r="C2920" s="2" t="n">
        <v>42135.70277777778</v>
      </c>
      <c r="D2920" t="inlineStr">
        <is>
          <t>G1</t>
        </is>
      </c>
      <c r="E2920" t="inlineStr">
        <is>
          <t>HAITIANOS</t>
        </is>
      </c>
      <c r="F2920" t="inlineStr"/>
      <c r="G2920" t="inlineStr">
        <is>
          <t>IA MELODO G1 AC</t>
        </is>
      </c>
      <c r="H2920" t="inlineStr">
        <is>
          <t>APÓS MORTE DE IMIGRANTE, CONSELHEIRO DA EMBAIXADA DO HAITI VISITA O ACRE</t>
        </is>
      </c>
      <c r="I2920" t="inlineStr"/>
      <c r="J2920" t="inlineStr">
        <is>
          <t>RIO BRANCO</t>
        </is>
      </c>
      <c r="K2920" t="n">
        <v>1</v>
      </c>
      <c r="L2920" t="n">
        <v>6</v>
      </c>
      <c r="M2920" t="n">
        <v>0</v>
      </c>
      <c r="N2920" t="n">
        <v>0</v>
      </c>
      <c r="O2920" t="n">
        <v>8</v>
      </c>
      <c r="P2920">
        <f>HYPERLINK("http://g1.globo.com/ac/acre/noticia/2015/05/apos-morte-de-imigrante-conselheiro-da-embaixada-do-haiti-visita-o-acre.html", "URL")</f>
        <v/>
      </c>
      <c r="Q2920">
        <f>HYPERLINK("https://raw.githubusercontent.com/marcosmapl/dataset_imigrantes/main/materias_filtered/g1/haitianos/2015/04_mai/html/g1_8e4cff1a-2308-11ed-b24f-6dbe51e79fca_2391.html", "HTML")</f>
        <v/>
      </c>
      <c r="R2920">
        <f>HYPERLINK("https://raw.githubusercontent.com/marcosmapl/dataset_imigrantes/main/materias_filtered/g1/haitianos/2015/04_mai/txt/g1_8e4cff1a-2308-11ed-b24f-6dbe51e79fca_2391.txt", "TXT")</f>
        <v/>
      </c>
    </row>
    <row r="2921">
      <c r="A2921" s="1" t="n">
        <v>2919</v>
      </c>
      <c r="B2921" t="n">
        <v>2015</v>
      </c>
      <c r="C2921" s="2" t="n">
        <v>42133.61666666667</v>
      </c>
      <c r="D2921" t="inlineStr">
        <is>
          <t>G1</t>
        </is>
      </c>
      <c r="E2921" t="inlineStr">
        <is>
          <t>HAITIANOS</t>
        </is>
      </c>
      <c r="F2921" t="inlineStr"/>
      <c r="G2921" t="inlineStr">
        <is>
          <t xml:space="preserve"> QUIQUIÔDO G1 RO</t>
        </is>
      </c>
      <c r="H2921" t="inlineStr">
        <is>
          <t>GRÁVIDAS EM RO, HAITIANAS VÃO CELEBRAR DIA DAS MÃES COM SAUDADES</t>
        </is>
      </c>
      <c r="I2921" t="inlineStr"/>
      <c r="J2921" t="inlineStr">
        <is>
          <t>RONDÔNIA, PORTO VELHO</t>
        </is>
      </c>
      <c r="K2921" t="n">
        <v>2</v>
      </c>
      <c r="L2921" t="n">
        <v>7</v>
      </c>
      <c r="M2921" t="n">
        <v>0</v>
      </c>
      <c r="N2921" t="n">
        <v>0</v>
      </c>
      <c r="O2921" t="n">
        <v>15</v>
      </c>
      <c r="P2921">
        <f>HYPERLINK("http://g1.globo.com/ro/rondonia/noticia/2015/05/gravidas-em-ro-haitianas-vao-celebrar-dia-das-maes-com-saudades.html", "URL")</f>
        <v/>
      </c>
      <c r="Q2921">
        <f>HYPERLINK("https://raw.githubusercontent.com/marcosmapl/dataset_imigrantes/main/materias_filtered/g1/haitianos/2015/04_mai/html/g1_2d381056-230e-11ed-b24f-6dbe51e79fca_2726.html", "HTML")</f>
        <v/>
      </c>
      <c r="R2921">
        <f>HYPERLINK("https://raw.githubusercontent.com/marcosmapl/dataset_imigrantes/main/materias_filtered/g1/haitianos/2015/04_mai/txt/g1_2d381056-230e-11ed-b24f-6dbe51e79fca_2726.txt", "TXT")</f>
        <v/>
      </c>
    </row>
    <row r="2922">
      <c r="A2922" s="1" t="n">
        <v>2920</v>
      </c>
      <c r="B2922" t="n">
        <v>2015</v>
      </c>
      <c r="C2922" s="2" t="n">
        <v>42130.64722222222</v>
      </c>
      <c r="D2922" t="inlineStr">
        <is>
          <t>G1</t>
        </is>
      </c>
      <c r="E2922" t="inlineStr">
        <is>
          <t>HAITIANOS</t>
        </is>
      </c>
      <c r="F2922" t="inlineStr"/>
      <c r="G2922" t="inlineStr">
        <is>
          <t xml:space="preserve"> FULGÊNCIODO G1 AC</t>
        </is>
      </c>
      <c r="H2922" t="inlineStr">
        <is>
          <t>HAITIANA QUE MORREU COM PNEUMONIA É ENTERRADA EM RIO BRANCO</t>
        </is>
      </c>
      <c r="I2922" t="inlineStr"/>
      <c r="J2922" t="inlineStr">
        <is>
          <t>RIO BRANCO, HAITI</t>
        </is>
      </c>
      <c r="K2922" t="n">
        <v>2</v>
      </c>
      <c r="L2922" t="n">
        <v>5</v>
      </c>
      <c r="M2922" t="n">
        <v>0</v>
      </c>
      <c r="N2922" t="n">
        <v>0</v>
      </c>
      <c r="O2922" t="n">
        <v>12</v>
      </c>
      <c r="P2922">
        <f>HYPERLINK("http://g1.globo.com/ac/acre/noticia/2015/05/haitiana-que-morreu-com-pneumonia-e-enterrada-em-rio-branco.html", "URL")</f>
        <v/>
      </c>
      <c r="Q2922">
        <f>HYPERLINK("https://raw.githubusercontent.com/marcosmapl/dataset_imigrantes/main/materias_filtered/g1/haitianos/2015/04_mai/html/g1_0dec2846-231c-11ed-b24f-6dbe51e79fca_3426.html", "HTML")</f>
        <v/>
      </c>
      <c r="R2922">
        <f>HYPERLINK("https://raw.githubusercontent.com/marcosmapl/dataset_imigrantes/main/materias_filtered/g1/haitianos/2015/04_mai/txt/g1_0dec2846-231c-11ed-b24f-6dbe51e79fca_3426.txt", "TXT")</f>
        <v/>
      </c>
    </row>
    <row r="2923">
      <c r="A2923" s="1" t="n">
        <v>2921</v>
      </c>
      <c r="B2923" t="n">
        <v>2015</v>
      </c>
      <c r="C2923" s="2" t="n">
        <v>42130.22222222222</v>
      </c>
      <c r="D2923" t="inlineStr">
        <is>
          <t>G1</t>
        </is>
      </c>
      <c r="E2923" t="inlineStr">
        <is>
          <t>HAITIANOS</t>
        </is>
      </c>
      <c r="F2923" t="inlineStr"/>
      <c r="G2923" t="inlineStr">
        <is>
          <t>CILLA ANDRADERIO BRANCO</t>
        </is>
      </c>
      <c r="H2923" t="inlineStr">
        <is>
          <t>MORTE DE HAITIANA PROVOCA REAÇÃO DO ACRE À CHEGADA DE TANTOS IMIGRANTES</t>
        </is>
      </c>
      <c r="I2923" t="inlineStr"/>
      <c r="J2923" t="inlineStr">
        <is>
          <t>ACRE, HAITI</t>
        </is>
      </c>
      <c r="K2923" t="n">
        <v>2</v>
      </c>
      <c r="L2923" t="n">
        <v>4</v>
      </c>
      <c r="M2923" t="n">
        <v>0</v>
      </c>
      <c r="N2923" t="n">
        <v>0</v>
      </c>
      <c r="O2923" t="n">
        <v>12</v>
      </c>
      <c r="P2923">
        <f>HYPERLINK("http://g1.globo.com/hora1/noticia/2015/05/morte-de-haitiana-provoca-reacao-do-acre-chegada-de-tantos-imigrantes.html", "URL")</f>
        <v/>
      </c>
      <c r="Q2923">
        <f>HYPERLINK("https://raw.githubusercontent.com/marcosmapl/dataset_imigrantes/main/materias_filtered/g1/haitianos/2015/04_mai/html/g1_8ed36f60-22ee-11ed-b24f-6dbe51e79fca_1704.html", "HTML")</f>
        <v/>
      </c>
      <c r="R2923">
        <f>HYPERLINK("https://raw.githubusercontent.com/marcosmapl/dataset_imigrantes/main/materias_filtered/g1/haitianos/2015/04_mai/txt/g1_8ed36f60-22ee-11ed-b24f-6dbe51e79fca_1704.txt", "TXT")</f>
        <v/>
      </c>
    </row>
    <row r="2924">
      <c r="A2924" s="1" t="n">
        <v>2922</v>
      </c>
      <c r="B2924" t="n">
        <v>2015</v>
      </c>
      <c r="C2924" s="2" t="n">
        <v>42129.66875</v>
      </c>
      <c r="D2924" t="inlineStr">
        <is>
          <t>G1</t>
        </is>
      </c>
      <c r="E2924" t="inlineStr">
        <is>
          <t>HAITIANOS</t>
        </is>
      </c>
      <c r="F2924" t="inlineStr"/>
      <c r="G2924" t="inlineStr">
        <is>
          <t>E NASCIMENTO E CAIO FULGÊNCIODO G1 AC</t>
        </is>
      </c>
      <c r="H2924" t="inlineStr">
        <is>
          <t>HAITIANA MORRE COM PNEUMONIA EM RIO BRANCO, SEGUNDO GOVERNO</t>
        </is>
      </c>
      <c r="I2924" t="inlineStr"/>
      <c r="J2924" t="inlineStr">
        <is>
          <t>RIO BRANCO</t>
        </is>
      </c>
      <c r="K2924" t="n">
        <v>1</v>
      </c>
      <c r="L2924" t="n">
        <v>5</v>
      </c>
      <c r="M2924" t="n">
        <v>0</v>
      </c>
      <c r="N2924" t="n">
        <v>0</v>
      </c>
      <c r="O2924" t="n">
        <v>12</v>
      </c>
      <c r="P2924">
        <f>HYPERLINK("http://g1.globo.com/ac/acre/noticia/2015/05/haitiana-morre-com-tuberculose-em-em-rio-branco-confirma-sejudh.html", "URL")</f>
        <v/>
      </c>
      <c r="Q2924">
        <f>HYPERLINK("https://raw.githubusercontent.com/marcosmapl/dataset_imigrantes/main/materias_filtered/g1/haitianos/2015/04_mai/html/g1_103eb12e-22ed-11ed-b24f-6dbe51e79fca_1677.html", "HTML")</f>
        <v/>
      </c>
      <c r="R2924">
        <f>HYPERLINK("https://raw.githubusercontent.com/marcosmapl/dataset_imigrantes/main/materias_filtered/g1/haitianos/2015/04_mai/txt/g1_103eb12e-22ed-11ed-b24f-6dbe51e79fca_1677.txt", "TXT")</f>
        <v/>
      </c>
    </row>
    <row r="2925">
      <c r="A2925" s="1" t="n">
        <v>2923</v>
      </c>
      <c r="B2925" t="n">
        <v>2015</v>
      </c>
      <c r="C2925" s="2" t="n">
        <v>42125.65486111111</v>
      </c>
      <c r="D2925" t="inlineStr">
        <is>
          <t>G1</t>
        </is>
      </c>
      <c r="E2925" t="inlineStr">
        <is>
          <t>HAITIANOS</t>
        </is>
      </c>
      <c r="F2925" t="inlineStr"/>
      <c r="G2925" t="inlineStr">
        <is>
          <t>1 SC</t>
        </is>
      </c>
      <c r="H2925" t="inlineStr">
        <is>
          <t>EM BUSCA DE TRABALHO, HAITIANOS SÃO MAIORIA ENTRE ESTRANGEIROS EM JOINVILLE</t>
        </is>
      </c>
      <c r="I2925" t="inlineStr"/>
      <c r="J2925" t="inlineStr">
        <is>
          <t>JOINVILLE</t>
        </is>
      </c>
      <c r="K2925" t="n">
        <v>1</v>
      </c>
      <c r="L2925" t="n">
        <v>5</v>
      </c>
      <c r="M2925" t="n">
        <v>0</v>
      </c>
      <c r="N2925" t="n">
        <v>0</v>
      </c>
      <c r="O2925" t="n">
        <v>9</v>
      </c>
      <c r="P2925">
        <f>HYPERLINK("http://g1.globo.com/sc/santa-catarina/noticia/2015/05/em-busca-de-trabalho-haitianos-sao-maioria-entre-estrangeiros-em-joinville.html", "URL")</f>
        <v/>
      </c>
      <c r="Q2925">
        <f>HYPERLINK("https://raw.githubusercontent.com/marcosmapl/dataset_imigrantes/main/materias_filtered/g1/haitianos/2015/04_mai/html/g1_b839c21c-22fa-11ed-b24f-6dbe51e79fca_2237.html", "HTML")</f>
        <v/>
      </c>
      <c r="R2925">
        <f>HYPERLINK("https://raw.githubusercontent.com/marcosmapl/dataset_imigrantes/main/materias_filtered/g1/haitianos/2015/04_mai/txt/g1_b839c21c-22fa-11ed-b24f-6dbe51e79fca_2237.txt", "TXT")</f>
        <v/>
      </c>
    </row>
    <row r="2926">
      <c r="A2926" s="1" t="n">
        <v>2924</v>
      </c>
      <c r="B2926" t="n">
        <v>2015</v>
      </c>
      <c r="C2926" s="2" t="n">
        <v>42122.39444444444</v>
      </c>
      <c r="D2926" t="inlineStr">
        <is>
          <t>G1</t>
        </is>
      </c>
      <c r="E2926" t="inlineStr">
        <is>
          <t>HAITIANOS</t>
        </is>
      </c>
      <c r="F2926" t="inlineStr"/>
      <c r="G2926" t="inlineStr">
        <is>
          <t>BC</t>
        </is>
      </c>
      <c r="H2926" t="inlineStr">
        <is>
          <t>HAITI APOSTA EM EX-REFÚGIOS PIRATAS PARA ESTIMULAR TURISMO</t>
        </is>
      </c>
      <c r="I2926" t="inlineStr"/>
      <c r="J2926" t="inlineStr">
        <is>
          <t>HAITI</t>
        </is>
      </c>
      <c r="K2926" t="n">
        <v>1</v>
      </c>
      <c r="L2926" t="n">
        <v>6</v>
      </c>
      <c r="M2926" t="n">
        <v>0</v>
      </c>
      <c r="N2926" t="n">
        <v>0</v>
      </c>
      <c r="O2926" t="n">
        <v>9</v>
      </c>
      <c r="P2926">
        <f>HYPERLINK("http://g1.globo.com/turismo-e-viagem/noticia/2015/04/haiti-aposta-em-ex-refugios-piratas-para-estimular-turismo.html", "URL")</f>
        <v/>
      </c>
      <c r="Q2926">
        <f>HYPERLINK("https://raw.githubusercontent.com/marcosmapl/dataset_imigrantes/main/materias_filtered/g1/haitianos/2015/03_abr/html/g1_e913eada-232b-11ed-b24f-6dbe51e79fca_4277.html", "HTML")</f>
        <v/>
      </c>
      <c r="R2926">
        <f>HYPERLINK("https://raw.githubusercontent.com/marcosmapl/dataset_imigrantes/main/materias_filtered/g1/haitianos/2015/03_abr/txt/g1_e913eada-232b-11ed-b24f-6dbe51e79fca_4277.txt", "TXT")</f>
        <v/>
      </c>
    </row>
    <row r="2927">
      <c r="A2927" s="1" t="n">
        <v>2925</v>
      </c>
      <c r="B2927" t="n">
        <v>2015</v>
      </c>
      <c r="C2927" s="2" t="n">
        <v>42120.39513888889</v>
      </c>
      <c r="D2927" t="inlineStr">
        <is>
          <t>G1</t>
        </is>
      </c>
      <c r="E2927" t="inlineStr">
        <is>
          <t>HAITIANOS</t>
        </is>
      </c>
      <c r="F2927" t="inlineStr"/>
      <c r="G2927" t="inlineStr">
        <is>
          <t>1 MT</t>
        </is>
      </c>
      <c r="H2927" t="inlineStr">
        <is>
          <t>UNIVERSITÁRIOS PRODUZEM VÍDEO SOBRE COTIDIANO DE HAITIANOS EM CUIABÁ</t>
        </is>
      </c>
      <c r="I2927" t="inlineStr"/>
      <c r="J2927" t="inlineStr">
        <is>
          <t>UFMT, CUIABÁ</t>
        </is>
      </c>
      <c r="K2927" t="n">
        <v>2</v>
      </c>
      <c r="L2927" t="n">
        <v>4</v>
      </c>
      <c r="M2927" t="n">
        <v>0</v>
      </c>
      <c r="N2927" t="n">
        <v>0</v>
      </c>
      <c r="O2927" t="n">
        <v>13</v>
      </c>
      <c r="P2927">
        <f>HYPERLINK("http://g1.globo.com/mato-grosso/noticia/2015/04/universitarios-produzem-video-sobre-o-cotidiano-de-haitianos-em-cuiaba.html", "URL")</f>
        <v/>
      </c>
      <c r="Q2927">
        <f>HYPERLINK("https://raw.githubusercontent.com/marcosmapl/dataset_imigrantes/main/materias_filtered/g1/haitianos/2015/03_abr/html/g1_99cea022-22fa-11ed-b24f-6dbe51e79fca_2230.html", "HTML")</f>
        <v/>
      </c>
      <c r="R2927">
        <f>HYPERLINK("https://raw.githubusercontent.com/marcosmapl/dataset_imigrantes/main/materias_filtered/g1/haitianos/2015/03_abr/txt/g1_99cea022-22fa-11ed-b24f-6dbe51e79fca_2230.txt", "TXT")</f>
        <v/>
      </c>
    </row>
    <row r="2928">
      <c r="A2928" s="1" t="n">
        <v>2926</v>
      </c>
      <c r="B2928" t="n">
        <v>2015</v>
      </c>
      <c r="C2928" s="2" t="n">
        <v>42106.87638888889</v>
      </c>
      <c r="D2928" t="inlineStr">
        <is>
          <t>G1</t>
        </is>
      </c>
      <c r="E2928" t="inlineStr">
        <is>
          <t>HAITIANOS</t>
        </is>
      </c>
      <c r="F2928" t="inlineStr"/>
      <c r="G2928" t="inlineStr">
        <is>
          <t xml:space="preserve"> RODRIGUESDO G1 AC</t>
        </is>
      </c>
      <c r="H2928" t="inlineStr">
        <is>
          <t>'DESESPERO', DIZ HAITIANA APÓS SER SEPARADA DA FILHA NA FRONTEIRA DO AC</t>
        </is>
      </c>
      <c r="I2928" t="inlineStr"/>
      <c r="J2928" t="inlineStr">
        <is>
          <t>EPITACIOLÂNDIA, RIO BRANCO</t>
        </is>
      </c>
      <c r="K2928" t="n">
        <v>2</v>
      </c>
      <c r="L2928" t="n">
        <v>3</v>
      </c>
      <c r="M2928" t="n">
        <v>0</v>
      </c>
      <c r="N2928" t="n">
        <v>0</v>
      </c>
      <c r="O2928" t="n">
        <v>18</v>
      </c>
      <c r="P2928">
        <f>HYPERLINK("http://g1.globo.com/ac/acre/noticia/2015/04/desespero-diz-haitiana-apos-ser-separada-da-filha-na-fronteira-do-ac.html", "URL")</f>
        <v/>
      </c>
      <c r="Q2928">
        <f>HYPERLINK("https://raw.githubusercontent.com/marcosmapl/dataset_imigrantes/main/materias_filtered/g1/haitianos/2015/03_abr/html/g1_b061ce38-2311-11ed-b24f-6dbe51e79fca_2929.html", "HTML")</f>
        <v/>
      </c>
      <c r="R2928">
        <f>HYPERLINK("https://raw.githubusercontent.com/marcosmapl/dataset_imigrantes/main/materias_filtered/g1/haitianos/2015/03_abr/txt/g1_b061ce38-2311-11ed-b24f-6dbe51e79fca_2929.txt", "TXT")</f>
        <v/>
      </c>
    </row>
    <row r="2929">
      <c r="A2929" s="1" t="n">
        <v>2927</v>
      </c>
      <c r="B2929" t="n">
        <v>2015</v>
      </c>
      <c r="C2929" s="2" t="n">
        <v>42103.74722222222</v>
      </c>
      <c r="D2929" t="inlineStr">
        <is>
          <t>G1</t>
        </is>
      </c>
      <c r="E2929" t="inlineStr">
        <is>
          <t>HAITIANOS</t>
        </is>
      </c>
      <c r="F2929" t="inlineStr"/>
      <c r="G2929" t="inlineStr">
        <is>
          <t>FP</t>
        </is>
      </c>
      <c r="H2929" t="inlineStr">
        <is>
          <t>NAUFRÁGIO EM FRENTE À COSTA DO HAITI DEIXA 21 MORTOS</t>
        </is>
      </c>
      <c r="I2929" t="inlineStr"/>
      <c r="J2929" t="inlineStr">
        <is>
          <t>HAITI</t>
        </is>
      </c>
      <c r="K2929" t="n">
        <v>1</v>
      </c>
      <c r="L2929" t="n">
        <v>5</v>
      </c>
      <c r="M2929" t="n">
        <v>0</v>
      </c>
      <c r="N2929" t="n">
        <v>0</v>
      </c>
      <c r="O2929" t="n">
        <v>9</v>
      </c>
      <c r="P2929">
        <f>HYPERLINK("http://g1.globo.com/mundo/noticia/2015/04/naufragio-em-frente-costa-do-haiti-deixa-21-mortos.html", "URL")</f>
        <v/>
      </c>
      <c r="Q2929">
        <f>HYPERLINK("https://raw.githubusercontent.com/marcosmapl/dataset_imigrantes/main/materias_filtered/g1/haitianos/2015/03_abr/html/g1_32e36ed0-2316-11ed-b24f-6dbe51e79fca_3132.html", "HTML")</f>
        <v/>
      </c>
      <c r="R2929">
        <f>HYPERLINK("https://raw.githubusercontent.com/marcosmapl/dataset_imigrantes/main/materias_filtered/g1/haitianos/2015/03_abr/txt/g1_32e36ed0-2316-11ed-b24f-6dbe51e79fca_3132.txt", "TXT")</f>
        <v/>
      </c>
    </row>
    <row r="2930">
      <c r="A2930" s="1" t="n">
        <v>2928</v>
      </c>
      <c r="B2930" t="n">
        <v>2015</v>
      </c>
      <c r="C2930" s="2" t="n">
        <v>42101.62152777778</v>
      </c>
      <c r="D2930" t="inlineStr">
        <is>
          <t>G1</t>
        </is>
      </c>
      <c r="E2930" t="inlineStr">
        <is>
          <t>HAITIANOS</t>
        </is>
      </c>
      <c r="F2930" t="inlineStr"/>
      <c r="G2930" t="inlineStr">
        <is>
          <t>LE MELHADODO G1 VALE DO PARAÍBA  E REGIÃO</t>
        </is>
      </c>
      <c r="H2930" t="inlineStr">
        <is>
          <t>IMIGRANTES HAITIANOS ACOLHIDOS EM JACAREÍ BUSCAM EMPREGO NO VALE</t>
        </is>
      </c>
      <c r="I2930" t="inlineStr"/>
      <c r="J2930" t="inlineStr">
        <is>
          <t>SÃO PAULO, JACAREÍ</t>
        </is>
      </c>
      <c r="K2930" t="n">
        <v>2</v>
      </c>
      <c r="L2930" t="n">
        <v>5</v>
      </c>
      <c r="M2930" t="n">
        <v>0</v>
      </c>
      <c r="N2930" t="n">
        <v>0</v>
      </c>
      <c r="O2930" t="n">
        <v>11</v>
      </c>
      <c r="P2930">
        <f>HYPERLINK("http://g1.globo.com/sp/vale-do-paraiba-regiao/noticia/2015/04/imigrantes-haitianos-acolhidos-em-jacarei-buscam-emprego-no-vale.html", "URL")</f>
        <v/>
      </c>
      <c r="Q2930">
        <f>HYPERLINK("https://raw.githubusercontent.com/marcosmapl/dataset_imigrantes/main/materias_filtered/g1/haitianos/2015/03_abr/html/g1_fec1f35a-22f3-11ed-b24f-6dbe51e79fca_1869.html", "HTML")</f>
        <v/>
      </c>
      <c r="R2930">
        <f>HYPERLINK("https://raw.githubusercontent.com/marcosmapl/dataset_imigrantes/main/materias_filtered/g1/haitianos/2015/03_abr/txt/g1_fec1f35a-22f3-11ed-b24f-6dbe51e79fca_1869.txt", "TXT")</f>
        <v/>
      </c>
    </row>
    <row r="2931">
      <c r="A2931" s="1" t="n">
        <v>2929</v>
      </c>
      <c r="B2931" t="n">
        <v>2015</v>
      </c>
      <c r="C2931" s="2" t="n">
        <v>42097.39375</v>
      </c>
      <c r="D2931" t="inlineStr">
        <is>
          <t>G1</t>
        </is>
      </c>
      <c r="E2931" t="inlineStr">
        <is>
          <t>HAITIANOS</t>
        </is>
      </c>
      <c r="F2931" t="inlineStr"/>
      <c r="G2931" t="inlineStr">
        <is>
          <t>OAN SANTIAGODO G1 AP</t>
        </is>
      </c>
      <c r="H2931" t="inlineStr">
        <is>
          <t>HAITIANA É DIAGNOSTICADA COM TUBERCULOSE EM HOSPITAL DE MACAPÁ</t>
        </is>
      </c>
      <c r="I2931" t="inlineStr"/>
      <c r="J2931" t="inlineStr">
        <is>
          <t>MACAPÁ, AMAPÁ, SÃO PAULO, SOROCABA</t>
        </is>
      </c>
      <c r="K2931" t="n">
        <v>4</v>
      </c>
      <c r="L2931" t="n">
        <v>5</v>
      </c>
      <c r="M2931" t="n">
        <v>0</v>
      </c>
      <c r="N2931" t="n">
        <v>0</v>
      </c>
      <c r="O2931" t="n">
        <v>15</v>
      </c>
      <c r="P2931">
        <f>HYPERLINK("http://g1.globo.com/ap/amapa/noticia/2015/04/haitiana-e-diagnosticada-com-tuberculose-em-hospital-de-macapa.html", "URL")</f>
        <v/>
      </c>
      <c r="Q2931">
        <f>HYPERLINK("https://raw.githubusercontent.com/marcosmapl/dataset_imigrantes/main/materias_filtered/g1/haitianos/2015/03_abr/html/g1_3c11eefa-2325-11ed-b24f-6dbe51e79fca_3902.html", "HTML")</f>
        <v/>
      </c>
      <c r="R2931">
        <f>HYPERLINK("https://raw.githubusercontent.com/marcosmapl/dataset_imigrantes/main/materias_filtered/g1/haitianos/2015/03_abr/txt/g1_3c11eefa-2325-11ed-b24f-6dbe51e79fca_3902.txt", "TXT")</f>
        <v/>
      </c>
    </row>
    <row r="2932">
      <c r="A2932" s="1" t="n">
        <v>2930</v>
      </c>
      <c r="B2932" t="n">
        <v>2015</v>
      </c>
      <c r="C2932" s="2" t="n">
        <v>42090.49583333333</v>
      </c>
      <c r="D2932" t="inlineStr">
        <is>
          <t>G1</t>
        </is>
      </c>
      <c r="E2932" t="inlineStr">
        <is>
          <t>VENEZUELANOS</t>
        </is>
      </c>
      <c r="F2932" t="inlineStr"/>
      <c r="G2932" t="inlineStr">
        <is>
          <t>1 AC</t>
        </is>
      </c>
      <c r="H2932" t="inlineStr">
        <is>
          <t>VENEZUELANA É PRESA COM MAIS DE 10 KG DE CLORIDRATO DE COCAÍNA EM MALA</t>
        </is>
      </c>
      <c r="I2932" t="inlineStr"/>
      <c r="J2932" t="inlineStr">
        <is>
          <t>BRASILÉIA, RIO BRANCO, XAPURI</t>
        </is>
      </c>
      <c r="K2932" t="n">
        <v>3</v>
      </c>
      <c r="L2932" t="n">
        <v>3</v>
      </c>
      <c r="M2932" t="n">
        <v>0</v>
      </c>
      <c r="N2932" t="n">
        <v>0</v>
      </c>
      <c r="O2932" t="n">
        <v>13</v>
      </c>
      <c r="P2932">
        <f>HYPERLINK("http://g1.globo.com/ac/acre/noticia/2015/03/venezuelana-e-presa-com-mais-de-10-kg-de-cloridrato-de-cocaina-em-mala.html", "URL")</f>
        <v/>
      </c>
      <c r="Q2932">
        <f>HYPERLINK("https://raw.githubusercontent.com/marcosmapl/dataset_imigrantes/main/materias_filtered/g1/venezuelanos/2015/02_mar/html/g1_55f3e542-2313-11ed-b24f-6dbe51e79fca_3006.html", "HTML")</f>
        <v/>
      </c>
      <c r="R2932">
        <f>HYPERLINK("https://raw.githubusercontent.com/marcosmapl/dataset_imigrantes/main/materias_filtered/g1/venezuelanos/2015/02_mar/txt/g1_55f3e542-2313-11ed-b24f-6dbe51e79fca_3006.txt", "TXT")</f>
        <v/>
      </c>
    </row>
    <row r="2933">
      <c r="A2933" s="1" t="n">
        <v>2931</v>
      </c>
      <c r="B2933" t="n">
        <v>2015</v>
      </c>
      <c r="C2933" s="2" t="n">
        <v>42078.70833333334</v>
      </c>
      <c r="D2933" t="inlineStr">
        <is>
          <t>G1</t>
        </is>
      </c>
      <c r="E2933" t="inlineStr">
        <is>
          <t>VENEZUELANOS</t>
        </is>
      </c>
      <c r="F2933" t="inlineStr"/>
      <c r="G2933" t="inlineStr">
        <is>
          <t>RANCE PRESSE</t>
        </is>
      </c>
      <c r="H2933" t="inlineStr">
        <is>
          <t>ASSEMBLEIA VENEZUELANA CONCEDE SUPERPODERES A MADURO</t>
        </is>
      </c>
      <c r="I2933" t="inlineStr"/>
      <c r="J2933" t="inlineStr">
        <is>
          <t>NICOLÁS MADURO, VENEZUELA</t>
        </is>
      </c>
      <c r="K2933" t="n">
        <v>2</v>
      </c>
      <c r="L2933" t="n">
        <v>6</v>
      </c>
      <c r="M2933" t="n">
        <v>0</v>
      </c>
      <c r="N2933" t="n">
        <v>0</v>
      </c>
      <c r="O2933" t="n">
        <v>13</v>
      </c>
      <c r="P2933">
        <f>HYPERLINK("http://g1.globo.com/mundo/noticia/2015/03/assembleia-venezuelana-concede-superpoderes-maduro.html", "URL")</f>
        <v/>
      </c>
      <c r="Q2933">
        <f>HYPERLINK("https://raw.githubusercontent.com/marcosmapl/dataset_imigrantes/main/materias_filtered/g1/venezuelanos/2015/02_mar/html/g1_46450bb8-2312-11ed-b24f-6dbe51e79fca_2958.html", "HTML")</f>
        <v/>
      </c>
      <c r="R2933">
        <f>HYPERLINK("https://raw.githubusercontent.com/marcosmapl/dataset_imigrantes/main/materias_filtered/g1/venezuelanos/2015/02_mar/txt/g1_46450bb8-2312-11ed-b24f-6dbe51e79fca_2958.txt", "TXT")</f>
        <v/>
      </c>
    </row>
    <row r="2934">
      <c r="A2934" s="1" t="n">
        <v>2932</v>
      </c>
      <c r="B2934" t="n">
        <v>2015</v>
      </c>
      <c r="C2934" s="2" t="n">
        <v>42076.09583333333</v>
      </c>
      <c r="D2934" t="inlineStr">
        <is>
          <t>G1</t>
        </is>
      </c>
      <c r="E2934" t="inlineStr">
        <is>
          <t>HAITIANOS</t>
        </is>
      </c>
      <c r="F2934" t="inlineStr"/>
      <c r="G2934" t="inlineStr">
        <is>
          <t>CE RAMOSCUIABÁ, MT</t>
        </is>
      </c>
      <c r="H2934" t="inlineStr">
        <is>
          <t>IMIGRANTES HAITIANOS NO BRASIL SOFREM COM IDIOMA E FALTA DE QUALIFICAÇÃO</t>
        </is>
      </c>
      <c r="I2934" t="inlineStr"/>
      <c r="J2934" t="inlineStr">
        <is>
          <t>GOVERNO FEDERAL, MATO GROSSO, MINISTÉRIO PÚBLICO FEDERAL, CUIABÁ</t>
        </is>
      </c>
      <c r="K2934" t="n">
        <v>4</v>
      </c>
      <c r="L2934" t="n">
        <v>4</v>
      </c>
      <c r="M2934" t="n">
        <v>0</v>
      </c>
      <c r="N2934" t="n">
        <v>0</v>
      </c>
      <c r="O2934" t="n">
        <v>14</v>
      </c>
      <c r="P2934">
        <f>HYPERLINK("http://g1.globo.com/jornal-da-globo/noticia/2015/03/imigrantes-haitianos-no-brasil-sofrem-com-idioma-e-falta-de-qualificacao.html", "URL")</f>
        <v/>
      </c>
      <c r="Q2934">
        <f>HYPERLINK("https://raw.githubusercontent.com/marcosmapl/dataset_imigrantes/main/materias_filtered/g1/haitianos/2015/02_mar/html/g1_a506a686-22f2-11ed-b24f-6dbe51e79fca_1808.html", "HTML")</f>
        <v/>
      </c>
      <c r="R2934">
        <f>HYPERLINK("https://raw.githubusercontent.com/marcosmapl/dataset_imigrantes/main/materias_filtered/g1/haitianos/2015/02_mar/txt/g1_a506a686-22f2-11ed-b24f-6dbe51e79fca_1808.txt", "TXT")</f>
        <v/>
      </c>
    </row>
    <row r="2935">
      <c r="A2935" s="1" t="n">
        <v>2933</v>
      </c>
      <c r="B2935" t="n">
        <v>2015</v>
      </c>
      <c r="C2935" s="2" t="n">
        <v>42074.8875</v>
      </c>
      <c r="D2935" t="inlineStr">
        <is>
          <t>G1</t>
        </is>
      </c>
      <c r="E2935" t="inlineStr">
        <is>
          <t>HAITIANOS</t>
        </is>
      </c>
      <c r="F2935" t="inlineStr"/>
      <c r="G2935" t="inlineStr"/>
      <c r="H2935" t="inlineStr">
        <is>
          <t>CENTENAS DE IMIGRANTES HAITIANOS FOGEM DO ACRE PARA SÃO PAULO</t>
        </is>
      </c>
      <c r="I2935" t="inlineStr"/>
      <c r="J2935" t="inlineStr"/>
      <c r="K2935" t="n">
        <v>0</v>
      </c>
      <c r="L2935" t="n">
        <v>0</v>
      </c>
      <c r="M2935" t="n">
        <v>0</v>
      </c>
      <c r="N2935" t="n">
        <v>0</v>
      </c>
      <c r="O2935" t="n">
        <v>4</v>
      </c>
      <c r="P2935">
        <f>HYPERLINK("http://g1.globo.com/jornal-nacional/noticia/2015/03/centenas-de-imigrantes-haitianos-fogem-do-acre-para-sao-paulo.html", "URL")</f>
        <v/>
      </c>
      <c r="Q2935">
        <f>HYPERLINK("https://raw.githubusercontent.com/marcosmapl/dataset_imigrantes/main/materias_filtered/g1/haitianos/2015/02_mar/html/g1_3707f154-22f6-11ed-b24f-6dbe51e79fca_2001.html", "HTML")</f>
        <v/>
      </c>
      <c r="R2935">
        <f>HYPERLINK("https://raw.githubusercontent.com/marcosmapl/dataset_imigrantes/main/materias_filtered/g1/haitianos/2015/02_mar/txt/g1_3707f154-22f6-11ed-b24f-6dbe51e79fca_2001.txt", "TXT")</f>
        <v/>
      </c>
    </row>
    <row r="2936">
      <c r="A2936" s="1" t="n">
        <v>2934</v>
      </c>
      <c r="B2936" t="n">
        <v>2015</v>
      </c>
      <c r="C2936" s="2" t="n">
        <v>42074.79236111111</v>
      </c>
      <c r="D2936" t="inlineStr">
        <is>
          <t>G1</t>
        </is>
      </c>
      <c r="E2936" t="inlineStr">
        <is>
          <t>HAITIANOS</t>
        </is>
      </c>
      <c r="F2936" t="inlineStr"/>
      <c r="G2936" t="inlineStr">
        <is>
          <t>1 AC</t>
        </is>
      </c>
      <c r="H2936" t="inlineStr">
        <is>
          <t>HAITIANOS SÃO LEVADOS EM ÔNIBUS PARA VER DILMA NA 'CIDADE DO POVO'</t>
        </is>
      </c>
      <c r="I2936" t="inlineStr"/>
      <c r="J2936" t="inlineStr">
        <is>
          <t>RIO BRANCO, XAPURI</t>
        </is>
      </c>
      <c r="K2936" t="n">
        <v>2</v>
      </c>
      <c r="L2936" t="n">
        <v>5</v>
      </c>
      <c r="M2936" t="n">
        <v>0</v>
      </c>
      <c r="N2936" t="n">
        <v>0</v>
      </c>
      <c r="O2936" t="n">
        <v>14</v>
      </c>
      <c r="P2936">
        <f>HYPERLINK("http://g1.globo.com/ac/acre/noticia/2015/03/haitianos-sao-levados-em-onibus-para-ver-dilma-na-cidade-do-povo.html", "URL")</f>
        <v/>
      </c>
      <c r="Q2936">
        <f>HYPERLINK("https://raw.githubusercontent.com/marcosmapl/dataset_imigrantes/main/materias_filtered/g1/haitianos/2015/02_mar/html/g1_8fa5b2d4-22fa-11ed-b24f-6dbe51e79fca_2228.html", "HTML")</f>
        <v/>
      </c>
      <c r="R2936">
        <f>HYPERLINK("https://raw.githubusercontent.com/marcosmapl/dataset_imigrantes/main/materias_filtered/g1/haitianos/2015/02_mar/txt/g1_8fa5b2d4-22fa-11ed-b24f-6dbe51e79fca_2228.txt", "TXT")</f>
        <v/>
      </c>
    </row>
    <row r="2937">
      <c r="A2937" s="1" t="n">
        <v>2935</v>
      </c>
      <c r="B2937" t="n">
        <v>2015</v>
      </c>
      <c r="C2937" s="2" t="n">
        <v>42074.55833333333</v>
      </c>
      <c r="D2937" t="inlineStr">
        <is>
          <t>G1</t>
        </is>
      </c>
      <c r="E2937" t="inlineStr">
        <is>
          <t>HAITIANOS</t>
        </is>
      </c>
      <c r="F2937" t="inlineStr"/>
      <c r="G2937" t="inlineStr">
        <is>
          <t>CIA MACEDODO G1 SÃO PAULO</t>
        </is>
      </c>
      <c r="H2937" t="inlineStr">
        <is>
          <t>MISSÃO QUE ACOLHE HAITIANOS RECEBE MULTA POR GASTO DE ÁGUA</t>
        </is>
      </c>
      <c r="I2937" t="inlineStr"/>
      <c r="J2937" t="inlineStr"/>
      <c r="K2937" t="n">
        <v>0</v>
      </c>
      <c r="L2937" t="n">
        <v>2</v>
      </c>
      <c r="M2937" t="n">
        <v>0</v>
      </c>
      <c r="N2937" t="n">
        <v>0</v>
      </c>
      <c r="O2937" t="n">
        <v>8</v>
      </c>
      <c r="P2937">
        <f>HYPERLINK("http://g1.globo.com/sao-paulo/noticia/2015/03/missao-que-acolhe-haitianos-recebe-multa-por-gasto-de-agua.html", "URL")</f>
        <v/>
      </c>
      <c r="Q2937">
        <f>HYPERLINK("https://raw.githubusercontent.com/marcosmapl/dataset_imigrantes/main/materias_filtered/g1/haitianos/2015/02_mar/html/g1_c68a2a82-22f5-11ed-b24f-6dbe51e79fca_1971.html", "HTML")</f>
        <v/>
      </c>
      <c r="R2937">
        <f>HYPERLINK("https://raw.githubusercontent.com/marcosmapl/dataset_imigrantes/main/materias_filtered/g1/haitianos/2015/02_mar/txt/g1_c68a2a82-22f5-11ed-b24f-6dbe51e79fca_1971.txt", "TXT")</f>
        <v/>
      </c>
    </row>
    <row r="2938">
      <c r="A2938" s="1" t="n">
        <v>2936</v>
      </c>
      <c r="B2938" t="n">
        <v>2015</v>
      </c>
      <c r="C2938" s="2" t="n">
        <v>42072.34930555556</v>
      </c>
      <c r="D2938" t="inlineStr">
        <is>
          <t>G1</t>
        </is>
      </c>
      <c r="E2938" t="inlineStr">
        <is>
          <t>VENEZUELANOS</t>
        </is>
      </c>
      <c r="F2938" t="inlineStr"/>
      <c r="G2938" t="inlineStr">
        <is>
          <t>FE</t>
        </is>
      </c>
      <c r="H2938" t="inlineStr">
        <is>
          <t>MADURO QUER PLANO PARA VENEZUELANAS DIRIGIREM PRODUÇÃO DE FRALDAS</t>
        </is>
      </c>
      <c r="I2938" t="inlineStr"/>
      <c r="J2938" t="inlineStr">
        <is>
          <t>NICOLÁS MADURO, VENEZUELA, ECONOMIA</t>
        </is>
      </c>
      <c r="K2938" t="n">
        <v>3</v>
      </c>
      <c r="L2938" t="n">
        <v>5</v>
      </c>
      <c r="M2938" t="n">
        <v>0</v>
      </c>
      <c r="N2938" t="n">
        <v>0</v>
      </c>
      <c r="O2938" t="n">
        <v>12</v>
      </c>
      <c r="P2938">
        <f>HYPERLINK("http://g1.globo.com/economia/noticia/2015/03/maduro-quer-plano-para-venezuelanas-dirigirem-producao-de-fraldas.html", "URL")</f>
        <v/>
      </c>
      <c r="Q2938">
        <f>HYPERLINK("https://raw.githubusercontent.com/marcosmapl/dataset_imigrantes/main/materias_filtered/g1/venezuelanos/2015/02_mar/html/g1_ff82f38e-2311-11ed-b24f-6dbe51e79fca_2944.html", "HTML")</f>
        <v/>
      </c>
      <c r="R2938">
        <f>HYPERLINK("https://raw.githubusercontent.com/marcosmapl/dataset_imigrantes/main/materias_filtered/g1/venezuelanos/2015/02_mar/txt/g1_ff82f38e-2311-11ed-b24f-6dbe51e79fca_2944.txt", "TXT")</f>
        <v/>
      </c>
    </row>
    <row r="2939">
      <c r="A2939" s="1" t="n">
        <v>2937</v>
      </c>
      <c r="B2939" t="n">
        <v>2015</v>
      </c>
      <c r="C2939" s="2" t="n">
        <v>42067.61319444444</v>
      </c>
      <c r="D2939" t="inlineStr">
        <is>
          <t>G1</t>
        </is>
      </c>
      <c r="E2939" t="inlineStr">
        <is>
          <t>HAITIANOS</t>
        </is>
      </c>
      <c r="F2939" t="inlineStr"/>
      <c r="G2939" t="inlineStr"/>
      <c r="H2939" t="inlineStr">
        <is>
          <t>HAITIANA ESTÁ MORANDO EM AEROPORTO DE PORTO ALEGRE HÁ QUATRO DIAS</t>
        </is>
      </c>
      <c r="I2939" t="inlineStr"/>
      <c r="J2939" t="inlineStr">
        <is>
          <t>PORTO ALEGRE</t>
        </is>
      </c>
      <c r="K2939" t="n">
        <v>1</v>
      </c>
      <c r="L2939" t="n">
        <v>2</v>
      </c>
      <c r="M2939" t="n">
        <v>0</v>
      </c>
      <c r="N2939" t="n">
        <v>0</v>
      </c>
      <c r="O2939" t="n">
        <v>10</v>
      </c>
      <c r="P2939">
        <f>HYPERLINK("http://g1.globo.com/jornal-hoje/noticia/2015/03/haitiana-esta-morando-em-aeroporto-de-porto-alegre-ha-quatro-dias.html", "URL")</f>
        <v/>
      </c>
      <c r="Q2939">
        <f>HYPERLINK("https://raw.githubusercontent.com/marcosmapl/dataset_imigrantes/main/materias_filtered/g1/haitianos/2015/02_mar/html/g1_b5b9ddd8-231d-11ed-b24f-6dbe51e79fca_3517.html", "HTML")</f>
        <v/>
      </c>
      <c r="R2939">
        <f>HYPERLINK("https://raw.githubusercontent.com/marcosmapl/dataset_imigrantes/main/materias_filtered/g1/haitianos/2015/02_mar/txt/g1_b5b9ddd8-231d-11ed-b24f-6dbe51e79fca_3517.txt", "TXT")</f>
        <v/>
      </c>
    </row>
    <row r="2940">
      <c r="A2940" s="1" t="n">
        <v>2938</v>
      </c>
      <c r="B2940" t="n">
        <v>2015</v>
      </c>
      <c r="C2940" s="2" t="n">
        <v>42066.79236111111</v>
      </c>
      <c r="D2940" t="inlineStr">
        <is>
          <t>G1</t>
        </is>
      </c>
      <c r="E2940" t="inlineStr">
        <is>
          <t>HAITIANOS</t>
        </is>
      </c>
      <c r="F2940" t="inlineStr"/>
      <c r="G2940" t="inlineStr">
        <is>
          <t>PE TRUDADO G1 RS</t>
        </is>
      </c>
      <c r="H2940" t="inlineStr">
        <is>
          <t>'SÓ QUERO IR EMBORA', DIZ HAITIANA QUE HÁ 3 DIAS MORA EM AEROPORTO NO RS</t>
        </is>
      </c>
      <c r="I2940" t="inlineStr"/>
      <c r="J2940" t="inlineStr">
        <is>
          <t>PORTO ALEGRE</t>
        </is>
      </c>
      <c r="K2940" t="n">
        <v>1</v>
      </c>
      <c r="L2940" t="n">
        <v>5</v>
      </c>
      <c r="M2940" t="n">
        <v>0</v>
      </c>
      <c r="N2940" t="n">
        <v>0</v>
      </c>
      <c r="O2940" t="n">
        <v>11</v>
      </c>
      <c r="P2940">
        <f>HYPERLINK("http://g1.globo.com/rs/rio-grande-do-sul/noticia/2015/03/so-quero-ir-embora-diz-haitiana-que-ha-3-dias-mora-em-aeroporto-no-rs.html", "URL")</f>
        <v/>
      </c>
      <c r="Q2940">
        <f>HYPERLINK("https://raw.githubusercontent.com/marcosmapl/dataset_imigrantes/main/materias_filtered/g1/haitianos/2015/02_mar/html/g1_a16ec54c-2317-11ed-b24f-6dbe51e79fca_3220.html", "HTML")</f>
        <v/>
      </c>
      <c r="R2940">
        <f>HYPERLINK("https://raw.githubusercontent.com/marcosmapl/dataset_imigrantes/main/materias_filtered/g1/haitianos/2015/02_mar/txt/g1_a16ec54c-2317-11ed-b24f-6dbe51e79fca_3220.txt", "TXT")</f>
        <v/>
      </c>
    </row>
    <row r="2941">
      <c r="A2941" s="1" t="n">
        <v>2939</v>
      </c>
      <c r="B2941" t="n">
        <v>2015</v>
      </c>
      <c r="C2941" s="2" t="n">
        <v>42061.77291666667</v>
      </c>
      <c r="D2941" t="inlineStr">
        <is>
          <t>G1</t>
        </is>
      </c>
      <c r="E2941" t="inlineStr">
        <is>
          <t>HAITIANOS</t>
        </is>
      </c>
      <c r="F2941" t="inlineStr"/>
      <c r="G2941" t="inlineStr">
        <is>
          <t xml:space="preserve"> RODRIGUESDO G1 AC</t>
        </is>
      </c>
      <c r="H2941" t="inlineStr">
        <is>
          <t>ACRE ESPERA RESPOSTA DO GOVERNO FEDERAL SOBRE ENTRADA DE HAITIANOS</t>
        </is>
      </c>
      <c r="I2941" t="inlineStr"/>
      <c r="J2941" t="inlineStr">
        <is>
          <t>RIO BRANCO</t>
        </is>
      </c>
      <c r="K2941" t="n">
        <v>1</v>
      </c>
      <c r="L2941" t="n">
        <v>5</v>
      </c>
      <c r="M2941" t="n">
        <v>0</v>
      </c>
      <c r="N2941" t="n">
        <v>0</v>
      </c>
      <c r="O2941" t="n">
        <v>12</v>
      </c>
      <c r="P2941">
        <f>HYPERLINK("http://g1.globo.com/ac/acre/noticia/2015/02/acre-espera-resposta-do-governo-federal-sobre-entrada-de-haitianos.html", "URL")</f>
        <v/>
      </c>
      <c r="Q2941">
        <f>HYPERLINK("https://raw.githubusercontent.com/marcosmapl/dataset_imigrantes/main/materias_filtered/g1/haitianos/2015/01_fev/html/g1_d043e5ea-22fa-11ed-b24f-6dbe51e79fca_2243.html", "HTML")</f>
        <v/>
      </c>
      <c r="R2941">
        <f>HYPERLINK("https://raw.githubusercontent.com/marcosmapl/dataset_imigrantes/main/materias_filtered/g1/haitianos/2015/01_fev/txt/g1_d043e5ea-22fa-11ed-b24f-6dbe51e79fca_2243.txt", "TXT")</f>
        <v/>
      </c>
    </row>
    <row r="2942">
      <c r="A2942" s="1" t="n">
        <v>2940</v>
      </c>
      <c r="B2942" t="n">
        <v>2015</v>
      </c>
      <c r="C2942" s="2" t="n">
        <v>42060.72708333333</v>
      </c>
      <c r="D2942" t="inlineStr">
        <is>
          <t>G1</t>
        </is>
      </c>
      <c r="E2942" t="inlineStr">
        <is>
          <t>HAITIANOS</t>
        </is>
      </c>
      <c r="F2942" t="inlineStr"/>
      <c r="G2942" t="inlineStr">
        <is>
          <t xml:space="preserve"> RODRIGUESDO G1 AC</t>
        </is>
      </c>
      <c r="H2942" t="inlineStr">
        <is>
          <t>ACRE PEDE AJUDA FEDERAL PARA EVITAR ENTRADA DE HAITIANOS DURANTE A CHEIA</t>
        </is>
      </c>
      <c r="I2942" t="inlineStr"/>
      <c r="J2942" t="inlineStr">
        <is>
          <t>RIO BRANCO</t>
        </is>
      </c>
      <c r="K2942" t="n">
        <v>1</v>
      </c>
      <c r="L2942" t="n">
        <v>4</v>
      </c>
      <c r="M2942" t="n">
        <v>0</v>
      </c>
      <c r="N2942" t="n">
        <v>0</v>
      </c>
      <c r="O2942" t="n">
        <v>12</v>
      </c>
      <c r="P2942">
        <f>HYPERLINK("http://g1.globo.com/ac/acre/noticia/2015/02/acre-pede-ajuda-federal-para-evitar-entrada-de-haitianos-durante-cheia.html", "URL")</f>
        <v/>
      </c>
      <c r="Q2942">
        <f>HYPERLINK("https://raw.githubusercontent.com/marcosmapl/dataset_imigrantes/main/materias_filtered/g1/haitianos/2015/01_fev/html/g1_ec3b60d8-22f1-11ed-b24f-6dbe51e79fca_1771.html", "HTML")</f>
        <v/>
      </c>
      <c r="R2942">
        <f>HYPERLINK("https://raw.githubusercontent.com/marcosmapl/dataset_imigrantes/main/materias_filtered/g1/haitianos/2015/01_fev/txt/g1_ec3b60d8-22f1-11ed-b24f-6dbe51e79fca_1771.txt", "TXT")</f>
        <v/>
      </c>
    </row>
    <row r="2943">
      <c r="A2943" s="1" t="n">
        <v>2941</v>
      </c>
      <c r="B2943" t="n">
        <v>2015</v>
      </c>
      <c r="C2943" s="2" t="n">
        <v>42054.93333333333</v>
      </c>
      <c r="D2943" t="inlineStr">
        <is>
          <t>G1</t>
        </is>
      </c>
      <c r="E2943" t="inlineStr">
        <is>
          <t>VENEZUELANOS</t>
        </is>
      </c>
      <c r="F2943" t="inlineStr"/>
      <c r="G2943" t="inlineStr">
        <is>
          <t>EUTERS</t>
        </is>
      </c>
      <c r="H2943" t="inlineStr">
        <is>
          <t>POLÍCIA VENEZUELANA PRENDE PREFEITO DE CARACAS</t>
        </is>
      </c>
      <c r="I2943" t="inlineStr"/>
      <c r="J2943" t="inlineStr"/>
      <c r="K2943" t="n">
        <v>0</v>
      </c>
      <c r="L2943" t="n">
        <v>5</v>
      </c>
      <c r="M2943" t="n">
        <v>0</v>
      </c>
      <c r="N2943" t="n">
        <v>0</v>
      </c>
      <c r="O2943" t="n">
        <v>9</v>
      </c>
      <c r="P2943">
        <f>HYPERLINK("http://g1.globo.com/mundo/noticia/2015/02/policia-venezuelana-prende-prefeito-de-caracas.html", "URL")</f>
        <v/>
      </c>
      <c r="Q2943">
        <f>HYPERLINK("https://raw.githubusercontent.com/marcosmapl/dataset_imigrantes/main/materias_filtered/g1/venezuelanos/2015/01_fev/html/g1_886d7798-2315-11ed-b24f-6dbe51e79fca_3090.html", "HTML")</f>
        <v/>
      </c>
      <c r="R2943">
        <f>HYPERLINK("https://raw.githubusercontent.com/marcosmapl/dataset_imigrantes/main/materias_filtered/g1/venezuelanos/2015/01_fev/txt/g1_886d7798-2315-11ed-b24f-6dbe51e79fca_3090.txt", "TXT")</f>
        <v/>
      </c>
    </row>
    <row r="2944">
      <c r="A2944" s="1" t="n">
        <v>2942</v>
      </c>
      <c r="B2944" t="n">
        <v>2015</v>
      </c>
      <c r="C2944" s="2" t="n">
        <v>42054.92708333334</v>
      </c>
      <c r="D2944" t="inlineStr">
        <is>
          <t>G1</t>
        </is>
      </c>
      <c r="E2944" t="inlineStr">
        <is>
          <t>VENEZUELANOS</t>
        </is>
      </c>
      <c r="F2944" t="inlineStr"/>
      <c r="G2944" t="inlineStr"/>
      <c r="H2944" t="inlineStr">
        <is>
          <t>POLÍCIA VENEZUELANA PRENDE PREFEITO DA REGIÃO METROPOLITANA DE CARACAS</t>
        </is>
      </c>
      <c r="I2944" t="inlineStr"/>
      <c r="J2944" t="inlineStr">
        <is>
          <t>VENEZUELA</t>
        </is>
      </c>
      <c r="K2944" t="n">
        <v>1</v>
      </c>
      <c r="L2944" t="n">
        <v>4</v>
      </c>
      <c r="M2944" t="n">
        <v>0</v>
      </c>
      <c r="N2944" t="n">
        <v>0</v>
      </c>
      <c r="O2944" t="n">
        <v>9</v>
      </c>
      <c r="P2944">
        <f>HYPERLINK("http://g1.globo.com/jornal-nacional/noticia/2015/02/policia-venezuelana-prende-prefeito-da-regiao-metropolitana-de-caracas.html", "URL")</f>
        <v/>
      </c>
      <c r="Q2944">
        <f>HYPERLINK("https://raw.githubusercontent.com/marcosmapl/dataset_imigrantes/main/materias_filtered/g1/venezuelanos/2015/01_fev/html/g1_4d97bb84-231e-11ed-b24f-6dbe51e79fca_3552.html", "HTML")</f>
        <v/>
      </c>
      <c r="R2944">
        <f>HYPERLINK("https://raw.githubusercontent.com/marcosmapl/dataset_imigrantes/main/materias_filtered/g1/venezuelanos/2015/01_fev/txt/g1_4d97bb84-231e-11ed-b24f-6dbe51e79fca_3552.txt", "TXT")</f>
        <v/>
      </c>
    </row>
    <row r="2945">
      <c r="A2945" s="1" t="n">
        <v>2943</v>
      </c>
      <c r="B2945" t="n">
        <v>2015</v>
      </c>
      <c r="C2945" s="2" t="n">
        <v>42048.42916666667</v>
      </c>
      <c r="D2945" t="inlineStr">
        <is>
          <t>G1</t>
        </is>
      </c>
      <c r="E2945" t="inlineStr">
        <is>
          <t>HAITIANOS</t>
        </is>
      </c>
      <c r="F2945" t="inlineStr"/>
      <c r="G2945" t="inlineStr">
        <is>
          <t>1 PR</t>
        </is>
      </c>
      <c r="H2945" t="inlineStr">
        <is>
          <t>IDOSO DE 85 ANOS É PRESO SUSPEITO DE ABUSAR SEXUALMENTE DE CRIANÇA NO PR</t>
        </is>
      </c>
      <c r="I2945" t="inlineStr"/>
      <c r="J2945" t="inlineStr">
        <is>
          <t>PARANÁ, PONTA GROSSA</t>
        </is>
      </c>
      <c r="K2945" t="n">
        <v>2</v>
      </c>
      <c r="L2945" t="n">
        <v>4</v>
      </c>
      <c r="M2945" t="n">
        <v>0</v>
      </c>
      <c r="N2945" t="n">
        <v>0</v>
      </c>
      <c r="O2945" t="n">
        <v>12</v>
      </c>
      <c r="P2945">
        <f>HYPERLINK("http://g1.globo.com/pr/campos-gerais-sul/noticia/2015/02/idoso-de-85-anos-e-preso-suspeito-de-abusar-sexualmente-de-crianca-no-pr.html", "URL")</f>
        <v/>
      </c>
      <c r="Q2945">
        <f>HYPERLINK("https://raw.githubusercontent.com/marcosmapl/dataset_imigrantes/main/materias_filtered/g1/haitianos/2015/01_fev/html/g1_0c1a6e68-2323-11ed-b24f-6dbe51e79fca_3784.html", "HTML")</f>
        <v/>
      </c>
      <c r="R2945">
        <f>HYPERLINK("https://raw.githubusercontent.com/marcosmapl/dataset_imigrantes/main/materias_filtered/g1/haitianos/2015/01_fev/txt/g1_0c1a6e68-2323-11ed-b24f-6dbe51e79fca_3784.txt", "TXT")</f>
        <v/>
      </c>
    </row>
    <row r="2946">
      <c r="A2946" s="1" t="n">
        <v>2944</v>
      </c>
      <c r="B2946" t="n">
        <v>2015</v>
      </c>
      <c r="C2946" s="2" t="n">
        <v>42039.73472222222</v>
      </c>
      <c r="D2946" t="inlineStr">
        <is>
          <t>G1</t>
        </is>
      </c>
      <c r="E2946" t="inlineStr">
        <is>
          <t>HAITIANOS</t>
        </is>
      </c>
      <c r="F2946" t="inlineStr"/>
      <c r="G2946" t="inlineStr">
        <is>
          <t>ICA ALVESDO G1 AP</t>
        </is>
      </c>
      <c r="H2946" t="inlineStr">
        <is>
          <t>SUSPEITOS SÃO DETIDOS POR TRÁFICO INTERNACIONAL DE DROGAS, NO AMAPÁ</t>
        </is>
      </c>
      <c r="I2946" t="inlineStr"/>
      <c r="J2946" t="inlineStr">
        <is>
          <t>MACAPÁ, OIAPOQUE, AMAPÁ</t>
        </is>
      </c>
      <c r="K2946" t="n">
        <v>3</v>
      </c>
      <c r="L2946" t="n">
        <v>5</v>
      </c>
      <c r="M2946" t="n">
        <v>0</v>
      </c>
      <c r="N2946" t="n">
        <v>0</v>
      </c>
      <c r="O2946" t="n">
        <v>14</v>
      </c>
      <c r="P2946">
        <f>HYPERLINK("http://g1.globo.com/ap/amapa/noticia/2015/02/suspeitos-sao-detidos-por-trafico-internacional-de-drogas-no-amapa.html", "URL")</f>
        <v/>
      </c>
      <c r="Q2946">
        <f>HYPERLINK("https://raw.githubusercontent.com/marcosmapl/dataset_imigrantes/main/materias_filtered/g1/haitianos/2015/01_fev/html/g1_4c6035e6-230c-11ed-b24f-6dbe51e79fca_2616.html", "HTML")</f>
        <v/>
      </c>
      <c r="R2946">
        <f>HYPERLINK("https://raw.githubusercontent.com/marcosmapl/dataset_imigrantes/main/materias_filtered/g1/haitianos/2015/01_fev/txt/g1_4c6035e6-230c-11ed-b24f-6dbe51e79fca_2616.txt", "TXT")</f>
        <v/>
      </c>
    </row>
    <row r="2947">
      <c r="A2947" s="1" t="n">
        <v>2945</v>
      </c>
      <c r="B2947" t="n">
        <v>2015</v>
      </c>
      <c r="C2947" s="2" t="n">
        <v>42026.25</v>
      </c>
      <c r="D2947" t="inlineStr">
        <is>
          <t>G1</t>
        </is>
      </c>
      <c r="E2947" t="inlineStr">
        <is>
          <t>VENEZUELANOS</t>
        </is>
      </c>
      <c r="F2947" t="inlineStr"/>
      <c r="G2947" t="inlineStr">
        <is>
          <t>A RESENDEDO G1 GO</t>
        </is>
      </c>
      <c r="H2947" t="inlineStr">
        <is>
          <t>VENEZUELANA QUER TRATAR FILHO COM 'SÍNDROME DO LOBISOMEM' EM GOIÁS</t>
        </is>
      </c>
      <c r="I2947" t="inlineStr"/>
      <c r="J2947" t="inlineStr">
        <is>
          <t>GOIÂNIA</t>
        </is>
      </c>
      <c r="K2947" t="n">
        <v>1</v>
      </c>
      <c r="L2947" t="n">
        <v>7</v>
      </c>
      <c r="M2947" t="n">
        <v>0</v>
      </c>
      <c r="N2947" t="n">
        <v>0</v>
      </c>
      <c r="O2947" t="n">
        <v>16</v>
      </c>
      <c r="P2947">
        <f>HYPERLINK("http://g1.globo.com/goias/noticia/2015/01/venezuelana-quer-tratar-filho-com-sindrome-do-lobisomem-em-goias.html", "URL")</f>
        <v/>
      </c>
      <c r="Q2947">
        <f>HYPERLINK("https://raw.githubusercontent.com/marcosmapl/dataset_imigrantes/main/materias_filtered/g1/venezuelanos/2015/00_jan/html/g1_1b57ccf2-2307-11ed-b24f-6dbe51e79fca_2298.html", "HTML")</f>
        <v/>
      </c>
      <c r="R2947">
        <f>HYPERLINK("https://raw.githubusercontent.com/marcosmapl/dataset_imigrantes/main/materias_filtered/g1/venezuelanos/2015/00_jan/txt/g1_1b57ccf2-2307-11ed-b24f-6dbe51e79fca_2298.txt", "TXT")</f>
        <v/>
      </c>
    </row>
    <row r="2948">
      <c r="A2948" s="1" t="n">
        <v>2946</v>
      </c>
      <c r="B2948" t="n">
        <v>2015</v>
      </c>
      <c r="C2948" s="2" t="n">
        <v>42022.65208333333</v>
      </c>
      <c r="D2948" t="inlineStr">
        <is>
          <t>G1</t>
        </is>
      </c>
      <c r="E2948" t="inlineStr">
        <is>
          <t>HAITIANOS</t>
        </is>
      </c>
      <c r="F2948" t="inlineStr"/>
      <c r="G2948" t="inlineStr">
        <is>
          <t>1 RIO PRETO E ARAÇATUBA</t>
        </is>
      </c>
      <c r="H2948" t="inlineStr">
        <is>
          <t>VOLUNTÁRIOS DE RIO PRETO, SP, ENSINAM LÍNGUA PORTUGUESA PARA HAITIANOS</t>
        </is>
      </c>
      <c r="I2948" t="inlineStr"/>
      <c r="J2948" t="inlineStr">
        <is>
          <t>SÃO JOSÉ DO RIO PRETO</t>
        </is>
      </c>
      <c r="K2948" t="n">
        <v>1</v>
      </c>
      <c r="L2948" t="n">
        <v>6</v>
      </c>
      <c r="M2948" t="n">
        <v>0</v>
      </c>
      <c r="N2948" t="n">
        <v>0</v>
      </c>
      <c r="O2948" t="n">
        <v>10</v>
      </c>
      <c r="P2948">
        <f>HYPERLINK("http://g1.globo.com/sao-paulo/sao-jose-do-rio-preto-aracatuba/noticia/2015/01/voluntarios-de-rio-preto-sp-ensinam-lingua-portuguesa-para-haitianos.html", "URL")</f>
        <v/>
      </c>
      <c r="Q2948">
        <f>HYPERLINK("https://raw.githubusercontent.com/marcosmapl/dataset_imigrantes/main/materias_filtered/g1/haitianos/2015/00_jan/html/g1_95bfc2cc-22f0-11ed-b24f-6dbe51e79fca_1711.html", "HTML")</f>
        <v/>
      </c>
      <c r="R2948">
        <f>HYPERLINK("https://raw.githubusercontent.com/marcosmapl/dataset_imigrantes/main/materias_filtered/g1/haitianos/2015/00_jan/txt/g1_95bfc2cc-22f0-11ed-b24f-6dbe51e79fca_1711.txt", "TXT")</f>
        <v/>
      </c>
    </row>
    <row r="2949">
      <c r="A2949" s="1" t="n">
        <v>2947</v>
      </c>
      <c r="B2949" t="n">
        <v>2015</v>
      </c>
      <c r="C2949" s="2" t="n">
        <v>42018.11875</v>
      </c>
      <c r="D2949" t="inlineStr">
        <is>
          <t>G1</t>
        </is>
      </c>
      <c r="E2949" t="inlineStr">
        <is>
          <t>HAITIANOS</t>
        </is>
      </c>
      <c r="F2949" t="inlineStr"/>
      <c r="G2949" t="inlineStr">
        <is>
          <t>FE</t>
        </is>
      </c>
      <c r="H2949" t="inlineStr">
        <is>
          <t>SEM PARLAMENTO, PRESIDENTE DO HAITI DIZ QUE NÃO VAI GOVERNAR POR DECRETO</t>
        </is>
      </c>
      <c r="I2949" t="inlineStr"/>
      <c r="J2949" t="inlineStr">
        <is>
          <t>HAITI</t>
        </is>
      </c>
      <c r="K2949" t="n">
        <v>1</v>
      </c>
      <c r="L2949" t="n">
        <v>6</v>
      </c>
      <c r="M2949" t="n">
        <v>0</v>
      </c>
      <c r="N2949" t="n">
        <v>0</v>
      </c>
      <c r="O2949" t="n">
        <v>9</v>
      </c>
      <c r="P2949">
        <f>HYPERLINK("http://g1.globo.com/mundo/noticia/2015/01/sem-parlamento-presidente-do-haiti-diz-que-nao-vai-governar-por-decreto.html", "URL")</f>
        <v/>
      </c>
      <c r="Q2949">
        <f>HYPERLINK("https://raw.githubusercontent.com/marcosmapl/dataset_imigrantes/main/materias_filtered/g1/haitianos/2015/00_jan/html/g1_cfa5fb08-230b-11ed-b24f-6dbe51e79fca_2588.html", "HTML")</f>
        <v/>
      </c>
      <c r="R2949">
        <f>HYPERLINK("https://raw.githubusercontent.com/marcosmapl/dataset_imigrantes/main/materias_filtered/g1/haitianos/2015/00_jan/txt/g1_cfa5fb08-230b-11ed-b24f-6dbe51e79fca_2588.txt", "TXT")</f>
        <v/>
      </c>
    </row>
    <row r="2950">
      <c r="A2950" s="1" t="n">
        <v>2948</v>
      </c>
      <c r="B2950" t="n">
        <v>2015</v>
      </c>
      <c r="C2950" s="2" t="n">
        <v>42017.83680555555</v>
      </c>
      <c r="D2950" t="inlineStr">
        <is>
          <t>G1</t>
        </is>
      </c>
      <c r="E2950" t="inlineStr">
        <is>
          <t>HAITIANOS</t>
        </is>
      </c>
      <c r="F2950" t="inlineStr"/>
      <c r="G2950" t="inlineStr">
        <is>
          <t>1 SC</t>
        </is>
      </c>
      <c r="H2950" t="inlineStr">
        <is>
          <t>UNIVERSIDADE DE SC OFERECE VESTIBULAR COM COTAS PARA HAITIANOS</t>
        </is>
      </c>
      <c r="I2950" t="inlineStr"/>
      <c r="J2950" t="inlineStr">
        <is>
          <t>CHAPECÓ, FAXINAL DOS GUEDES, NOVA ERECHIM, XAXIM</t>
        </is>
      </c>
      <c r="K2950" t="n">
        <v>4</v>
      </c>
      <c r="L2950" t="n">
        <v>5</v>
      </c>
      <c r="M2950" t="n">
        <v>0</v>
      </c>
      <c r="N2950" t="n">
        <v>0</v>
      </c>
      <c r="O2950" t="n">
        <v>13</v>
      </c>
      <c r="P2950">
        <f>HYPERLINK("http://g1.globo.com/sc/santa-catarina/noticia/2015/01/universidade-de-sc-oferece-vestibular-com-cotas-para-haitianos.html", "URL")</f>
        <v/>
      </c>
      <c r="Q2950">
        <f>HYPERLINK("https://raw.githubusercontent.com/marcosmapl/dataset_imigrantes/main/materias_filtered/g1/haitianos/2015/00_jan/html/g1_fce1385a-22f5-11ed-b24f-6dbe51e79fca_1985.html", "HTML")</f>
        <v/>
      </c>
      <c r="R2950">
        <f>HYPERLINK("https://raw.githubusercontent.com/marcosmapl/dataset_imigrantes/main/materias_filtered/g1/haitianos/2015/00_jan/txt/g1_fce1385a-22f5-11ed-b24f-6dbe51e79fca_1985.txt", "TXT")</f>
        <v/>
      </c>
    </row>
    <row r="2951">
      <c r="A2951" s="1" t="n">
        <v>2949</v>
      </c>
      <c r="B2951" t="n">
        <v>2015</v>
      </c>
      <c r="C2951" s="2" t="n">
        <v>42011.43055555555</v>
      </c>
      <c r="D2951" t="inlineStr">
        <is>
          <t>G1</t>
        </is>
      </c>
      <c r="E2951" t="inlineStr">
        <is>
          <t>HAITIANOS</t>
        </is>
      </c>
      <c r="F2951" t="inlineStr"/>
      <c r="G2951" t="inlineStr">
        <is>
          <t>1 SC</t>
        </is>
      </c>
      <c r="H2951" t="inlineStr">
        <is>
          <t>HAITIANO MATA COMPANHEIRA COM GOLPE DE FACA EM CHAPECÓ</t>
        </is>
      </c>
      <c r="I2951" t="inlineStr"/>
      <c r="J2951" t="inlineStr"/>
      <c r="K2951" t="n">
        <v>0</v>
      </c>
      <c r="L2951" t="n">
        <v>1</v>
      </c>
      <c r="M2951" t="n">
        <v>0</v>
      </c>
      <c r="N2951" t="n">
        <v>0</v>
      </c>
      <c r="O2951" t="n">
        <v>5</v>
      </c>
      <c r="P2951">
        <f>HYPERLINK("http://g1.globo.com/sc/santa-catarina/noticia/2015/01/haitiano-mata-companheira-com-golpe-de-faca-em-chapeco.html", "URL")</f>
        <v/>
      </c>
      <c r="Q2951">
        <f>HYPERLINK("https://raw.githubusercontent.com/marcosmapl/dataset_imigrantes/main/materias_filtered/g1/haitianos/2015/00_jan/html/g1_3890ae42-232a-11ed-b24f-6dbe51e79fca_4164.html", "HTML")</f>
        <v/>
      </c>
      <c r="R2951">
        <f>HYPERLINK("https://raw.githubusercontent.com/marcosmapl/dataset_imigrantes/main/materias_filtered/g1/haitianos/2015/00_jan/txt/g1_3890ae42-232a-11ed-b24f-6dbe51e79fca_4164.txt", "TXT")</f>
        <v/>
      </c>
    </row>
    <row r="2952">
      <c r="A2952" s="1" t="n">
        <v>2950</v>
      </c>
      <c r="B2952" t="n">
        <v>2015</v>
      </c>
      <c r="C2952" s="2" t="n">
        <v>42009.67013888889</v>
      </c>
      <c r="D2952" t="inlineStr">
        <is>
          <t>G1</t>
        </is>
      </c>
      <c r="E2952" t="inlineStr">
        <is>
          <t>HAITIANOS</t>
        </is>
      </c>
      <c r="F2952" t="inlineStr"/>
      <c r="G2952" t="inlineStr">
        <is>
          <t>1, EM SÃO PAULO</t>
        </is>
      </c>
      <c r="H2952" t="inlineStr">
        <is>
          <t>SOLDADO DO EXÉRCITO BRASILEIRO É BALEADO NA PERNA NO HAITI</t>
        </is>
      </c>
      <c r="I2952" t="inlineStr"/>
      <c r="J2952" t="inlineStr"/>
      <c r="K2952" t="n">
        <v>0</v>
      </c>
      <c r="L2952" t="n">
        <v>0</v>
      </c>
      <c r="M2952" t="n">
        <v>0</v>
      </c>
      <c r="N2952" t="n">
        <v>0</v>
      </c>
      <c r="O2952" t="n">
        <v>4</v>
      </c>
      <c r="P2952">
        <f>HYPERLINK("http://g1.globo.com/mundo/noticia/2015/01/soldado-do-exercito-brasileiro-e-baleado-na-perna-no-haiti.html", "URL")</f>
        <v/>
      </c>
      <c r="Q2952">
        <f>HYPERLINK("https://raw.githubusercontent.com/marcosmapl/dataset_imigrantes/main/materias_filtered/g1/haitianos/2015/00_jan/html/g1_ddfd9b7a-2324-11ed-b24f-6dbe51e79fca_3886.html", "HTML")</f>
        <v/>
      </c>
      <c r="R2952">
        <f>HYPERLINK("https://raw.githubusercontent.com/marcosmapl/dataset_imigrantes/main/materias_filtered/g1/haitianos/2015/00_jan/txt/g1_ddfd9b7a-2324-11ed-b24f-6dbe51e79fca_3886.txt", "TXT")</f>
        <v/>
      </c>
    </row>
    <row r="2953">
      <c r="A2953" s="1" t="n">
        <v>2951</v>
      </c>
      <c r="B2953" t="n">
        <v>2015</v>
      </c>
      <c r="C2953" s="2" t="n">
        <v>42009.66388888889</v>
      </c>
      <c r="D2953" t="inlineStr">
        <is>
          <t>G1</t>
        </is>
      </c>
      <c r="E2953" t="inlineStr">
        <is>
          <t>HAITIANOS</t>
        </is>
      </c>
      <c r="F2953" t="inlineStr"/>
      <c r="G2953" t="inlineStr">
        <is>
          <t>1 RS</t>
        </is>
      </c>
      <c r="H2953" t="inlineStr">
        <is>
          <t>PASSA BEM SOLDADO BRASILEIRO BALEADO EM PORTO PRÍNCIPE, NO HAITI</t>
        </is>
      </c>
      <c r="I2953" t="inlineStr"/>
      <c r="J2953" t="inlineStr"/>
      <c r="K2953" t="n">
        <v>0</v>
      </c>
      <c r="L2953" t="n">
        <v>1</v>
      </c>
      <c r="M2953" t="n">
        <v>0</v>
      </c>
      <c r="N2953" t="n">
        <v>0</v>
      </c>
      <c r="O2953" t="n">
        <v>6</v>
      </c>
      <c r="P2953">
        <f>HYPERLINK("http://g1.globo.com/rs/rio-grande-do-sul/noticia/2015/01/passa-bem-soldado-brasileiro-baleado-em-porto-principe-no-haiti.html", "URL")</f>
        <v/>
      </c>
      <c r="Q2953">
        <f>HYPERLINK("https://raw.githubusercontent.com/marcosmapl/dataset_imigrantes/main/materias_filtered/g1/haitianos/2015/00_jan/html/g1_dae7f8ee-232a-11ed-b24f-6dbe51e79fca_4207.html", "HTML")</f>
        <v/>
      </c>
      <c r="R2953">
        <f>HYPERLINK("https://raw.githubusercontent.com/marcosmapl/dataset_imigrantes/main/materias_filtered/g1/haitianos/2015/00_jan/txt/g1_dae7f8ee-232a-11ed-b24f-6dbe51e79fca_4207.txt", "TXT")</f>
        <v/>
      </c>
    </row>
    <row r="2954">
      <c r="A2954" s="1" t="n">
        <v>2952</v>
      </c>
      <c r="B2954" t="n">
        <v>2014</v>
      </c>
      <c r="C2954" s="2" t="n">
        <v>42002.22986111111</v>
      </c>
      <c r="D2954" t="inlineStr">
        <is>
          <t>G1</t>
        </is>
      </c>
      <c r="E2954" t="inlineStr">
        <is>
          <t>HAITIANOS</t>
        </is>
      </c>
      <c r="F2954" t="inlineStr"/>
      <c r="G2954" t="inlineStr">
        <is>
          <t>RA RIBEIRORIO BRANCO, ACRE</t>
        </is>
      </c>
      <c r="H2954" t="inlineStr">
        <is>
          <t>ABRIGO DE HAITIANOS ESTÁ SUPERLOTADO E SEM CONDIÇÕES DE HIGIENE NO AC</t>
        </is>
      </c>
      <c r="I2954" t="inlineStr"/>
      <c r="J2954" t="inlineStr">
        <is>
          <t>RIO BRANCO</t>
        </is>
      </c>
      <c r="K2954" t="n">
        <v>1</v>
      </c>
      <c r="L2954" t="n">
        <v>4</v>
      </c>
      <c r="M2954" t="n">
        <v>0</v>
      </c>
      <c r="N2954" t="n">
        <v>0</v>
      </c>
      <c r="O2954" t="n">
        <v>10</v>
      </c>
      <c r="P2954">
        <f>HYPERLINK("http://g1.globo.com/hora1/noticia/2014/12/abrigo-de-haitianos-esta-superlotado-e-sem-condicoes-de-higiene-no-ac.html", "URL")</f>
        <v/>
      </c>
      <c r="Q2954">
        <f>HYPERLINK("https://raw.githubusercontent.com/marcosmapl/dataset_imigrantes/main/materias_filtered/g1/haitianos/2014/11_dez/html/g1_7f667fea-22f8-11ed-b24f-6dbe51e79fca_2139.html", "HTML")</f>
        <v/>
      </c>
      <c r="R2954">
        <f>HYPERLINK("https://raw.githubusercontent.com/marcosmapl/dataset_imigrantes/main/materias_filtered/g1/haitianos/2014/11_dez/txt/g1_7f667fea-22f8-11ed-b24f-6dbe51e79fca_2139.txt", "TXT")</f>
        <v/>
      </c>
    </row>
    <row r="2955">
      <c r="A2955" s="1" t="n">
        <v>2953</v>
      </c>
      <c r="B2955" t="n">
        <v>2014</v>
      </c>
      <c r="C2955" s="2" t="n">
        <v>41998.41666666666</v>
      </c>
      <c r="D2955" t="inlineStr">
        <is>
          <t>G1</t>
        </is>
      </c>
      <c r="E2955" t="inlineStr">
        <is>
          <t>HAITIANOS</t>
        </is>
      </c>
      <c r="F2955" t="inlineStr"/>
      <c r="G2955" t="inlineStr">
        <is>
          <t>E NASCIMENTODO G1 AC</t>
        </is>
      </c>
      <c r="H2955" t="inlineStr">
        <is>
          <t>HAITIANAS PASSAM 1º NATAL LONGE DA FAMÍLIA E COMPARTILHAM SAUDADE</t>
        </is>
      </c>
      <c r="I2955" t="inlineStr"/>
      <c r="J2955" t="inlineStr">
        <is>
          <t>RIO BRANCO, CUIABÁ, SÃO PAULO</t>
        </is>
      </c>
      <c r="K2955" t="n">
        <v>3</v>
      </c>
      <c r="L2955" t="n">
        <v>5</v>
      </c>
      <c r="M2955" t="n">
        <v>0</v>
      </c>
      <c r="N2955" t="n">
        <v>0</v>
      </c>
      <c r="O2955" t="n">
        <v>14</v>
      </c>
      <c r="P2955">
        <f>HYPERLINK("http://g1.globo.com/ac/acre/noticia/2014/12/haitianas-passam-1-natal-longe-da-familia-e-compartilham-saudade.html", "URL")</f>
        <v/>
      </c>
      <c r="Q2955">
        <f>HYPERLINK("https://raw.githubusercontent.com/marcosmapl/dataset_imigrantes/main/materias_filtered/g1/haitianos/2014/11_dez/html/g1_468710ec-2328-11ed-b24f-6dbe51e79fca_4070.html", "HTML")</f>
        <v/>
      </c>
      <c r="R2955">
        <f>HYPERLINK("https://raw.githubusercontent.com/marcosmapl/dataset_imigrantes/main/materias_filtered/g1/haitianos/2014/11_dez/txt/g1_468710ec-2328-11ed-b24f-6dbe51e79fca_4070.txt", "TXT")</f>
        <v/>
      </c>
    </row>
    <row r="2956">
      <c r="A2956" s="1" t="n">
        <v>2954</v>
      </c>
      <c r="B2956" t="n">
        <v>2014</v>
      </c>
      <c r="C2956" s="2" t="n">
        <v>41993.32638888889</v>
      </c>
      <c r="D2956" t="inlineStr">
        <is>
          <t>G1</t>
        </is>
      </c>
      <c r="E2956" t="inlineStr">
        <is>
          <t>HAITIANOS</t>
        </is>
      </c>
      <c r="F2956" t="inlineStr"/>
      <c r="G2956" t="inlineStr">
        <is>
          <t>1 PR</t>
        </is>
      </c>
      <c r="H2956" t="inlineStr">
        <is>
          <t>UNILA OFERECE VAGAS DE CURSOS DE GRADUAÇÃO PARA IMIGRANTES HAITIANOS</t>
        </is>
      </c>
      <c r="I2956" t="inlineStr"/>
      <c r="J2956" t="inlineStr">
        <is>
          <t>FOZ DO IGUAÇU</t>
        </is>
      </c>
      <c r="K2956" t="n">
        <v>1</v>
      </c>
      <c r="L2956" t="n">
        <v>5</v>
      </c>
      <c r="M2956" t="n">
        <v>0</v>
      </c>
      <c r="N2956" t="n">
        <v>0</v>
      </c>
      <c r="O2956" t="n">
        <v>11</v>
      </c>
      <c r="P2956">
        <f>HYPERLINK("http://g1.globo.com/pr/parana/educacao/vestiba/2014/noticia/2014/12/unila-oferece-vagas-de-cursos-de-graduacao-para-imigrantes-haitianos.html", "URL")</f>
        <v/>
      </c>
      <c r="Q2956">
        <f>HYPERLINK("https://raw.githubusercontent.com/marcosmapl/dataset_imigrantes/main/materias_filtered/g1/haitianos/2014/11_dez/html/g1_da410d3e-22f0-11ed-b24f-6dbe51e79fca_1722.html", "HTML")</f>
        <v/>
      </c>
      <c r="R2956">
        <f>HYPERLINK("https://raw.githubusercontent.com/marcosmapl/dataset_imigrantes/main/materias_filtered/g1/haitianos/2014/11_dez/txt/g1_da410d3e-22f0-11ed-b24f-6dbe51e79fca_1722.txt", "TXT")</f>
        <v/>
      </c>
    </row>
    <row r="2957">
      <c r="A2957" s="1" t="n">
        <v>2955</v>
      </c>
      <c r="B2957" t="n">
        <v>2014</v>
      </c>
      <c r="C2957" s="2" t="n">
        <v>41990.15138888889</v>
      </c>
      <c r="D2957" t="inlineStr">
        <is>
          <t>G1</t>
        </is>
      </c>
      <c r="E2957" t="inlineStr">
        <is>
          <t>HAITIANOS</t>
        </is>
      </c>
      <c r="F2957" t="inlineStr"/>
      <c r="G2957" t="inlineStr">
        <is>
          <t>FE</t>
        </is>
      </c>
      <c r="H2957" t="inlineStr">
        <is>
          <t>MANIFESTAÇÃO CONTRA O GOVERNO ACABA EM CONFRONTO COM A POLÍCIA NO HAITI</t>
        </is>
      </c>
      <c r="I2957" t="inlineStr"/>
      <c r="J2957" t="inlineStr">
        <is>
          <t>HAITI</t>
        </is>
      </c>
      <c r="K2957" t="n">
        <v>1</v>
      </c>
      <c r="L2957" t="n">
        <v>6</v>
      </c>
      <c r="M2957" t="n">
        <v>0</v>
      </c>
      <c r="N2957" t="n">
        <v>0</v>
      </c>
      <c r="O2957" t="n">
        <v>9</v>
      </c>
      <c r="P2957">
        <f>HYPERLINK("http://g1.globo.com/mundo/noticia/2014/12/manifestacao-contra-o-governo-acaba-em-confronto-com-policia-no-haiti.html", "URL")</f>
        <v/>
      </c>
      <c r="Q2957">
        <f>HYPERLINK("https://raw.githubusercontent.com/marcosmapl/dataset_imigrantes/main/materias_filtered/g1/haitianos/2014/11_dez/html/g1_ce49a9fa-230e-11ed-b24f-6dbe51e79fca_2758.html", "HTML")</f>
        <v/>
      </c>
      <c r="R2957">
        <f>HYPERLINK("https://raw.githubusercontent.com/marcosmapl/dataset_imigrantes/main/materias_filtered/g1/haitianos/2014/11_dez/txt/g1_ce49a9fa-230e-11ed-b24f-6dbe51e79fca_2758.txt", "TXT")</f>
        <v/>
      </c>
    </row>
    <row r="2958">
      <c r="A2958" s="1" t="n">
        <v>2956</v>
      </c>
      <c r="B2958" t="n">
        <v>2014</v>
      </c>
      <c r="C2958" s="2" t="n">
        <v>41988.73888888889</v>
      </c>
      <c r="D2958" t="inlineStr">
        <is>
          <t>G1</t>
        </is>
      </c>
      <c r="E2958" t="inlineStr">
        <is>
          <t>HAITIANOS</t>
        </is>
      </c>
      <c r="F2958" t="inlineStr"/>
      <c r="G2958" t="inlineStr">
        <is>
          <t>ISON SEVERIANODO G1 AM</t>
        </is>
      </c>
      <c r="H2958" t="inlineStr">
        <is>
          <t>'NÃO SOMOS ESCRAVOS', DIZ HAITIANO NO AM EM ATO CONTRA ATRASO DE SALÁRIOS</t>
        </is>
      </c>
      <c r="I2958" t="inlineStr"/>
      <c r="J2958" t="inlineStr">
        <is>
          <t>MANAUS, AMAZONAS</t>
        </is>
      </c>
      <c r="K2958" t="n">
        <v>2</v>
      </c>
      <c r="L2958" t="n">
        <v>5</v>
      </c>
      <c r="M2958" t="n">
        <v>0</v>
      </c>
      <c r="N2958" t="n">
        <v>0</v>
      </c>
      <c r="O2958" t="n">
        <v>13</v>
      </c>
      <c r="P2958">
        <f>HYPERLINK("http://g1.globo.com/am/amazonas/noticia/2014/12/nao-somos-escravos-diz-haitiano-no-am-em-ato-contra-atraso-de-salarios.html", "URL")</f>
        <v/>
      </c>
      <c r="Q2958">
        <f>HYPERLINK("https://raw.githubusercontent.com/marcosmapl/dataset_imigrantes/main/materias_filtered/g1/haitianos/2014/11_dez/html/g1_caf1a9ba-2318-11ed-b24f-6dbe51e79fca_3280.html", "HTML")</f>
        <v/>
      </c>
      <c r="R2958">
        <f>HYPERLINK("https://raw.githubusercontent.com/marcosmapl/dataset_imigrantes/main/materias_filtered/g1/haitianos/2014/11_dez/txt/g1_caf1a9ba-2318-11ed-b24f-6dbe51e79fca_3280.txt", "TXT")</f>
        <v/>
      </c>
    </row>
    <row r="2959">
      <c r="A2959" s="1" t="n">
        <v>2957</v>
      </c>
      <c r="B2959" t="n">
        <v>2014</v>
      </c>
      <c r="C2959" s="2" t="n">
        <v>41981.85833333333</v>
      </c>
      <c r="D2959" t="inlineStr">
        <is>
          <t>G1</t>
        </is>
      </c>
      <c r="E2959" t="inlineStr">
        <is>
          <t>HAITIANOS</t>
        </is>
      </c>
      <c r="F2959" t="inlineStr"/>
      <c r="G2959" t="inlineStr">
        <is>
          <t>1 PR</t>
        </is>
      </c>
      <c r="H2959" t="inlineStr">
        <is>
          <t>HOMEM É PRESO SUSPEITO DE TRÁFICO INTERNACIONAL DE PESSOAS, DIZ POLÍCIA</t>
        </is>
      </c>
      <c r="I2959" t="inlineStr"/>
      <c r="J2959" t="inlineStr">
        <is>
          <t>CASCAVEL</t>
        </is>
      </c>
      <c r="K2959" t="n">
        <v>1</v>
      </c>
      <c r="L2959" t="n">
        <v>3</v>
      </c>
      <c r="M2959" t="n">
        <v>0</v>
      </c>
      <c r="N2959" t="n">
        <v>0</v>
      </c>
      <c r="O2959" t="n">
        <v>12</v>
      </c>
      <c r="P2959">
        <f>HYPERLINK("http://g1.globo.com/pr/oeste-sudoeste/noticia/2014/12/homem-e-preso-suspeito-de-trafico-internacional-de-pessoas-diz-policia.html", "URL")</f>
        <v/>
      </c>
      <c r="Q2959">
        <f>HYPERLINK("https://raw.githubusercontent.com/marcosmapl/dataset_imigrantes/main/materias_filtered/g1/haitianos/2014/11_dez/html/g1_2eabac30-2314-11ed-b24f-6dbe51e79fca_3050.html", "HTML")</f>
        <v/>
      </c>
      <c r="R2959">
        <f>HYPERLINK("https://raw.githubusercontent.com/marcosmapl/dataset_imigrantes/main/materias_filtered/g1/haitianos/2014/11_dez/txt/g1_2eabac30-2314-11ed-b24f-6dbe51e79fca_3050.txt", "TXT")</f>
        <v/>
      </c>
    </row>
    <row r="2960">
      <c r="A2960" s="1" t="n">
        <v>2958</v>
      </c>
      <c r="B2960" t="n">
        <v>2014</v>
      </c>
      <c r="C2960" s="2" t="n">
        <v>41981.57986111111</v>
      </c>
      <c r="D2960" t="inlineStr">
        <is>
          <t>G1</t>
        </is>
      </c>
      <c r="E2960" t="inlineStr">
        <is>
          <t>HAITIANOS</t>
        </is>
      </c>
      <c r="F2960" t="inlineStr"/>
      <c r="G2960" t="inlineStr">
        <is>
          <t>YANA ARAÚJODO G1 MT</t>
        </is>
      </c>
      <c r="H2960" t="inlineStr">
        <is>
          <t>ANTES DE EMBARCAR, HAITIANA DÁ À LUZ EM BANHEIRO DE RODOVIÁRIA DE CUIABÁ</t>
        </is>
      </c>
      <c r="I2960" t="inlineStr"/>
      <c r="J2960" t="inlineStr">
        <is>
          <t>CUIABÁ</t>
        </is>
      </c>
      <c r="K2960" t="n">
        <v>1</v>
      </c>
      <c r="L2960" t="n">
        <v>3</v>
      </c>
      <c r="M2960" t="n">
        <v>0</v>
      </c>
      <c r="N2960" t="n">
        <v>0</v>
      </c>
      <c r="O2960" t="n">
        <v>11</v>
      </c>
      <c r="P2960">
        <f>HYPERLINK("http://g1.globo.com/mato-grosso/noticia/2014/12/haitiana-da-luz-em-banheiro-de-rodoviaria-de-cuiaba.html", "URL")</f>
        <v/>
      </c>
      <c r="Q2960">
        <f>HYPERLINK("https://raw.githubusercontent.com/marcosmapl/dataset_imigrantes/main/materias_filtered/g1/haitianos/2014/11_dez/html/g1_d2120360-22ec-11ed-b24f-6dbe51e79fca_1669.html", "HTML")</f>
        <v/>
      </c>
      <c r="R2960">
        <f>HYPERLINK("https://raw.githubusercontent.com/marcosmapl/dataset_imigrantes/main/materias_filtered/g1/haitianos/2014/11_dez/txt/g1_d2120360-22ec-11ed-b24f-6dbe51e79fca_1669.txt", "TXT")</f>
        <v/>
      </c>
    </row>
    <row r="2961">
      <c r="A2961" s="1" t="n">
        <v>2959</v>
      </c>
      <c r="B2961" t="n">
        <v>2014</v>
      </c>
      <c r="C2961" s="2" t="n">
        <v>41978.50277777778</v>
      </c>
      <c r="D2961" t="inlineStr">
        <is>
          <t>G1</t>
        </is>
      </c>
      <c r="E2961" t="inlineStr">
        <is>
          <t>HAITIANOS</t>
        </is>
      </c>
      <c r="F2961" t="inlineStr"/>
      <c r="G2961" t="inlineStr">
        <is>
          <t>1 AC</t>
        </is>
      </c>
      <c r="H2961" t="inlineStr">
        <is>
          <t>CRUZEIRO DO SUL RECEBE EXPOSIÇÃO 'O HAITI (NÃO) É AQUI' ATÉ JANEIRO DE 2015</t>
        </is>
      </c>
      <c r="I2961" t="inlineStr"/>
      <c r="J2961" t="inlineStr"/>
      <c r="K2961" t="n">
        <v>0</v>
      </c>
      <c r="L2961" t="n">
        <v>2</v>
      </c>
      <c r="M2961" t="n">
        <v>0</v>
      </c>
      <c r="N2961" t="n">
        <v>0</v>
      </c>
      <c r="O2961" t="n">
        <v>6</v>
      </c>
      <c r="P2961">
        <f>HYPERLINK("http://g1.globo.com/ac/acre/noticia/2014/12/cruzeiro-do-sul-recebe-exposicao-o-haiti-nao-e-aqui-ate-janeiro-de-2015.html", "URL")</f>
        <v/>
      </c>
      <c r="Q2961">
        <f>HYPERLINK("https://raw.githubusercontent.com/marcosmapl/dataset_imigrantes/main/materias_filtered/g1/haitianos/2014/11_dez/html/g1_bde8ae8a-2318-11ed-b24f-6dbe51e79fca_3276.html", "HTML")</f>
        <v/>
      </c>
      <c r="R2961">
        <f>HYPERLINK("https://raw.githubusercontent.com/marcosmapl/dataset_imigrantes/main/materias_filtered/g1/haitianos/2014/11_dez/txt/g1_bde8ae8a-2318-11ed-b24f-6dbe51e79fca_3276.txt", "TXT")</f>
        <v/>
      </c>
    </row>
    <row r="2962">
      <c r="A2962" s="1" t="n">
        <v>2960</v>
      </c>
      <c r="B2962" t="n">
        <v>2014</v>
      </c>
      <c r="C2962" s="2" t="n">
        <v>41976.65902777778</v>
      </c>
      <c r="D2962" t="inlineStr">
        <is>
          <t>G1</t>
        </is>
      </c>
      <c r="E2962" t="inlineStr">
        <is>
          <t>VENEZUELANOS</t>
        </is>
      </c>
      <c r="F2962" t="inlineStr"/>
      <c r="G2962" t="inlineStr">
        <is>
          <t>1, EM SÃO PAULO</t>
        </is>
      </c>
      <c r="H2962" t="inlineStr">
        <is>
          <t>OPOSITORA VENEZUELANA É INDICIADA POR SUPOSTO PLANO PARA MATAR MADURO</t>
        </is>
      </c>
      <c r="I2962" t="inlineStr"/>
      <c r="J2962" t="inlineStr">
        <is>
          <t>NICOLÁS MADURO</t>
        </is>
      </c>
      <c r="K2962" t="n">
        <v>1</v>
      </c>
      <c r="L2962" t="n">
        <v>6</v>
      </c>
      <c r="M2962" t="n">
        <v>0</v>
      </c>
      <c r="N2962" t="n">
        <v>0</v>
      </c>
      <c r="O2962" t="n">
        <v>12</v>
      </c>
      <c r="P2962">
        <f>HYPERLINK("http://g1.globo.com/mundo/noticia/2014/12/opositora-venezuelana-e-indiciada-por-suposto-plano-para-matar-maduro.html", "URL")</f>
        <v/>
      </c>
      <c r="Q2962">
        <f>HYPERLINK("https://raw.githubusercontent.com/marcosmapl/dataset_imigrantes/main/materias_filtered/g1/venezuelanos/2014/11_dez/html/g1_6dfe49ce-2319-11ed-b24f-6dbe51e79fca_3316.html", "HTML")</f>
        <v/>
      </c>
      <c r="R2962">
        <f>HYPERLINK("https://raw.githubusercontent.com/marcosmapl/dataset_imigrantes/main/materias_filtered/g1/venezuelanos/2014/11_dez/txt/g1_6dfe49ce-2319-11ed-b24f-6dbe51e79fca_3316.txt", "TXT")</f>
        <v/>
      </c>
    </row>
    <row r="2963">
      <c r="A2963" s="1" t="n">
        <v>2961</v>
      </c>
      <c r="B2963" t="n">
        <v>2014</v>
      </c>
      <c r="C2963" s="2" t="n">
        <v>41975.58819444444</v>
      </c>
      <c r="D2963" t="inlineStr">
        <is>
          <t>G1</t>
        </is>
      </c>
      <c r="E2963" t="inlineStr">
        <is>
          <t>HAITIANOS</t>
        </is>
      </c>
      <c r="F2963" t="inlineStr"/>
      <c r="G2963" t="inlineStr">
        <is>
          <t>A MENEZESDO G1 RS</t>
        </is>
      </c>
      <c r="H2963" t="inlineStr">
        <is>
          <t>RS RECEBE NOVO ÔNIBUS DE HAITIANOS, MAS GRUPO DECIDE IR A OUTROS ESTADOS</t>
        </is>
      </c>
      <c r="I2963" t="inlineStr"/>
      <c r="J2963" t="inlineStr">
        <is>
          <t>PARANÁ, SANTA CATARINA, SÃO PAULO, PORTO ALEGRE</t>
        </is>
      </c>
      <c r="K2963" t="n">
        <v>4</v>
      </c>
      <c r="L2963" t="n">
        <v>4</v>
      </c>
      <c r="M2963" t="n">
        <v>0</v>
      </c>
      <c r="N2963" t="n">
        <v>0</v>
      </c>
      <c r="O2963" t="n">
        <v>21</v>
      </c>
      <c r="P2963">
        <f>HYPERLINK("http://g1.globo.com/rs/rio-grande-do-sul/noticia/2014/12/rs-recebe-novo-onibus-de-haitianos-mas-grupo-decide-ir-outros-estados.html", "URL")</f>
        <v/>
      </c>
      <c r="Q2963">
        <f>HYPERLINK("https://raw.githubusercontent.com/marcosmapl/dataset_imigrantes/main/materias_filtered/g1/haitianos/2014/11_dez/html/g1_cd472e56-22fa-11ed-b24f-6dbe51e79fca_2242.html", "HTML")</f>
        <v/>
      </c>
      <c r="R2963">
        <f>HYPERLINK("https://raw.githubusercontent.com/marcosmapl/dataset_imigrantes/main/materias_filtered/g1/haitianos/2014/11_dez/txt/g1_cd472e56-22fa-11ed-b24f-6dbe51e79fca_2242.txt", "TXT")</f>
        <v/>
      </c>
    </row>
    <row r="2964">
      <c r="A2964" s="1" t="n">
        <v>2962</v>
      </c>
      <c r="B2964" t="n">
        <v>2014</v>
      </c>
      <c r="C2964" s="2" t="n">
        <v>41972.18125</v>
      </c>
      <c r="D2964" t="inlineStr">
        <is>
          <t>G1</t>
        </is>
      </c>
      <c r="E2964" t="inlineStr">
        <is>
          <t>HAITIANOS</t>
        </is>
      </c>
      <c r="F2964" t="inlineStr"/>
      <c r="G2964" t="inlineStr">
        <is>
          <t>FE</t>
        </is>
      </c>
      <c r="H2964" t="inlineStr">
        <is>
          <t>MILHARES DE HAITIANOS VOLTAM ÀS RUAS PARA EXIGIR RENÚNCIA DE PRESIDENTE</t>
        </is>
      </c>
      <c r="I2964" t="inlineStr"/>
      <c r="J2964" t="inlineStr">
        <is>
          <t>HAITI</t>
        </is>
      </c>
      <c r="K2964" t="n">
        <v>1</v>
      </c>
      <c r="L2964" t="n">
        <v>7</v>
      </c>
      <c r="M2964" t="n">
        <v>0</v>
      </c>
      <c r="N2964" t="n">
        <v>0</v>
      </c>
      <c r="O2964" t="n">
        <v>9</v>
      </c>
      <c r="P2964">
        <f>HYPERLINK("http://g1.globo.com/mundo/noticia/2014/11/milhares-de-haitianos-voltam-as-ruas-para-exigir-renuncia-de-presidente.html", "URL")</f>
        <v/>
      </c>
      <c r="Q2964">
        <f>HYPERLINK("https://raw.githubusercontent.com/marcosmapl/dataset_imigrantes/main/materias_filtered/g1/haitianos/2014/10_nov/html/g1_e9e6f79c-22f2-11ed-b24f-6dbe51e79fca_1818.html", "HTML")</f>
        <v/>
      </c>
      <c r="R2964">
        <f>HYPERLINK("https://raw.githubusercontent.com/marcosmapl/dataset_imigrantes/main/materias_filtered/g1/haitianos/2014/10_nov/txt/g1_e9e6f79c-22f2-11ed-b24f-6dbe51e79fca_1818.txt", "TXT")</f>
        <v/>
      </c>
    </row>
    <row r="2965">
      <c r="A2965" s="1" t="n">
        <v>2963</v>
      </c>
      <c r="B2965" t="n">
        <v>2014</v>
      </c>
      <c r="C2965" s="2" t="n">
        <v>41971.925</v>
      </c>
      <c r="D2965" t="inlineStr">
        <is>
          <t>G1</t>
        </is>
      </c>
      <c r="E2965" t="inlineStr">
        <is>
          <t>HAITIANOS</t>
        </is>
      </c>
      <c r="F2965" t="inlineStr"/>
      <c r="G2965" t="inlineStr">
        <is>
          <t>1 RS</t>
        </is>
      </c>
      <c r="H2965" t="inlineStr">
        <is>
          <t>GOVERNO DO RS MANDA OFÍCIO AO ACRE SOBRE SITUAÇÃO DOS HAITIANOS</t>
        </is>
      </c>
      <c r="I2965" t="inlineStr"/>
      <c r="J2965" t="inlineStr">
        <is>
          <t>PARANÁ, SANTA CATARINA, SÃO PAULO, PORTO ALEGRE</t>
        </is>
      </c>
      <c r="K2965" t="n">
        <v>4</v>
      </c>
      <c r="L2965" t="n">
        <v>5</v>
      </c>
      <c r="M2965" t="n">
        <v>0</v>
      </c>
      <c r="N2965" t="n">
        <v>0</v>
      </c>
      <c r="O2965" t="n">
        <v>16</v>
      </c>
      <c r="P2965">
        <f>HYPERLINK("http://g1.globo.com/rs/rio-grande-do-sul/noticia/2014/11/governo-do-rs-manda-oficio-ao-acre-sobre-situacao-dos-haitianos.html", "URL")</f>
        <v/>
      </c>
      <c r="Q2965">
        <f>HYPERLINK("https://raw.githubusercontent.com/marcosmapl/dataset_imigrantes/main/materias_filtered/g1/haitianos/2014/10_nov/html/g1_37ded33e-22f8-11ed-b24f-6dbe51e79fca_2122.html", "HTML")</f>
        <v/>
      </c>
      <c r="R2965">
        <f>HYPERLINK("https://raw.githubusercontent.com/marcosmapl/dataset_imigrantes/main/materias_filtered/g1/haitianos/2014/10_nov/txt/g1_37ded33e-22f8-11ed-b24f-6dbe51e79fca_2122.txt", "TXT")</f>
        <v/>
      </c>
    </row>
    <row r="2966">
      <c r="A2966" s="1" t="n">
        <v>2964</v>
      </c>
      <c r="B2966" t="n">
        <v>2014</v>
      </c>
      <c r="C2966" s="2" t="n">
        <v>41971.69236111111</v>
      </c>
      <c r="D2966" t="inlineStr">
        <is>
          <t>G1</t>
        </is>
      </c>
      <c r="E2966" t="inlineStr">
        <is>
          <t>VENEZUELANOS</t>
        </is>
      </c>
      <c r="F2966" t="inlineStr"/>
      <c r="G2966" t="inlineStr">
        <is>
          <t>FP</t>
        </is>
      </c>
      <c r="H2966" t="inlineStr">
        <is>
          <t>MORTOS POR INTOXICAÇÃO EM PRISÃO VENEZUELANA SOBEM PARA 33, DIZ ONG</t>
        </is>
      </c>
      <c r="I2966" t="inlineStr"/>
      <c r="J2966" t="inlineStr"/>
      <c r="K2966" t="n">
        <v>0</v>
      </c>
      <c r="L2966" t="n">
        <v>5</v>
      </c>
      <c r="M2966" t="n">
        <v>0</v>
      </c>
      <c r="N2966" t="n">
        <v>0</v>
      </c>
      <c r="O2966" t="n">
        <v>12</v>
      </c>
      <c r="P2966">
        <f>HYPERLINK("http://g1.globo.com/mundo/noticia/2014/11/mortos-por-intoxicacao-em-prisao-venezuelana-sobe-para-33-diz-ong.html", "URL")</f>
        <v/>
      </c>
      <c r="Q2966">
        <f>HYPERLINK("https://raw.githubusercontent.com/marcosmapl/dataset_imigrantes/main/materias_filtered/g1/venezuelanos/2014/10_nov/html/g1_19c30ff6-2324-11ed-b24f-6dbe51e79fca_3849.html", "HTML")</f>
        <v/>
      </c>
      <c r="R2966">
        <f>HYPERLINK("https://raw.githubusercontent.com/marcosmapl/dataset_imigrantes/main/materias_filtered/g1/venezuelanos/2014/10_nov/txt/g1_19c30ff6-2324-11ed-b24f-6dbe51e79fca_3849.txt", "TXT")</f>
        <v/>
      </c>
    </row>
    <row r="2967">
      <c r="A2967" s="1" t="n">
        <v>2965</v>
      </c>
      <c r="B2967" t="n">
        <v>2014</v>
      </c>
      <c r="C2967" s="2" t="n">
        <v>41970.69930555556</v>
      </c>
      <c r="D2967" t="inlineStr">
        <is>
          <t>G1</t>
        </is>
      </c>
      <c r="E2967" t="inlineStr">
        <is>
          <t>HAITIANOS</t>
        </is>
      </c>
      <c r="F2967" t="inlineStr"/>
      <c r="G2967" t="inlineStr">
        <is>
          <t>VÃO PIRESE JONAS CAMPOSDO G1 RS E RBS TV</t>
        </is>
      </c>
      <c r="H2967" t="inlineStr">
        <is>
          <t>APÓS VIAGEM DO ACRE AO RS, GRUPO DE HAITIANOS SE DIRIGE A SC, PR E SP</t>
        </is>
      </c>
      <c r="I2967" t="inlineStr"/>
      <c r="J2967" t="inlineStr">
        <is>
          <t>PARANÁ, SANTA CATARINA, SÃO PAULO, PORTO ALEGRE</t>
        </is>
      </c>
      <c r="K2967" t="n">
        <v>4</v>
      </c>
      <c r="L2967" t="n">
        <v>5</v>
      </c>
      <c r="M2967" t="n">
        <v>0</v>
      </c>
      <c r="N2967" t="n">
        <v>0</v>
      </c>
      <c r="O2967" t="n">
        <v>19</v>
      </c>
      <c r="P2967">
        <f>HYPERLINK("http://g1.globo.com/rs/rio-grande-do-sul/noticia/2014/11/apos-viagem-do-acre-ao-rs-grupo-de-haitianos-se-dirige-sc-pr-e-sp.html", "URL")</f>
        <v/>
      </c>
      <c r="Q2967">
        <f>HYPERLINK("https://raw.githubusercontent.com/marcosmapl/dataset_imigrantes/main/materias_filtered/g1/haitianos/2014/10_nov/html/g1_c22721a4-22f3-11ed-b24f-6dbe51e79fca_1856.html", "HTML")</f>
        <v/>
      </c>
      <c r="R2967">
        <f>HYPERLINK("https://raw.githubusercontent.com/marcosmapl/dataset_imigrantes/main/materias_filtered/g1/haitianos/2014/10_nov/txt/g1_c22721a4-22f3-11ed-b24f-6dbe51e79fca_1856.txt", "TXT")</f>
        <v/>
      </c>
    </row>
    <row r="2968">
      <c r="A2968" s="1" t="n">
        <v>2966</v>
      </c>
      <c r="B2968" t="n">
        <v>2014</v>
      </c>
      <c r="C2968" s="2" t="n">
        <v>41970.54375</v>
      </c>
      <c r="D2968" t="inlineStr">
        <is>
          <t>G1</t>
        </is>
      </c>
      <c r="E2968" t="inlineStr">
        <is>
          <t>HAITIANOS</t>
        </is>
      </c>
      <c r="F2968" t="inlineStr"/>
      <c r="G2968" t="inlineStr">
        <is>
          <t>1 RS</t>
        </is>
      </c>
      <c r="H2968" t="inlineStr">
        <is>
          <t>ÔNIBUS COM IMIGRANTES HAITIANOS ENVIADO DO ACRE CHEGA AO RS</t>
        </is>
      </c>
      <c r="I2968" t="inlineStr"/>
      <c r="J2968" t="inlineStr">
        <is>
          <t>PORTO ALEGRE</t>
        </is>
      </c>
      <c r="K2968" t="n">
        <v>1</v>
      </c>
      <c r="L2968" t="n">
        <v>5</v>
      </c>
      <c r="M2968" t="n">
        <v>0</v>
      </c>
      <c r="N2968" t="n">
        <v>0</v>
      </c>
      <c r="O2968" t="n">
        <v>13</v>
      </c>
      <c r="P2968">
        <f>HYPERLINK("http://g1.globo.com/rs/rio-grande-do-sul/noticia/2014/11/onibus-com-imigrantes-haitianos-enviado-do-acre-chega-ao-rs.html", "URL")</f>
        <v/>
      </c>
      <c r="Q2968">
        <f>HYPERLINK("https://raw.githubusercontent.com/marcosmapl/dataset_imigrantes/main/materias_filtered/g1/haitianos/2014/10_nov/html/g1_1b73490e-22f4-11ed-b24f-6dbe51e79fca_1874.html", "HTML")</f>
        <v/>
      </c>
      <c r="R2968">
        <f>HYPERLINK("https://raw.githubusercontent.com/marcosmapl/dataset_imigrantes/main/materias_filtered/g1/haitianos/2014/10_nov/txt/g1_1b73490e-22f4-11ed-b24f-6dbe51e79fca_1874.txt", "TXT")</f>
        <v/>
      </c>
    </row>
    <row r="2969">
      <c r="A2969" s="1" t="n">
        <v>2967</v>
      </c>
      <c r="B2969" t="n">
        <v>2014</v>
      </c>
      <c r="C2969" s="2" t="n">
        <v>41957.52222222222</v>
      </c>
      <c r="D2969" t="inlineStr">
        <is>
          <t>G1</t>
        </is>
      </c>
      <c r="E2969" t="inlineStr">
        <is>
          <t>HAITIANOS</t>
        </is>
      </c>
      <c r="F2969" t="inlineStr"/>
      <c r="G2969" t="inlineStr">
        <is>
          <t>1 RIBEIRÃO E FRANCA</t>
        </is>
      </c>
      <c r="H2969" t="inlineStr">
        <is>
          <t>HAITIANOS SÃO FLAGRADOS TRABALHANDO EM SITUAÇÃO IRREGULAR NA CEAGESP</t>
        </is>
      </c>
      <c r="I2969" t="inlineStr"/>
      <c r="J2969" t="inlineStr">
        <is>
          <t>RIBEIRÃO PRETO</t>
        </is>
      </c>
      <c r="K2969" t="n">
        <v>1</v>
      </c>
      <c r="L2969" t="n">
        <v>7</v>
      </c>
      <c r="M2969" t="n">
        <v>0</v>
      </c>
      <c r="N2969" t="n">
        <v>0</v>
      </c>
      <c r="O2969" t="n">
        <v>12</v>
      </c>
      <c r="P2969">
        <f>HYPERLINK("http://g1.globo.com/sp/ribeirao-preto-franca/noticia/2014/11/haitianos-sao-flagrados-trabalhando-em-situacao-irregular-na-ceagesp.html", "URL")</f>
        <v/>
      </c>
      <c r="Q2969">
        <f>HYPERLINK("https://raw.githubusercontent.com/marcosmapl/dataset_imigrantes/main/materias_filtered/g1/haitianos/2014/10_nov/html/g1_78df705a-22f8-11ed-b24f-6dbe51e79fca_2137.html", "HTML")</f>
        <v/>
      </c>
      <c r="R2969">
        <f>HYPERLINK("https://raw.githubusercontent.com/marcosmapl/dataset_imigrantes/main/materias_filtered/g1/haitianos/2014/10_nov/txt/g1_78df705a-22f8-11ed-b24f-6dbe51e79fca_2137.txt", "TXT")</f>
        <v/>
      </c>
    </row>
    <row r="2970">
      <c r="A2970" s="1" t="n">
        <v>2968</v>
      </c>
      <c r="B2970" t="n">
        <v>2014</v>
      </c>
      <c r="C2970" s="2" t="n">
        <v>41954.72799768519</v>
      </c>
      <c r="D2970" t="inlineStr">
        <is>
          <t>A CRITICA</t>
        </is>
      </c>
      <c r="E2970" t="inlineStr">
        <is>
          <t>VENEZUELANOS</t>
        </is>
      </c>
      <c r="F2970" t="inlineStr"/>
      <c r="G2970" t="inlineStr">
        <is>
          <t>ACRÍTICA.COM</t>
        </is>
      </c>
      <c r="H2970" t="inlineStr">
        <is>
          <t>FVS CONFIRMA 2º CASO ‘IMPORTADO’ DE CHIKUNGUNYA EM MANAUS</t>
        </is>
      </c>
      <c r="I2970" t="inlineStr">
        <is>
          <t>PACIENTE É UMA BRASILEIRA RESIDENTE NA GUIANA QUE VISITOU MANAUS, MAS JÁ RETORNOU AO PAÍS ONDE VIVE. SEGUNDO FVS, MULHER JÁ CHEGOU À CAPITAL AMAZONENSE COM OS SINTOMAS CRÔNICOS DA DOENÇA</t>
        </is>
      </c>
      <c r="J2970" t="inlineStr"/>
      <c r="K2970" t="n">
        <v>0</v>
      </c>
      <c r="L2970" t="n">
        <v>1</v>
      </c>
      <c r="M2970" t="n">
        <v>0</v>
      </c>
      <c r="N2970" t="n">
        <v>0</v>
      </c>
      <c r="O2970" t="n">
        <v>2</v>
      </c>
      <c r="P2970">
        <f>HYPERLINK("https://www.acritica.com/fvs-confirma-2-caso-importado-de-chikungunya-em-manaus-1.242341", "URL")</f>
        <v/>
      </c>
      <c r="Q2970">
        <f>HYPERLINK("https://raw.githubusercontent.com/marcosmapl/dataset_imigrantes/main/materias_filtered/a_critica/venezuelanos/2014/10_nov/html/1.242341_183.html", "HTML")</f>
        <v/>
      </c>
      <c r="R2970">
        <f>HYPERLINK("https://raw.githubusercontent.com/marcosmapl/dataset_imigrantes/main/materias_filtered/a_critica/venezuelanos/2014/10_nov/txt/1.242341_183.txt", "TXT")</f>
        <v/>
      </c>
    </row>
    <row r="2971">
      <c r="A2971" s="1" t="n">
        <v>2969</v>
      </c>
      <c r="B2971" t="n">
        <v>2014</v>
      </c>
      <c r="C2971" s="2" t="n">
        <v>41949.81674768519</v>
      </c>
      <c r="D2971" t="inlineStr">
        <is>
          <t>A CRITICA</t>
        </is>
      </c>
      <c r="E2971" t="inlineStr">
        <is>
          <t>VENEZUELANOS</t>
        </is>
      </c>
      <c r="F2971" t="inlineStr"/>
      <c r="G2971" t="inlineStr">
        <is>
          <t>ACRÍTICA.COM</t>
        </is>
      </c>
      <c r="H2971" t="inlineStr">
        <is>
          <t>SAIBA MAIS SOBRE OS SINTOMAS E TRATAMENTO DA CHIKUNGUNYA</t>
        </is>
      </c>
      <c r="I2971" t="inlineStr">
        <is>
          <t>MINISTÉRIO DA SAÚDE DÁ DETALHES SOBRE DOENÇA SEMELHANTE À DENGUE E QUE JÁ TEVE PELO MENOS 828 REGISTROS NO PAÍS. EM MANAUS, PRIMEIRO CASO FOI CONFIRMADO NA ÚLTIMA SEGUNDA (3) EM VENEZUELANA QUE PASSAVA FÉRIAS NA CAPITAL</t>
        </is>
      </c>
      <c r="J2971" t="inlineStr"/>
      <c r="K2971" t="n">
        <v>0</v>
      </c>
      <c r="L2971" t="n">
        <v>1</v>
      </c>
      <c r="M2971" t="n">
        <v>0</v>
      </c>
      <c r="N2971" t="n">
        <v>0</v>
      </c>
      <c r="O2971" t="n">
        <v>1</v>
      </c>
      <c r="P2971">
        <f>HYPERLINK("https://www.acritica.com/saiba-mais-sobre-os-sintomas-e-tratamento-da-chikungunya-1.242402", "URL")</f>
        <v/>
      </c>
      <c r="Q2971">
        <f>HYPERLINK("https://raw.githubusercontent.com/marcosmapl/dataset_imigrantes/main/materias_filtered/a_critica/venezuelanos/2014/10_nov/html/1.242402_894.html", "HTML")</f>
        <v/>
      </c>
      <c r="R2971">
        <f>HYPERLINK("https://raw.githubusercontent.com/marcosmapl/dataset_imigrantes/main/materias_filtered/a_critica/venezuelanos/2014/10_nov/txt/1.242402_894.txt", "TXT")</f>
        <v/>
      </c>
    </row>
    <row r="2972">
      <c r="A2972" s="1" t="n">
        <v>2970</v>
      </c>
      <c r="B2972" t="n">
        <v>2014</v>
      </c>
      <c r="C2972" s="2" t="n">
        <v>41949.79375</v>
      </c>
      <c r="D2972" t="inlineStr">
        <is>
          <t>G1</t>
        </is>
      </c>
      <c r="E2972" t="inlineStr">
        <is>
          <t>HAITIANOS</t>
        </is>
      </c>
      <c r="F2972" t="inlineStr"/>
      <c r="G2972" t="inlineStr">
        <is>
          <t>RANCE PRESSE</t>
        </is>
      </c>
      <c r="H2972" t="inlineStr">
        <is>
          <t>TEMPESTADE DEIXA AO MENOS OITO MORTOS E MILHARES DE AFETADOS NO HAITI</t>
        </is>
      </c>
      <c r="I2972" t="inlineStr"/>
      <c r="J2972" t="inlineStr">
        <is>
          <t>HAITI</t>
        </is>
      </c>
      <c r="K2972" t="n">
        <v>1</v>
      </c>
      <c r="L2972" t="n">
        <v>5</v>
      </c>
      <c r="M2972" t="n">
        <v>0</v>
      </c>
      <c r="N2972" t="n">
        <v>0</v>
      </c>
      <c r="O2972" t="n">
        <v>9</v>
      </c>
      <c r="P2972">
        <f>HYPERLINK("http://g1.globo.com/mundo/noticia/2014/11/tempestade-deixa-ao-menos-oito-mortos-e-milhares-de-afetados-no-haiti.html", "URL")</f>
        <v/>
      </c>
      <c r="Q2972">
        <f>HYPERLINK("https://raw.githubusercontent.com/marcosmapl/dataset_imigrantes/main/materias_filtered/g1/haitianos/2014/10_nov/html/g1_fd4630e4-2312-11ed-b24f-6dbe51e79fca_2986.html", "HTML")</f>
        <v/>
      </c>
      <c r="R2972">
        <f>HYPERLINK("https://raw.githubusercontent.com/marcosmapl/dataset_imigrantes/main/materias_filtered/g1/haitianos/2014/10_nov/txt/g1_fd4630e4-2312-11ed-b24f-6dbe51e79fca_2986.txt", "TXT")</f>
        <v/>
      </c>
    </row>
    <row r="2973">
      <c r="A2973" s="1" t="n">
        <v>2971</v>
      </c>
      <c r="B2973" t="n">
        <v>2014</v>
      </c>
      <c r="C2973" s="2" t="n">
        <v>41946.75853009259</v>
      </c>
      <c r="D2973" t="inlineStr">
        <is>
          <t>A CRITICA</t>
        </is>
      </c>
      <c r="E2973" t="inlineStr">
        <is>
          <t>VENEZUELANOS</t>
        </is>
      </c>
      <c r="F2973" t="inlineStr">
        <is>
          <t>MANAUS</t>
        </is>
      </c>
      <c r="G2973" t="inlineStr">
        <is>
          <t>ACRÍTICA.COM</t>
        </is>
      </c>
      <c r="H2973" t="inlineStr">
        <is>
          <t>APÓS CASOS SUSPEITOS, FVS CONFIRMA PRIMEIRO REGISTRO DE FEBRE CHIKUNGUNYA EM MANAUS</t>
        </is>
      </c>
      <c r="I2973" t="inlineStr">
        <is>
          <t>RESULTADO DE MULHER VENEZUELANA FOI POSITIVO, SEGUNDO FUNDAÇÃO. DIRETOR-PRESIDENTE DO ÓRGÃO GARANTE QUE O AMAZONAS NÃO POSSUI VÍRUS</t>
        </is>
      </c>
      <c r="J2973" t="inlineStr"/>
      <c r="K2973" t="n">
        <v>0</v>
      </c>
      <c r="L2973" t="n">
        <v>1</v>
      </c>
      <c r="M2973" t="n">
        <v>0</v>
      </c>
      <c r="N2973" t="n">
        <v>0</v>
      </c>
      <c r="O2973" t="n">
        <v>1</v>
      </c>
      <c r="P2973">
        <f>HYPERLINK("https://www.acritica.com/manaus/apos-casos-suspeitos-fvs-confirma-primeiro-registro-de-febre-chikungunya-em-manaus-1.242430", "URL")</f>
        <v/>
      </c>
      <c r="Q2973">
        <f>HYPERLINK("https://raw.githubusercontent.com/marcosmapl/dataset_imigrantes/main/materias_filtered/a_critica/venezuelanos/2014/10_nov/html/1.242430_342.html", "HTML")</f>
        <v/>
      </c>
      <c r="R2973">
        <f>HYPERLINK("https://raw.githubusercontent.com/marcosmapl/dataset_imigrantes/main/materias_filtered/a_critica/venezuelanos/2014/10_nov/txt/1.242430_342.txt", "TXT")</f>
        <v/>
      </c>
    </row>
    <row r="2974">
      <c r="A2974" s="1" t="n">
        <v>2972</v>
      </c>
      <c r="B2974" t="n">
        <v>2014</v>
      </c>
      <c r="C2974" s="2" t="n">
        <v>41946.56388888889</v>
      </c>
      <c r="D2974" t="inlineStr">
        <is>
          <t>G1</t>
        </is>
      </c>
      <c r="E2974" t="inlineStr">
        <is>
          <t>HAITIANOS</t>
        </is>
      </c>
      <c r="F2974" t="inlineStr"/>
      <c r="G2974" t="inlineStr">
        <is>
          <t>RANCE PRESSE</t>
        </is>
      </c>
      <c r="H2974" t="inlineStr">
        <is>
          <t>YANICK LAHENS, DO HAITI, GANHA O FEMINA, PRÊMIO DE LITERATURA FRANCÊS</t>
        </is>
      </c>
      <c r="I2974" t="inlineStr"/>
      <c r="J2974" t="inlineStr"/>
      <c r="K2974" t="n">
        <v>0</v>
      </c>
      <c r="L2974" t="n">
        <v>2</v>
      </c>
      <c r="M2974" t="n">
        <v>0</v>
      </c>
      <c r="N2974" t="n">
        <v>0</v>
      </c>
      <c r="O2974" t="n">
        <v>4</v>
      </c>
      <c r="P2974">
        <f>HYPERLINK("http://g1.globo.com/pop-arte/noticia/2014/11/yanick-lahens-do-haiti-ganha-o-femina-premio-de-literatura-frances.html", "URL")</f>
        <v/>
      </c>
      <c r="Q2974">
        <f>HYPERLINK("https://raw.githubusercontent.com/marcosmapl/dataset_imigrantes/main/materias_filtered/g1/haitianos/2014/10_nov/html/g1_6a7a88e2-232a-11ed-b24f-6dbe51e79fca_4178.html", "HTML")</f>
        <v/>
      </c>
      <c r="R2974">
        <f>HYPERLINK("https://raw.githubusercontent.com/marcosmapl/dataset_imigrantes/main/materias_filtered/g1/haitianos/2014/10_nov/txt/g1_6a7a88e2-232a-11ed-b24f-6dbe51e79fca_4178.txt", "TXT")</f>
        <v/>
      </c>
    </row>
    <row r="2975">
      <c r="A2975" s="1" t="n">
        <v>2973</v>
      </c>
      <c r="B2975" t="n">
        <v>2014</v>
      </c>
      <c r="C2975" s="2" t="n">
        <v>41941.40486111111</v>
      </c>
      <c r="D2975" t="inlineStr">
        <is>
          <t>G1</t>
        </is>
      </c>
      <c r="E2975" t="inlineStr">
        <is>
          <t>HAITIANOS</t>
        </is>
      </c>
      <c r="F2975" t="inlineStr"/>
      <c r="G2975" t="inlineStr">
        <is>
          <t>1 GO, COM INFORMAÇÕES DA TV ANHANGUERA</t>
        </is>
      </c>
      <c r="H2975" t="inlineStr">
        <is>
          <t>HAITIANO DENUNCIA AGRESSÃO E AFIRMA SER VÍTIMA DE PRECONCEITO, EM GOIÁS</t>
        </is>
      </c>
      <c r="I2975" t="inlineStr"/>
      <c r="J2975" t="inlineStr">
        <is>
          <t>ANÁPOLIS</t>
        </is>
      </c>
      <c r="K2975" t="n">
        <v>1</v>
      </c>
      <c r="L2975" t="n">
        <v>3</v>
      </c>
      <c r="M2975" t="n">
        <v>0</v>
      </c>
      <c r="N2975" t="n">
        <v>0</v>
      </c>
      <c r="O2975" t="n">
        <v>11</v>
      </c>
      <c r="P2975">
        <f>HYPERLINK("http://g1.globo.com/goias/noticia/2014/10/haitiano-denuncia-agressao-e-afirma-ser-vitima-de-preconceito-em-goias.html", "URL")</f>
        <v/>
      </c>
      <c r="Q2975">
        <f>HYPERLINK("https://raw.githubusercontent.com/marcosmapl/dataset_imigrantes/main/materias_filtered/g1/haitianos/2014/09_out/html/g1_c8df0302-2322-11ed-b24f-6dbe51e79fca_3773.html", "HTML")</f>
        <v/>
      </c>
      <c r="R2975">
        <f>HYPERLINK("https://raw.githubusercontent.com/marcosmapl/dataset_imigrantes/main/materias_filtered/g1/haitianos/2014/09_out/txt/g1_c8df0302-2322-11ed-b24f-6dbe51e79fca_3773.txt", "TXT")</f>
        <v/>
      </c>
    </row>
    <row r="2976">
      <c r="A2976" s="1" t="n">
        <v>2974</v>
      </c>
      <c r="B2976" t="n">
        <v>2014</v>
      </c>
      <c r="C2976" s="2" t="n">
        <v>41940.48472222222</v>
      </c>
      <c r="D2976" t="inlineStr">
        <is>
          <t>G1</t>
        </is>
      </c>
      <c r="E2976" t="inlineStr">
        <is>
          <t>HAITIANOS</t>
        </is>
      </c>
      <c r="F2976" t="inlineStr"/>
      <c r="G2976" t="inlineStr">
        <is>
          <t>1 MT</t>
        </is>
      </c>
      <c r="H2976" t="inlineStr">
        <is>
          <t>HAITIANOS VÃO PARA O INTERIOR DE MATO GROSSO APÓS OFERTA DE TRABALHO</t>
        </is>
      </c>
      <c r="I2976" t="inlineStr"/>
      <c r="J2976" t="inlineStr">
        <is>
          <t>MATO GROSSO, CUIABÁ, SINOP</t>
        </is>
      </c>
      <c r="K2976" t="n">
        <v>3</v>
      </c>
      <c r="L2976" t="n">
        <v>3</v>
      </c>
      <c r="M2976" t="n">
        <v>0</v>
      </c>
      <c r="N2976" t="n">
        <v>0</v>
      </c>
      <c r="O2976" t="n">
        <v>12</v>
      </c>
      <c r="P2976">
        <f>HYPERLINK("http://g1.globo.com/mato-grosso/noticia/2014/10/haitianos-vao-para-o-interior-de-mato-grosso-apos-oferta-de-trabalho.html", "URL")</f>
        <v/>
      </c>
      <c r="Q2976">
        <f>HYPERLINK("https://raw.githubusercontent.com/marcosmapl/dataset_imigrantes/main/materias_filtered/g1/haitianos/2014/09_out/html/g1_67ccafb2-22f3-11ed-b24f-6dbe51e79fca_1839.html", "HTML")</f>
        <v/>
      </c>
      <c r="R2976">
        <f>HYPERLINK("https://raw.githubusercontent.com/marcosmapl/dataset_imigrantes/main/materias_filtered/g1/haitianos/2014/09_out/txt/g1_67ccafb2-22f3-11ed-b24f-6dbe51e79fca_1839.txt", "TXT")</f>
        <v/>
      </c>
    </row>
    <row r="2977">
      <c r="A2977" s="1" t="n">
        <v>2975</v>
      </c>
      <c r="B2977" t="n">
        <v>2014</v>
      </c>
      <c r="C2977" s="2" t="n">
        <v>41939.74652777778</v>
      </c>
      <c r="D2977" t="inlineStr">
        <is>
          <t>G1</t>
        </is>
      </c>
      <c r="E2977" t="inlineStr">
        <is>
          <t>HAITIANOS</t>
        </is>
      </c>
      <c r="F2977" t="inlineStr"/>
      <c r="G2977" t="inlineStr">
        <is>
          <t>1 PR, COM INFORMAÇÕES DA RPC TV CASCAVEL</t>
        </is>
      </c>
      <c r="H2977" t="inlineStr">
        <is>
          <t>HOMEM QUE ESFAQUEOU HAITIANO NO CENTRO DE CASCAVEL É PRESO</t>
        </is>
      </c>
      <c r="I2977" t="inlineStr"/>
      <c r="J2977" t="inlineStr">
        <is>
          <t>CASCAVEL</t>
        </is>
      </c>
      <c r="K2977" t="n">
        <v>1</v>
      </c>
      <c r="L2977" t="n">
        <v>4</v>
      </c>
      <c r="M2977" t="n">
        <v>0</v>
      </c>
      <c r="N2977" t="n">
        <v>0</v>
      </c>
      <c r="O2977" t="n">
        <v>11</v>
      </c>
      <c r="P2977">
        <f>HYPERLINK("http://g1.globo.com/pr/oeste-sudoeste/noticia/2014/10/homem-que-esfaqueou-haitiano-no-centro-de-cascavel-e-preso.html", "URL")</f>
        <v/>
      </c>
      <c r="Q2977">
        <f>HYPERLINK("https://raw.githubusercontent.com/marcosmapl/dataset_imigrantes/main/materias_filtered/g1/haitianos/2014/09_out/html/g1_00d84a0e-2308-11ed-b24f-6dbe51e79fca_2358.html", "HTML")</f>
        <v/>
      </c>
      <c r="R2977">
        <f>HYPERLINK("https://raw.githubusercontent.com/marcosmapl/dataset_imigrantes/main/materias_filtered/g1/haitianos/2014/09_out/txt/g1_00d84a0e-2308-11ed-b24f-6dbe51e79fca_2358.txt", "TXT")</f>
        <v/>
      </c>
    </row>
    <row r="2978">
      <c r="A2978" s="1" t="n">
        <v>2976</v>
      </c>
      <c r="B2978" t="n">
        <v>2014</v>
      </c>
      <c r="C2978" s="2" t="n">
        <v>41938.50902777778</v>
      </c>
      <c r="D2978" t="inlineStr">
        <is>
          <t>G1</t>
        </is>
      </c>
      <c r="E2978" t="inlineStr">
        <is>
          <t>HAITIANOS</t>
        </is>
      </c>
      <c r="F2978" t="inlineStr"/>
      <c r="G2978" t="inlineStr">
        <is>
          <t>RANCE PRESSE</t>
        </is>
      </c>
      <c r="H2978" t="inlineStr">
        <is>
          <t>GOVERNO ADIA ELEIÇÕES MARCADAS PARA ESTE DOMINGO NO HAITI</t>
        </is>
      </c>
      <c r="I2978" t="inlineStr"/>
      <c r="J2978" t="inlineStr">
        <is>
          <t>HAITI</t>
        </is>
      </c>
      <c r="K2978" t="n">
        <v>1</v>
      </c>
      <c r="L2978" t="n">
        <v>5</v>
      </c>
      <c r="M2978" t="n">
        <v>0</v>
      </c>
      <c r="N2978" t="n">
        <v>0</v>
      </c>
      <c r="O2978" t="n">
        <v>9</v>
      </c>
      <c r="P2978">
        <f>HYPERLINK("http://g1.globo.com/mundo/noticia/2014/10/governo-adia-eleicoes-marcadas-para-este-domingo-no-haiti.html", "URL")</f>
        <v/>
      </c>
      <c r="Q2978">
        <f>HYPERLINK("https://raw.githubusercontent.com/marcosmapl/dataset_imigrantes/main/materias_filtered/g1/haitianos/2014/09_out/html/g1_94088368-231a-11ed-b24f-6dbe51e79fca_3342.html", "HTML")</f>
        <v/>
      </c>
      <c r="R2978">
        <f>HYPERLINK("https://raw.githubusercontent.com/marcosmapl/dataset_imigrantes/main/materias_filtered/g1/haitianos/2014/09_out/txt/g1_94088368-231a-11ed-b24f-6dbe51e79fca_3342.txt", "TXT")</f>
        <v/>
      </c>
    </row>
    <row r="2979">
      <c r="A2979" s="1" t="n">
        <v>2977</v>
      </c>
      <c r="B2979" t="n">
        <v>2014</v>
      </c>
      <c r="C2979" s="2" t="n">
        <v>41936.64513888889</v>
      </c>
      <c r="D2979" t="inlineStr">
        <is>
          <t>G1</t>
        </is>
      </c>
      <c r="E2979" t="inlineStr">
        <is>
          <t>HAITIANOS</t>
        </is>
      </c>
      <c r="F2979" t="inlineStr"/>
      <c r="G2979" t="inlineStr">
        <is>
          <t>LE ALVES E LEANDRO TAPAJÓSDO G1 AM</t>
        </is>
      </c>
      <c r="H2979" t="inlineStr">
        <is>
          <t>HAITIANOS SONHAM COM FUTURO MELHOR PARA FILHOS NASCIDOS EM MANAUS</t>
        </is>
      </c>
      <c r="I2979" t="inlineStr"/>
      <c r="J2979" t="inlineStr">
        <is>
          <t>MANAUS</t>
        </is>
      </c>
      <c r="K2979" t="n">
        <v>1</v>
      </c>
      <c r="L2979" t="n">
        <v>5</v>
      </c>
      <c r="M2979" t="n">
        <v>0</v>
      </c>
      <c r="N2979" t="n">
        <v>0</v>
      </c>
      <c r="O2979" t="n">
        <v>18</v>
      </c>
      <c r="P2979">
        <f>HYPERLINK("http://g1.globo.com/am/amazonas/manaus-de-todas-as-cores/2014/noticia/2014/10/haitianos-sonham-com-futuro-melhor-para-filhos-nascidos-em-manaus.html", "URL")</f>
        <v/>
      </c>
      <c r="Q2979">
        <f>HYPERLINK("https://raw.githubusercontent.com/marcosmapl/dataset_imigrantes/main/materias_filtered/g1/haitianos/2014/09_out/html/g1_a2d2db68-22f3-11ed-b24f-6dbe51e79fca_1850.html", "HTML")</f>
        <v/>
      </c>
      <c r="R2979">
        <f>HYPERLINK("https://raw.githubusercontent.com/marcosmapl/dataset_imigrantes/main/materias_filtered/g1/haitianos/2014/09_out/txt/g1_a2d2db68-22f3-11ed-b24f-6dbe51e79fca_1850.txt", "TXT")</f>
        <v/>
      </c>
    </row>
    <row r="2980">
      <c r="A2980" s="1" t="n">
        <v>2978</v>
      </c>
      <c r="B2980" t="n">
        <v>2014</v>
      </c>
      <c r="C2980" s="2" t="n">
        <v>41934.92083333333</v>
      </c>
      <c r="D2980" t="inlineStr">
        <is>
          <t>G1</t>
        </is>
      </c>
      <c r="E2980" t="inlineStr">
        <is>
          <t>HAITIANOS</t>
        </is>
      </c>
      <c r="F2980" t="inlineStr"/>
      <c r="G2980" t="inlineStr">
        <is>
          <t>1 PR</t>
        </is>
      </c>
      <c r="H2980" t="inlineStr">
        <is>
          <t>MPT INVESTIGA DENÚNCIAS DE RACISMO E XENOFOBIA CONTRA HAITIANOS NO PR</t>
        </is>
      </c>
      <c r="I2980" t="inlineStr"/>
      <c r="J2980" t="inlineStr"/>
      <c r="K2980" t="n">
        <v>0</v>
      </c>
      <c r="L2980" t="n">
        <v>0</v>
      </c>
      <c r="M2980" t="n">
        <v>0</v>
      </c>
      <c r="N2980" t="n">
        <v>0</v>
      </c>
      <c r="O2980" t="n">
        <v>6</v>
      </c>
      <c r="P2980">
        <f>HYPERLINK("http://g1.globo.com/pr/parana/noticia/2014/10/mpt-investiga-denuncias-de-racismo-e-xenofobia-contra-haitianos-no-pr.html", "URL")</f>
        <v/>
      </c>
      <c r="Q2980">
        <f>HYPERLINK("https://raw.githubusercontent.com/marcosmapl/dataset_imigrantes/main/materias_filtered/g1/haitianos/2014/09_out/html/g1_0fc99156-22f6-11ed-b24f-6dbe51e79fca_1991.html", "HTML")</f>
        <v/>
      </c>
      <c r="R2980">
        <f>HYPERLINK("https://raw.githubusercontent.com/marcosmapl/dataset_imigrantes/main/materias_filtered/g1/haitianos/2014/09_out/txt/g1_0fc99156-22f6-11ed-b24f-6dbe51e79fca_1991.txt", "TXT")</f>
        <v/>
      </c>
    </row>
    <row r="2981">
      <c r="A2981" s="1" t="n">
        <v>2979</v>
      </c>
      <c r="B2981" t="n">
        <v>2014</v>
      </c>
      <c r="C2981" s="2" t="n">
        <v>41934.62569444445</v>
      </c>
      <c r="D2981" t="inlineStr">
        <is>
          <t>G1</t>
        </is>
      </c>
      <c r="E2981" t="inlineStr">
        <is>
          <t>HAITIANOS</t>
        </is>
      </c>
      <c r="F2981" t="inlineStr"/>
      <c r="G2981" t="inlineStr">
        <is>
          <t>TIBA, PR</t>
        </is>
      </c>
      <c r="H2981" t="inlineStr">
        <is>
          <t>IMIGRANTES HAITIANOS SÃO VÍTIMAS DE PRECONCEITO E XENOFOBIA NO PARANÁ</t>
        </is>
      </c>
      <c r="I2981" t="inlineStr"/>
      <c r="J2981" t="inlineStr"/>
      <c r="K2981" t="n">
        <v>0</v>
      </c>
      <c r="L2981" t="n">
        <v>0</v>
      </c>
      <c r="M2981" t="n">
        <v>0</v>
      </c>
      <c r="N2981" t="n">
        <v>0</v>
      </c>
      <c r="O2981" t="n">
        <v>5</v>
      </c>
      <c r="P2981">
        <f>HYPERLINK("http://g1.globo.com/jornal-hoje/noticia/2014/10/imigrantes-haitianos-sao-vitimas-de-preconceito-e-xenofobia-no-parana.html", "URL")</f>
        <v/>
      </c>
      <c r="Q2981">
        <f>HYPERLINK("https://raw.githubusercontent.com/marcosmapl/dataset_imigrantes/main/materias_filtered/g1/haitianos/2014/09_out/html/g1_ab330ec8-22f2-11ed-b24f-6dbe51e79fca_1809.html", "HTML")</f>
        <v/>
      </c>
      <c r="R2981">
        <f>HYPERLINK("https://raw.githubusercontent.com/marcosmapl/dataset_imigrantes/main/materias_filtered/g1/haitianos/2014/09_out/txt/g1_ab330ec8-22f2-11ed-b24f-6dbe51e79fca_1809.txt", "TXT")</f>
        <v/>
      </c>
    </row>
    <row r="2982">
      <c r="A2982" s="1" t="n">
        <v>2980</v>
      </c>
      <c r="B2982" t="n">
        <v>2014</v>
      </c>
      <c r="C2982" s="2" t="n">
        <v>41932.67569444444</v>
      </c>
      <c r="D2982" t="inlineStr">
        <is>
          <t>G1</t>
        </is>
      </c>
      <c r="E2982" t="inlineStr">
        <is>
          <t>HAITIANOS</t>
        </is>
      </c>
      <c r="F2982" t="inlineStr"/>
      <c r="G2982" t="inlineStr">
        <is>
          <t>1 PR</t>
        </is>
      </c>
      <c r="H2982" t="inlineStr">
        <is>
          <t>HAITIANO É ESFAQUEADO DURANTE ASSALTO EM CASCAVEL, DIZ POLÍCIA</t>
        </is>
      </c>
      <c r="I2982" t="inlineStr"/>
      <c r="J2982" t="inlineStr">
        <is>
          <t>CASCAVEL</t>
        </is>
      </c>
      <c r="K2982" t="n">
        <v>1</v>
      </c>
      <c r="L2982" t="n">
        <v>5</v>
      </c>
      <c r="M2982" t="n">
        <v>0</v>
      </c>
      <c r="N2982" t="n">
        <v>0</v>
      </c>
      <c r="O2982" t="n">
        <v>11</v>
      </c>
      <c r="P2982">
        <f>HYPERLINK("http://g1.globo.com/pr/oeste-sudoeste/noticia/2014/10/haitiano-e-esfaqueado-durante-assalto-em-cascavel-diz-policia.html", "URL")</f>
        <v/>
      </c>
      <c r="Q2982">
        <f>HYPERLINK("https://raw.githubusercontent.com/marcosmapl/dataset_imigrantes/main/materias_filtered/g1/haitianos/2014/09_out/html/g1_de86e8b6-2307-11ed-b24f-6dbe51e79fca_2348.html", "HTML")</f>
        <v/>
      </c>
      <c r="R2982">
        <f>HYPERLINK("https://raw.githubusercontent.com/marcosmapl/dataset_imigrantes/main/materias_filtered/g1/haitianos/2014/09_out/txt/g1_de86e8b6-2307-11ed-b24f-6dbe51e79fca_2348.txt", "TXT")</f>
        <v/>
      </c>
    </row>
    <row r="2983">
      <c r="A2983" s="1" t="n">
        <v>2981</v>
      </c>
      <c r="B2983" t="n">
        <v>2014</v>
      </c>
      <c r="C2983" s="2" t="n">
        <v>41926.29166666666</v>
      </c>
      <c r="D2983" t="inlineStr">
        <is>
          <t>G1</t>
        </is>
      </c>
      <c r="E2983" t="inlineStr">
        <is>
          <t>HAITIANOS</t>
        </is>
      </c>
      <c r="F2983" t="inlineStr"/>
      <c r="G2983" t="inlineStr">
        <is>
          <t>CIELE JOHNDO G1 PR, EM  CASCAVEL</t>
        </is>
      </c>
      <c r="H2983" t="inlineStr">
        <is>
          <t>APÓS SUSPEITA DE EBOLA, HAITIANOS ENFRENTAM PRECONCEITO EM CASCAVEL</t>
        </is>
      </c>
      <c r="I2983" t="inlineStr"/>
      <c r="J2983" t="inlineStr">
        <is>
          <t>CASCAVEL</t>
        </is>
      </c>
      <c r="K2983" t="n">
        <v>1</v>
      </c>
      <c r="L2983" t="n">
        <v>6</v>
      </c>
      <c r="M2983" t="n">
        <v>0</v>
      </c>
      <c r="N2983" t="n">
        <v>0</v>
      </c>
      <c r="O2983" t="n">
        <v>9</v>
      </c>
      <c r="P2983">
        <f>HYPERLINK("http://g1.globo.com/pr/oeste-sudoeste/noticia/2014/10/apos-suspeita-de-ebola-haitianos-enfrentam-preconceito-em-cascavel.html", "URL")</f>
        <v/>
      </c>
      <c r="Q2983">
        <f>HYPERLINK("https://raw.githubusercontent.com/marcosmapl/dataset_imigrantes/main/materias_filtered/g1/haitianos/2014/09_out/html/g1_74088992-22f6-11ed-b24f-6dbe51e79fca_2014.html", "HTML")</f>
        <v/>
      </c>
      <c r="R2983">
        <f>HYPERLINK("https://raw.githubusercontent.com/marcosmapl/dataset_imigrantes/main/materias_filtered/g1/haitianos/2014/09_out/txt/g1_74088992-22f6-11ed-b24f-6dbe51e79fca_2014.txt", "TXT")</f>
        <v/>
      </c>
    </row>
    <row r="2984">
      <c r="A2984" s="1" t="n">
        <v>2982</v>
      </c>
      <c r="B2984" t="n">
        <v>2014</v>
      </c>
      <c r="C2984" s="2" t="n">
        <v>41921.57916666667</v>
      </c>
      <c r="D2984" t="inlineStr">
        <is>
          <t>G1</t>
        </is>
      </c>
      <c r="E2984" t="inlineStr">
        <is>
          <t>HAITIANOS</t>
        </is>
      </c>
      <c r="F2984" t="inlineStr"/>
      <c r="G2984" t="inlineStr">
        <is>
          <t>1 PIRACICABA E REGIÃO</t>
        </is>
      </c>
      <c r="H2984" t="inlineStr">
        <is>
          <t>HAITIANOS E BRASILEIROS PARAM OBRA
EM ESTÁDIO POR FALTA DE PAGAMENTO</t>
        </is>
      </c>
      <c r="I2984" t="inlineStr"/>
      <c r="J2984" t="inlineStr">
        <is>
          <t>PIRACICABA, GUARIBA</t>
        </is>
      </c>
      <c r="K2984" t="n">
        <v>2</v>
      </c>
      <c r="L2984" t="n">
        <v>6</v>
      </c>
      <c r="M2984" t="n">
        <v>0</v>
      </c>
      <c r="N2984" t="n">
        <v>0</v>
      </c>
      <c r="O2984" t="n">
        <v>14</v>
      </c>
      <c r="P2984">
        <f>HYPERLINK("http://g1.globo.com/sp/piracicaba-regiao/noticia/2014/10/haitianos-e-brasileiros-param-obra-em-estadio-por-falta-de-pagamento.html", "URL")</f>
        <v/>
      </c>
      <c r="Q2984">
        <f>HYPERLINK("https://raw.githubusercontent.com/marcosmapl/dataset_imigrantes/main/materias_filtered/g1/haitianos/2014/09_out/html/g1_ab42db98-22fa-11ed-b24f-6dbe51e79fca_2234.html", "HTML")</f>
        <v/>
      </c>
      <c r="R2984">
        <f>HYPERLINK("https://raw.githubusercontent.com/marcosmapl/dataset_imigrantes/main/materias_filtered/g1/haitianos/2014/09_out/txt/g1_ab42db98-22fa-11ed-b24f-6dbe51e79fca_2234.txt", "TXT")</f>
        <v/>
      </c>
    </row>
    <row r="2985">
      <c r="A2985" s="1" t="n">
        <v>2983</v>
      </c>
      <c r="B2985" t="n">
        <v>2014</v>
      </c>
      <c r="C2985" s="2" t="n">
        <v>41918.68263888889</v>
      </c>
      <c r="D2985" t="inlineStr">
        <is>
          <t>G1</t>
        </is>
      </c>
      <c r="E2985" t="inlineStr">
        <is>
          <t>HAITIANOS</t>
        </is>
      </c>
      <c r="F2985" t="inlineStr"/>
      <c r="G2985" t="inlineStr">
        <is>
          <t>RANCE PRESSE</t>
        </is>
      </c>
      <c r="H2985" t="inlineStr">
        <is>
          <t>BARCO ENCONTRADO DIANTE DA COSTA HAITIANA NÃO É O DE COLOMBO</t>
        </is>
      </c>
      <c r="I2985" t="inlineStr"/>
      <c r="J2985" t="inlineStr">
        <is>
          <t>HAITI</t>
        </is>
      </c>
      <c r="K2985" t="n">
        <v>1</v>
      </c>
      <c r="L2985" t="n">
        <v>5</v>
      </c>
      <c r="M2985" t="n">
        <v>0</v>
      </c>
      <c r="N2985" t="n">
        <v>0</v>
      </c>
      <c r="O2985" t="n">
        <v>9</v>
      </c>
      <c r="P2985">
        <f>HYPERLINK("http://g1.globo.com/mundo/noticia/2014/10/barco-encontrado-diante-da-costa-haitiana-nao-e-o-de-colombo.html", "URL")</f>
        <v/>
      </c>
      <c r="Q2985">
        <f>HYPERLINK("https://raw.githubusercontent.com/marcosmapl/dataset_imigrantes/main/materias_filtered/g1/haitianos/2014/09_out/html/g1_58d78e90-2317-11ed-b24f-6dbe51e79fca_3202.html", "HTML")</f>
        <v/>
      </c>
      <c r="R2985">
        <f>HYPERLINK("https://raw.githubusercontent.com/marcosmapl/dataset_imigrantes/main/materias_filtered/g1/haitianos/2014/09_out/txt/g1_58d78e90-2317-11ed-b24f-6dbe51e79fca_3202.txt", "TXT")</f>
        <v/>
      </c>
    </row>
    <row r="2986">
      <c r="A2986" s="1" t="n">
        <v>2984</v>
      </c>
      <c r="B2986" t="n">
        <v>2014</v>
      </c>
      <c r="C2986" s="2" t="n">
        <v>41916.56388888889</v>
      </c>
      <c r="D2986" t="inlineStr">
        <is>
          <t>G1</t>
        </is>
      </c>
      <c r="E2986" t="inlineStr">
        <is>
          <t>HAITIANOS</t>
        </is>
      </c>
      <c r="F2986" t="inlineStr"/>
      <c r="G2986" t="inlineStr">
        <is>
          <t>1, EM SÃO PAULO</t>
        </is>
      </c>
      <c r="H2986" t="inlineStr">
        <is>
          <t>MORRE O EX-PRESIDENTE DO HAITI JEAN-CLAUDE DUVALIER, O 'BABY DOC'</t>
        </is>
      </c>
      <c r="I2986" t="inlineStr"/>
      <c r="J2986" t="inlineStr">
        <is>
          <t>HAITI</t>
        </is>
      </c>
      <c r="K2986" t="n">
        <v>1</v>
      </c>
      <c r="L2986" t="n">
        <v>6</v>
      </c>
      <c r="M2986" t="n">
        <v>0</v>
      </c>
      <c r="N2986" t="n">
        <v>0</v>
      </c>
      <c r="O2986" t="n">
        <v>10</v>
      </c>
      <c r="P2986">
        <f>HYPERLINK("http://g1.globo.com/mundo/noticia/2014/10/morre-o-ex-presidente-do-haiti-jean-claude-duvalier.html", "URL")</f>
        <v/>
      </c>
      <c r="Q2986">
        <f>HYPERLINK("https://raw.githubusercontent.com/marcosmapl/dataset_imigrantes/main/materias_filtered/g1/haitianos/2014/09_out/html/g1_35e9e07c-2326-11ed-b24f-6dbe51e79fca_3962.html", "HTML")</f>
        <v/>
      </c>
      <c r="R2986">
        <f>HYPERLINK("https://raw.githubusercontent.com/marcosmapl/dataset_imigrantes/main/materias_filtered/g1/haitianos/2014/09_out/txt/g1_35e9e07c-2326-11ed-b24f-6dbe51e79fca_3962.txt", "TXT")</f>
        <v/>
      </c>
    </row>
    <row r="2987">
      <c r="A2987" s="1" t="n">
        <v>2985</v>
      </c>
      <c r="B2987" t="n">
        <v>2014</v>
      </c>
      <c r="C2987" s="2" t="n">
        <v>41907.09305555555</v>
      </c>
      <c r="D2987" t="inlineStr">
        <is>
          <t>G1</t>
        </is>
      </c>
      <c r="E2987" t="inlineStr">
        <is>
          <t>HAITIANOS</t>
        </is>
      </c>
      <c r="F2987" t="inlineStr"/>
      <c r="G2987" t="inlineStr">
        <is>
          <t>1, EM SÃO PAULO</t>
        </is>
      </c>
      <c r="H2987" t="inlineStr">
        <is>
          <t>RAIOS 'ILUMINAM' MAR DURANTE TEMPESTADE NO HAITI</t>
        </is>
      </c>
      <c r="I2987" t="inlineStr"/>
      <c r="J2987" t="inlineStr"/>
      <c r="K2987" t="n">
        <v>0</v>
      </c>
      <c r="L2987" t="n">
        <v>1</v>
      </c>
      <c r="M2987" t="n">
        <v>0</v>
      </c>
      <c r="N2987" t="n">
        <v>0</v>
      </c>
      <c r="O2987" t="n">
        <v>4</v>
      </c>
      <c r="P2987">
        <f>HYPERLINK("http://g1.globo.com/mundo/noticia/2014/09/raios-iluminam-mar-durante-tempestade-no-haiti.html", "URL")</f>
        <v/>
      </c>
      <c r="Q2987">
        <f>HYPERLINK("https://raw.githubusercontent.com/marcosmapl/dataset_imigrantes/main/materias_filtered/g1/haitianos/2014/08_set/html/g1_9565d524-232b-11ed-b24f-6dbe51e79fca_4257.html", "HTML")</f>
        <v/>
      </c>
      <c r="R2987">
        <f>HYPERLINK("https://raw.githubusercontent.com/marcosmapl/dataset_imigrantes/main/materias_filtered/g1/haitianos/2014/08_set/txt/g1_9565d524-232b-11ed-b24f-6dbe51e79fca_4257.txt", "TXT")</f>
        <v/>
      </c>
    </row>
    <row r="2988">
      <c r="A2988" s="1" t="n">
        <v>2986</v>
      </c>
      <c r="B2988" t="n">
        <v>2014</v>
      </c>
      <c r="C2988" s="2" t="n">
        <v>41905.29166666666</v>
      </c>
      <c r="D2988" t="inlineStr">
        <is>
          <t>G1</t>
        </is>
      </c>
      <c r="E2988" t="inlineStr">
        <is>
          <t>HAITIANOS</t>
        </is>
      </c>
      <c r="F2988" t="inlineStr"/>
      <c r="G2988" t="inlineStr">
        <is>
          <t>E NASCIMENTODO G1 AC</t>
        </is>
      </c>
      <c r="H2988" t="inlineStr">
        <is>
          <t>COM DOIS EMPREGOS EM SC, HAITIANO VOLTA AO ACRE PARA BUSCAR NAMORADA</t>
        </is>
      </c>
      <c r="I2988" t="inlineStr"/>
      <c r="J2988" t="inlineStr">
        <is>
          <t>BRASILÉIA, RIO BRANCO, HAITI, SANTA CATARINA, TREZE TÍLIAS</t>
        </is>
      </c>
      <c r="K2988" t="n">
        <v>5</v>
      </c>
      <c r="L2988" t="n">
        <v>5</v>
      </c>
      <c r="M2988" t="n">
        <v>0</v>
      </c>
      <c r="N2988" t="n">
        <v>0</v>
      </c>
      <c r="O2988" t="n">
        <v>17</v>
      </c>
      <c r="P2988">
        <f>HYPERLINK("http://g1.globo.com/ac/acre/noticia/2014/09/com-dois-empregos-em-sc-haitiano-volta-ao-acre-para-buscar-namorada.html", "URL")</f>
        <v/>
      </c>
      <c r="Q2988">
        <f>HYPERLINK("https://raw.githubusercontent.com/marcosmapl/dataset_imigrantes/main/materias_filtered/g1/haitianos/2014/08_set/html/g1_ae02cca6-230b-11ed-b24f-6dbe51e79fca_2580.html", "HTML")</f>
        <v/>
      </c>
      <c r="R2988">
        <f>HYPERLINK("https://raw.githubusercontent.com/marcosmapl/dataset_imigrantes/main/materias_filtered/g1/haitianos/2014/08_set/txt/g1_ae02cca6-230b-11ed-b24f-6dbe51e79fca_2580.txt", "TXT")</f>
        <v/>
      </c>
    </row>
    <row r="2989">
      <c r="A2989" s="1" t="n">
        <v>2987</v>
      </c>
      <c r="B2989" t="n">
        <v>2014</v>
      </c>
      <c r="C2989" s="2" t="n">
        <v>41901.58541666667</v>
      </c>
      <c r="D2989" t="inlineStr">
        <is>
          <t>G1</t>
        </is>
      </c>
      <c r="E2989" t="inlineStr">
        <is>
          <t>HAITIANOS</t>
        </is>
      </c>
      <c r="F2989" t="inlineStr"/>
      <c r="G2989" t="inlineStr">
        <is>
          <t>YANA ARAÚJODO G1 MT</t>
        </is>
      </c>
      <c r="H2989" t="inlineStr">
        <is>
          <t>COM FIM DAS OBRAS DA COPA, CUIABÁ RECEBE MENOS MIGRANTES HAITIANOS</t>
        </is>
      </c>
      <c r="I2989" t="inlineStr"/>
      <c r="J2989" t="inlineStr">
        <is>
          <t>CUIABÁ</t>
        </is>
      </c>
      <c r="K2989" t="n">
        <v>1</v>
      </c>
      <c r="L2989" t="n">
        <v>5</v>
      </c>
      <c r="M2989" t="n">
        <v>0</v>
      </c>
      <c r="N2989" t="n">
        <v>0</v>
      </c>
      <c r="O2989" t="n">
        <v>10</v>
      </c>
      <c r="P2989">
        <f>HYPERLINK("http://g1.globo.com/mato-grosso/noticia/2014/09/com-fim-das-obras-da-copa-cuiaba-recebe-menos-migrantes-haitianos.html", "URL")</f>
        <v/>
      </c>
      <c r="Q2989">
        <f>HYPERLINK("https://raw.githubusercontent.com/marcosmapl/dataset_imigrantes/main/materias_filtered/g1/haitianos/2014/08_set/html/g1_66046e02-22fa-11ed-b24f-6dbe51e79fca_2217.html", "HTML")</f>
        <v/>
      </c>
      <c r="R2989">
        <f>HYPERLINK("https://raw.githubusercontent.com/marcosmapl/dataset_imigrantes/main/materias_filtered/g1/haitianos/2014/08_set/txt/g1_66046e02-22fa-11ed-b24f-6dbe51e79fca_2217.txt", "TXT")</f>
        <v/>
      </c>
    </row>
    <row r="2990">
      <c r="A2990" s="1" t="n">
        <v>2988</v>
      </c>
      <c r="B2990" t="n">
        <v>2014</v>
      </c>
      <c r="C2990" s="2" t="n">
        <v>41901.42916666667</v>
      </c>
      <c r="D2990" t="inlineStr">
        <is>
          <t>G1</t>
        </is>
      </c>
      <c r="E2990" t="inlineStr">
        <is>
          <t>HAITIANOS</t>
        </is>
      </c>
      <c r="F2990" t="inlineStr"/>
      <c r="G2990" t="inlineStr">
        <is>
          <t>ICA BALBINODO G1 SUL DE MINAS</t>
        </is>
      </c>
      <c r="H2990" t="inlineStr">
        <is>
          <t>'NO BRASIL EU ME SENTI HUMANO', DIZ HAITIANO QUE VIVE EM ANDRADAS, MG</t>
        </is>
      </c>
      <c r="I2990" t="inlineStr"/>
      <c r="J2990" t="inlineStr">
        <is>
          <t>RIO BRANCO, MINISTÉRIO DO TRABALHO, REPÚBLICA DOMINICANA, ANDRADAS</t>
        </is>
      </c>
      <c r="K2990" t="n">
        <v>4</v>
      </c>
      <c r="L2990" t="n">
        <v>5</v>
      </c>
      <c r="M2990" t="n">
        <v>0</v>
      </c>
      <c r="N2990" t="n">
        <v>0</v>
      </c>
      <c r="O2990" t="n">
        <v>12</v>
      </c>
      <c r="P2990">
        <f>HYPERLINK("http://g1.globo.com/mg/sul-de-minas/noticia/2014/09/no-brasil-eu-me-senti-humano-diz-haitiano-que-vive-em-andradas-mg.html", "URL")</f>
        <v/>
      </c>
      <c r="Q2990">
        <f>HYPERLINK("https://raw.githubusercontent.com/marcosmapl/dataset_imigrantes/main/materias_filtered/g1/haitianos/2014/08_set/html/g1_24fd7f46-231f-11ed-b24f-6dbe51e79fca_3604.html", "HTML")</f>
        <v/>
      </c>
      <c r="R2990">
        <f>HYPERLINK("https://raw.githubusercontent.com/marcosmapl/dataset_imigrantes/main/materias_filtered/g1/haitianos/2014/08_set/txt/g1_24fd7f46-231f-11ed-b24f-6dbe51e79fca_3604.txt", "TXT")</f>
        <v/>
      </c>
    </row>
    <row r="2991">
      <c r="A2991" s="1" t="n">
        <v>2989</v>
      </c>
      <c r="B2991" t="n">
        <v>2014</v>
      </c>
      <c r="C2991" s="2" t="n">
        <v>41898.25</v>
      </c>
      <c r="D2991" t="inlineStr">
        <is>
          <t>G1</t>
        </is>
      </c>
      <c r="E2991" t="inlineStr">
        <is>
          <t>VENEZUELANOS</t>
        </is>
      </c>
      <c r="F2991" t="inlineStr"/>
      <c r="G2991" t="inlineStr">
        <is>
          <t>SSOCIATED PRESS</t>
        </is>
      </c>
      <c r="H2991" t="inlineStr">
        <is>
          <t>VENEZUELANAS SOFREM COM A ESCASSEZ DE PRÓTESES DE SILICONE</t>
        </is>
      </c>
      <c r="I2991" t="inlineStr"/>
      <c r="J2991" t="inlineStr">
        <is>
          <t>VENEZUELA</t>
        </is>
      </c>
      <c r="K2991" t="n">
        <v>1</v>
      </c>
      <c r="L2991" t="n">
        <v>3</v>
      </c>
      <c r="M2991" t="n">
        <v>0</v>
      </c>
      <c r="N2991" t="n">
        <v>0</v>
      </c>
      <c r="O2991" t="n">
        <v>13</v>
      </c>
      <c r="P2991">
        <f>HYPERLINK("http://g1.globo.com/mundo/noticia/2014/09/venezuelanas-sofrem-com-escassez-de-proteses-de-silicone.html", "URL")</f>
        <v/>
      </c>
      <c r="Q2991">
        <f>HYPERLINK("https://raw.githubusercontent.com/marcosmapl/dataset_imigrantes/main/materias_filtered/g1/venezuelanos/2014/08_set/html/g1_52458536-2313-11ed-b24f-6dbe51e79fca_3005.html", "HTML")</f>
        <v/>
      </c>
      <c r="R2991">
        <f>HYPERLINK("https://raw.githubusercontent.com/marcosmapl/dataset_imigrantes/main/materias_filtered/g1/venezuelanos/2014/08_set/txt/g1_52458536-2313-11ed-b24f-6dbe51e79fca_3005.txt", "TXT")</f>
        <v/>
      </c>
    </row>
    <row r="2992">
      <c r="A2992" s="1" t="n">
        <v>2990</v>
      </c>
      <c r="B2992" t="n">
        <v>2014</v>
      </c>
      <c r="C2992" s="2" t="n">
        <v>41897.51041666666</v>
      </c>
      <c r="D2992" t="inlineStr">
        <is>
          <t>G1</t>
        </is>
      </c>
      <c r="E2992" t="inlineStr">
        <is>
          <t>HAITIANOS</t>
        </is>
      </c>
      <c r="F2992" t="inlineStr"/>
      <c r="G2992" t="inlineStr">
        <is>
          <t xml:space="preserve"> MARCEL DO G1 AC</t>
        </is>
      </c>
      <c r="H2992" t="inlineStr">
        <is>
          <t>AFRICANOS SE PASSAM POR HAITIANOS PARA CRUZAR A FRONTEIRA DO ACRE</t>
        </is>
      </c>
      <c r="I2992" t="inlineStr"/>
      <c r="J2992" t="inlineStr">
        <is>
          <t>ASSIS BRASIL, EPITACIOLÂNDIA, RIO BRANCO</t>
        </is>
      </c>
      <c r="K2992" t="n">
        <v>3</v>
      </c>
      <c r="L2992" t="n">
        <v>9</v>
      </c>
      <c r="M2992" t="n">
        <v>0</v>
      </c>
      <c r="N2992" t="n">
        <v>0</v>
      </c>
      <c r="O2992" t="n">
        <v>17</v>
      </c>
      <c r="P2992">
        <f>HYPERLINK("http://g1.globo.com/ac/acre/noticia/2014/09/africanos-se-passam-por-haitianos-para-cruzar-fronteira-do-acre.html", "URL")</f>
        <v/>
      </c>
      <c r="Q2992">
        <f>HYPERLINK("https://raw.githubusercontent.com/marcosmapl/dataset_imigrantes/main/materias_filtered/g1/haitianos/2014/08_set/html/g1_18c0a258-22f7-11ed-b24f-6dbe51e79fca_2059.html", "HTML")</f>
        <v/>
      </c>
      <c r="R2992">
        <f>HYPERLINK("https://raw.githubusercontent.com/marcosmapl/dataset_imigrantes/main/materias_filtered/g1/haitianos/2014/08_set/txt/g1_18c0a258-22f7-11ed-b24f-6dbe51e79fca_2059.txt", "TXT")</f>
        <v/>
      </c>
    </row>
    <row r="2993">
      <c r="A2993" s="1" t="n">
        <v>2991</v>
      </c>
      <c r="B2993" t="n">
        <v>2014</v>
      </c>
      <c r="C2993" s="2" t="n">
        <v>41892.62916666667</v>
      </c>
      <c r="D2993" t="inlineStr">
        <is>
          <t>G1</t>
        </is>
      </c>
      <c r="E2993" t="inlineStr">
        <is>
          <t>HAITIANOS</t>
        </is>
      </c>
      <c r="F2993" t="inlineStr"/>
      <c r="G2993" t="inlineStr">
        <is>
          <t>FP</t>
        </is>
      </c>
      <c r="H2993" t="inlineStr">
        <is>
          <t>EX-PRESIDENTE HAITIANO É COLOCADO EM PRISÃO DOMICILIAR</t>
        </is>
      </c>
      <c r="I2993" t="inlineStr"/>
      <c r="J2993" t="inlineStr">
        <is>
          <t>HAITI</t>
        </is>
      </c>
      <c r="K2993" t="n">
        <v>1</v>
      </c>
      <c r="L2993" t="n">
        <v>6</v>
      </c>
      <c r="M2993" t="n">
        <v>0</v>
      </c>
      <c r="N2993" t="n">
        <v>0</v>
      </c>
      <c r="O2993" t="n">
        <v>9</v>
      </c>
      <c r="P2993">
        <f>HYPERLINK("http://g1.globo.com/mundo/noticia/2014/09/ex-presidente-haitiano-e-colocado-em-prisao-domiciliar.html", "URL")</f>
        <v/>
      </c>
      <c r="Q2993">
        <f>HYPERLINK("https://raw.githubusercontent.com/marcosmapl/dataset_imigrantes/main/materias_filtered/g1/haitianos/2014/08_set/html/g1_0049c3d2-230e-11ed-b24f-6dbe51e79fca_2715.html", "HTML")</f>
        <v/>
      </c>
      <c r="R2993">
        <f>HYPERLINK("https://raw.githubusercontent.com/marcosmapl/dataset_imigrantes/main/materias_filtered/g1/haitianos/2014/08_set/txt/g1_0049c3d2-230e-11ed-b24f-6dbe51e79fca_2715.txt", "TXT")</f>
        <v/>
      </c>
    </row>
    <row r="2994">
      <c r="A2994" s="1" t="n">
        <v>2992</v>
      </c>
      <c r="B2994" t="n">
        <v>2014</v>
      </c>
      <c r="C2994" s="2" t="n">
        <v>41876.27083333334</v>
      </c>
      <c r="D2994" t="inlineStr">
        <is>
          <t>G1</t>
        </is>
      </c>
      <c r="E2994" t="inlineStr">
        <is>
          <t>HAITIANOS</t>
        </is>
      </c>
      <c r="F2994" t="inlineStr"/>
      <c r="G2994" t="inlineStr">
        <is>
          <t>1 PR</t>
        </is>
      </c>
      <c r="H2994" t="inlineStr">
        <is>
          <t>CINEMATECA DE CURITIBA MOSTRA FILMES DO CINEASTA HAITIANO RAOUL PECK</t>
        </is>
      </c>
      <c r="I2994" t="inlineStr"/>
      <c r="J2994" t="inlineStr">
        <is>
          <t>CURITIBA</t>
        </is>
      </c>
      <c r="K2994" t="n">
        <v>1</v>
      </c>
      <c r="L2994" t="n">
        <v>5</v>
      </c>
      <c r="M2994" t="n">
        <v>0</v>
      </c>
      <c r="N2994" t="n">
        <v>0</v>
      </c>
      <c r="O2994" t="n">
        <v>10</v>
      </c>
      <c r="P2994">
        <f>HYPERLINK("http://g1.globo.com/pr/parana/noticia/2014/08/cinemateca-de-curitiba-mostra-filmes-do-cineasta-haitiano-raoul-peck.html", "URL")</f>
        <v/>
      </c>
      <c r="Q2994">
        <f>HYPERLINK("https://raw.githubusercontent.com/marcosmapl/dataset_imigrantes/main/materias_filtered/g1/haitianos/2014/07_ago/html/g1_79cfa72c-2312-11ed-b24f-6dbe51e79fca_2968.html", "HTML")</f>
        <v/>
      </c>
      <c r="R2994">
        <f>HYPERLINK("https://raw.githubusercontent.com/marcosmapl/dataset_imigrantes/main/materias_filtered/g1/haitianos/2014/07_ago/txt/g1_79cfa72c-2312-11ed-b24f-6dbe51e79fca_2968.txt", "TXT")</f>
        <v/>
      </c>
    </row>
    <row r="2995">
      <c r="A2995" s="1" t="n">
        <v>2993</v>
      </c>
      <c r="B2995" t="n">
        <v>2014</v>
      </c>
      <c r="C2995" s="2" t="n">
        <v>41873.79027777778</v>
      </c>
      <c r="D2995" t="inlineStr">
        <is>
          <t>G1</t>
        </is>
      </c>
      <c r="E2995" t="inlineStr">
        <is>
          <t>HAITIANOS</t>
        </is>
      </c>
      <c r="F2995" t="inlineStr"/>
      <c r="G2995" t="inlineStr">
        <is>
          <t>1 SÃO PAULO</t>
        </is>
      </c>
      <c r="H2995" t="inlineStr">
        <is>
          <t>HAITIANOS SÃO RESGATADOS EM CONDIÇÕES DE ESCRAVIDÃO EM SP</t>
        </is>
      </c>
      <c r="I2995" t="inlineStr"/>
      <c r="J2995" t="inlineStr">
        <is>
          <t>SÃO PAULO</t>
        </is>
      </c>
      <c r="K2995" t="n">
        <v>1</v>
      </c>
      <c r="L2995" t="n">
        <v>3</v>
      </c>
      <c r="M2995" t="n">
        <v>0</v>
      </c>
      <c r="N2995" t="n">
        <v>0</v>
      </c>
      <c r="O2995" t="n">
        <v>14</v>
      </c>
      <c r="P2995">
        <f>HYPERLINK("http://g1.globo.com/sao-paulo/noticia/2014/08/haitianos-sao-resgatados-em-condicoes-de-escravidao-em-sp.html", "URL")</f>
        <v/>
      </c>
      <c r="Q2995">
        <f>HYPERLINK("https://raw.githubusercontent.com/marcosmapl/dataset_imigrantes/main/materias_filtered/g1/haitianos/2014/07_ago/html/g1_80018f2e-22f5-11ed-b24f-6dbe51e79fca_1954.html", "HTML")</f>
        <v/>
      </c>
      <c r="R2995">
        <f>HYPERLINK("https://raw.githubusercontent.com/marcosmapl/dataset_imigrantes/main/materias_filtered/g1/haitianos/2014/07_ago/txt/g1_80018f2e-22f5-11ed-b24f-6dbe51e79fca_1954.txt", "TXT")</f>
        <v/>
      </c>
    </row>
    <row r="2996">
      <c r="A2996" s="1" t="n">
        <v>2994</v>
      </c>
      <c r="B2996" t="n">
        <v>2014</v>
      </c>
      <c r="C2996" s="2" t="n">
        <v>41865.10416666666</v>
      </c>
      <c r="D2996" t="inlineStr">
        <is>
          <t>G1</t>
        </is>
      </c>
      <c r="E2996" t="inlineStr">
        <is>
          <t>VENEZUELANOS</t>
        </is>
      </c>
      <c r="F2996" t="inlineStr"/>
      <c r="G2996" t="inlineStr">
        <is>
          <t>FE</t>
        </is>
      </c>
      <c r="H2996" t="inlineStr">
        <is>
          <t>FILHA DE CHÁVEZ SERÁ EMBAIXADORA ALTERNA DA VENEZUELA NA ONU</t>
        </is>
      </c>
      <c r="I2996" t="inlineStr"/>
      <c r="J2996" t="inlineStr">
        <is>
          <t>HUGO CHÁVEZ, NICOLÁS MADURO, ONU, VENEZUELA</t>
        </is>
      </c>
      <c r="K2996" t="n">
        <v>4</v>
      </c>
      <c r="L2996" t="n">
        <v>5</v>
      </c>
      <c r="M2996" t="n">
        <v>0</v>
      </c>
      <c r="N2996" t="n">
        <v>0</v>
      </c>
      <c r="O2996" t="n">
        <v>12</v>
      </c>
      <c r="P2996">
        <f>HYPERLINK("http://g1.globo.com/mundo/noticia/2014/08/filha-de-chavez-sera-embaixadora-alterna-da-venezuela-na-onu.html", "URL")</f>
        <v/>
      </c>
      <c r="Q2996">
        <f>HYPERLINK("https://raw.githubusercontent.com/marcosmapl/dataset_imigrantes/main/materias_filtered/g1/venezuelanos/2014/07_ago/html/g1_54b140ec-230b-11ed-b24f-6dbe51e79fca_2558.html", "HTML")</f>
        <v/>
      </c>
      <c r="R2996">
        <f>HYPERLINK("https://raw.githubusercontent.com/marcosmapl/dataset_imigrantes/main/materias_filtered/g1/venezuelanos/2014/07_ago/txt/g1_54b140ec-230b-11ed-b24f-6dbe51e79fca_2558.txt", "TXT")</f>
        <v/>
      </c>
    </row>
    <row r="2997">
      <c r="A2997" s="1" t="n">
        <v>2995</v>
      </c>
      <c r="B2997" t="n">
        <v>2014</v>
      </c>
      <c r="C2997" s="2" t="n">
        <v>41856.44583333333</v>
      </c>
      <c r="D2997" t="inlineStr">
        <is>
          <t>G1</t>
        </is>
      </c>
      <c r="E2997" t="inlineStr">
        <is>
          <t>HAITIANOS</t>
        </is>
      </c>
      <c r="F2997" t="inlineStr"/>
      <c r="G2997" t="inlineStr">
        <is>
          <t>ANA RIBEIRODO G1 AC</t>
        </is>
      </c>
      <c r="H2997" t="inlineStr">
        <is>
          <t>HAITIANAS DÃO À LUZ NO ACRE PARA TER FILHOS COM CIDADANIA BRASILEIRA</t>
        </is>
      </c>
      <c r="I2997" t="inlineStr"/>
      <c r="J2997" t="inlineStr">
        <is>
          <t>RIO BRANCO</t>
        </is>
      </c>
      <c r="K2997" t="n">
        <v>1</v>
      </c>
      <c r="L2997" t="n">
        <v>5</v>
      </c>
      <c r="M2997" t="n">
        <v>0</v>
      </c>
      <c r="N2997" t="n">
        <v>0</v>
      </c>
      <c r="O2997" t="n">
        <v>10</v>
      </c>
      <c r="P2997">
        <f>HYPERLINK("http://g1.globo.com/ac/acre/noticia/2014/08/haitianas-dao-luz-no-acre-para-ter-filhos-com-cidadania-brasileira.html", "URL")</f>
        <v/>
      </c>
      <c r="Q2997">
        <f>HYPERLINK("https://raw.githubusercontent.com/marcosmapl/dataset_imigrantes/main/materias_filtered/g1/haitianos/2014/07_ago/html/g1_8fcff264-231e-11ed-b24f-6dbe51e79fca_3570.html", "HTML")</f>
        <v/>
      </c>
      <c r="R2997">
        <f>HYPERLINK("https://raw.githubusercontent.com/marcosmapl/dataset_imigrantes/main/materias_filtered/g1/haitianos/2014/07_ago/txt/g1_8fcff264-231e-11ed-b24f-6dbe51e79fca_3570.txt", "TXT")</f>
        <v/>
      </c>
    </row>
    <row r="2998">
      <c r="A2998" s="1" t="n">
        <v>2996</v>
      </c>
      <c r="B2998" t="n">
        <v>2014</v>
      </c>
      <c r="C2998" s="2" t="n">
        <v>41855.44722222222</v>
      </c>
      <c r="D2998" t="inlineStr">
        <is>
          <t>G1</t>
        </is>
      </c>
      <c r="E2998" t="inlineStr">
        <is>
          <t>HAITIANOS</t>
        </is>
      </c>
      <c r="F2998" t="inlineStr"/>
      <c r="G2998" t="inlineStr"/>
      <c r="H2998" t="inlineStr">
        <is>
          <t>HAITIANAS GRÁVIDAS IMIGRAM PARA O BRASIL PARA TER ATENDIMENTO MÉDICO</t>
        </is>
      </c>
      <c r="I2998" t="inlineStr"/>
      <c r="J2998" t="inlineStr"/>
      <c r="K2998" t="n">
        <v>0</v>
      </c>
      <c r="L2998" t="n">
        <v>0</v>
      </c>
      <c r="M2998" t="n">
        <v>0</v>
      </c>
      <c r="N2998" t="n">
        <v>0</v>
      </c>
      <c r="O2998" t="n">
        <v>4</v>
      </c>
      <c r="P2998">
        <f>HYPERLINK("http://g1.globo.com/bom-dia-brasil/noticia/2014/08/haitianas-gravidas-imigram-para-o-brasil-para-ter-atendimento-medico.html", "URL")</f>
        <v/>
      </c>
      <c r="Q2998">
        <f>HYPERLINK("https://raw.githubusercontent.com/marcosmapl/dataset_imigrantes/main/materias_filtered/g1/haitianos/2014/07_ago/html/g1_c62c44c0-22ec-11ed-b24f-6dbe51e79fca_1667.html", "HTML")</f>
        <v/>
      </c>
      <c r="R2998">
        <f>HYPERLINK("https://raw.githubusercontent.com/marcosmapl/dataset_imigrantes/main/materias_filtered/g1/haitianos/2014/07_ago/txt/g1_c62c44c0-22ec-11ed-b24f-6dbe51e79fca_1667.txt", "TXT")</f>
        <v/>
      </c>
    </row>
    <row r="2999">
      <c r="A2999" s="1" t="n">
        <v>2997</v>
      </c>
      <c r="B2999" t="n">
        <v>2014</v>
      </c>
      <c r="C2999" s="2" t="n">
        <v>41849.53472222222</v>
      </c>
      <c r="D2999" t="inlineStr">
        <is>
          <t>G1</t>
        </is>
      </c>
      <c r="E2999" t="inlineStr">
        <is>
          <t>HAITIANOS</t>
        </is>
      </c>
      <c r="F2999" t="inlineStr"/>
      <c r="G2999" t="inlineStr">
        <is>
          <t>CIELE JOHNDO G1 PR</t>
        </is>
      </c>
      <c r="H2999" t="inlineStr">
        <is>
          <t>PROGRAMA DE RÁDIO FEITO POR HAITIANOS DIVULGA A CULTURA CARIBENHA NO PARANÁ</t>
        </is>
      </c>
      <c r="I2999" t="inlineStr"/>
      <c r="J2999" t="inlineStr">
        <is>
          <t>PARANÁ, CASCAVEL</t>
        </is>
      </c>
      <c r="K2999" t="n">
        <v>2</v>
      </c>
      <c r="L2999" t="n">
        <v>5</v>
      </c>
      <c r="M2999" t="n">
        <v>0</v>
      </c>
      <c r="N2999" t="n">
        <v>0</v>
      </c>
      <c r="O2999" t="n">
        <v>15</v>
      </c>
      <c r="P2999">
        <f>HYPERLINK("http://g1.globo.com/pr/oeste-sudoeste/noticia/2014/07/programa-de-radio-feito-por-haitianos-divulga-cultura-caribenha-no-parana.html", "URL")</f>
        <v/>
      </c>
      <c r="Q2999">
        <f>HYPERLINK("https://raw.githubusercontent.com/marcosmapl/dataset_imigrantes/main/materias_filtered/g1/haitianos/2014/06_jul/html/g1_905dc218-22f8-11ed-b24f-6dbe51e79fca_2143.html", "HTML")</f>
        <v/>
      </c>
      <c r="R2999">
        <f>HYPERLINK("https://raw.githubusercontent.com/marcosmapl/dataset_imigrantes/main/materias_filtered/g1/haitianos/2014/06_jul/txt/g1_905dc218-22f8-11ed-b24f-6dbe51e79fca_2143.txt", "TXT")</f>
        <v/>
      </c>
    </row>
    <row r="3000">
      <c r="A3000" s="1" t="n">
        <v>2998</v>
      </c>
      <c r="B3000" t="n">
        <v>2014</v>
      </c>
      <c r="C3000" s="2" t="n">
        <v>41848.97222222222</v>
      </c>
      <c r="D3000" t="inlineStr">
        <is>
          <t>G1</t>
        </is>
      </c>
      <c r="E3000" t="inlineStr">
        <is>
          <t>HAITIANOS</t>
        </is>
      </c>
      <c r="F3000" t="inlineStr"/>
      <c r="G3000" t="inlineStr">
        <is>
          <t>1 SC</t>
        </is>
      </c>
      <c r="H3000" t="inlineStr">
        <is>
          <t>REUNIÃO EM CRICIÚMA DEBATE SITUAÇÃO DE IMIGRANTES HAITIANOS E AFRICANOS</t>
        </is>
      </c>
      <c r="I3000" t="inlineStr"/>
      <c r="J3000" t="inlineStr">
        <is>
          <t>CRICIÚMA</t>
        </is>
      </c>
      <c r="K3000" t="n">
        <v>1</v>
      </c>
      <c r="L3000" t="n">
        <v>5</v>
      </c>
      <c r="M3000" t="n">
        <v>0</v>
      </c>
      <c r="N3000" t="n">
        <v>0</v>
      </c>
      <c r="O3000" t="n">
        <v>9</v>
      </c>
      <c r="P3000">
        <f>HYPERLINK("http://g1.globo.com/sc/santa-catarina/noticia/2014/07/reuniao-em-criciuma-debate-situacao-de-imigrantes-haitianos-e-africanos.html", "URL")</f>
        <v/>
      </c>
      <c r="Q3000">
        <f>HYPERLINK("https://raw.githubusercontent.com/marcosmapl/dataset_imigrantes/main/materias_filtered/g1/haitianos/2014/06_jul/html/g1_0ccdfae6-22f6-11ed-b24f-6dbe51e79fca_1990.html", "HTML")</f>
        <v/>
      </c>
      <c r="R3000">
        <f>HYPERLINK("https://raw.githubusercontent.com/marcosmapl/dataset_imigrantes/main/materias_filtered/g1/haitianos/2014/06_jul/txt/g1_0ccdfae6-22f6-11ed-b24f-6dbe51e79fca_1990.txt", "TXT")</f>
        <v/>
      </c>
    </row>
    <row r="3001">
      <c r="A3001" s="1" t="n">
        <v>2999</v>
      </c>
      <c r="B3001" t="n">
        <v>2014</v>
      </c>
      <c r="C3001" s="2" t="n">
        <v>41837.4125</v>
      </c>
      <c r="D3001" t="inlineStr">
        <is>
          <t>G1</t>
        </is>
      </c>
      <c r="E3001" t="inlineStr">
        <is>
          <t>HAITIANOS</t>
        </is>
      </c>
      <c r="F3001" t="inlineStr"/>
      <c r="G3001" t="inlineStr">
        <is>
          <t>1 MT</t>
        </is>
      </c>
      <c r="H3001" t="inlineStr">
        <is>
          <t>HAITIANAS ENFRENTAM DIFICULDADES PARA ARRUMAR EMPREGO EM CUIABÁ</t>
        </is>
      </c>
      <c r="I3001" t="inlineStr"/>
      <c r="J3001" t="inlineStr">
        <is>
          <t>CUIABÁ</t>
        </is>
      </c>
      <c r="K3001" t="n">
        <v>1</v>
      </c>
      <c r="L3001" t="n">
        <v>2</v>
      </c>
      <c r="M3001" t="n">
        <v>0</v>
      </c>
      <c r="N3001" t="n">
        <v>0</v>
      </c>
      <c r="O3001" t="n">
        <v>11</v>
      </c>
      <c r="P3001">
        <f>HYPERLINK("http://g1.globo.com/mato-grosso/noticia/2014/07/haitianos-enfrentam-dificuldades-para-arrumar-emprego-em-cuiaba.html", "URL")</f>
        <v/>
      </c>
      <c r="Q3001">
        <f>HYPERLINK("https://raw.githubusercontent.com/marcosmapl/dataset_imigrantes/main/materias_filtered/g1/haitianos/2014/06_jul/html/g1_eb9251fe-22ed-11ed-b24f-6dbe51e79fca_1692.html", "HTML")</f>
        <v/>
      </c>
      <c r="R3001">
        <f>HYPERLINK("https://raw.githubusercontent.com/marcosmapl/dataset_imigrantes/main/materias_filtered/g1/haitianos/2014/06_jul/txt/g1_eb9251fe-22ed-11ed-b24f-6dbe51e79fca_1692.txt", "TXT")</f>
        <v/>
      </c>
    </row>
    <row r="3002">
      <c r="A3002" s="1" t="n">
        <v>3000</v>
      </c>
      <c r="B3002" t="n">
        <v>2014</v>
      </c>
      <c r="C3002" s="2" t="n">
        <v>41829.43680555555</v>
      </c>
      <c r="D3002" t="inlineStr">
        <is>
          <t>G1</t>
        </is>
      </c>
      <c r="E3002" t="inlineStr">
        <is>
          <t>HAITIANOS</t>
        </is>
      </c>
      <c r="F3002" t="inlineStr"/>
      <c r="G3002" t="inlineStr">
        <is>
          <t>1 ES</t>
        </is>
      </c>
      <c r="H3002" t="inlineStr">
        <is>
          <t>EMPRESA DO ES CONTRATA HAITIANOS PARA REFORÇAR MÃO DE OBRA</t>
        </is>
      </c>
      <c r="I3002" t="inlineStr"/>
      <c r="J3002" t="inlineStr">
        <is>
          <t>ESPÍRITO SANTO</t>
        </is>
      </c>
      <c r="K3002" t="n">
        <v>1</v>
      </c>
      <c r="L3002" t="n">
        <v>5</v>
      </c>
      <c r="M3002" t="n">
        <v>0</v>
      </c>
      <c r="N3002" t="n">
        <v>0</v>
      </c>
      <c r="O3002" t="n">
        <v>11</v>
      </c>
      <c r="P3002">
        <f>HYPERLINK("http://g1.globo.com/espirito-santo/noticia/2014/07/empresa-do-es-contrata-haitianos-para-reforcar-mao-de-obra.html", "URL")</f>
        <v/>
      </c>
      <c r="Q3002">
        <f>HYPERLINK("https://raw.githubusercontent.com/marcosmapl/dataset_imigrantes/main/materias_filtered/g1/haitianos/2014/06_jul/html/g1_2fc4615c-22f1-11ed-b24f-6dbe51e79fca_1739.html", "HTML")</f>
        <v/>
      </c>
      <c r="R3002">
        <f>HYPERLINK("https://raw.githubusercontent.com/marcosmapl/dataset_imigrantes/main/materias_filtered/g1/haitianos/2014/06_jul/txt/g1_2fc4615c-22f1-11ed-b24f-6dbe51e79fca_1739.txt", "TXT")</f>
        <v/>
      </c>
    </row>
    <row r="3003">
      <c r="A3003" s="1" t="n">
        <v>3001</v>
      </c>
      <c r="B3003" t="n">
        <v>2014</v>
      </c>
      <c r="C3003" s="2" t="n">
        <v>41828.35694444444</v>
      </c>
      <c r="D3003" t="inlineStr">
        <is>
          <t>G1</t>
        </is>
      </c>
      <c r="E3003" t="inlineStr">
        <is>
          <t>VENEZUELANOS</t>
        </is>
      </c>
      <c r="F3003" t="inlineStr"/>
      <c r="G3003" t="inlineStr">
        <is>
          <t>IANA OLIVEIRADO G1 RR</t>
        </is>
      </c>
      <c r="H3003" t="inlineStr">
        <is>
          <t>EM RR, DOIS HOMENS SÃO PRESOS COM 1,3 MIL LITROS DE GASOLINA VENEZUELANA</t>
        </is>
      </c>
      <c r="I3003" t="inlineStr"/>
      <c r="J3003" t="inlineStr">
        <is>
          <t>BOA VISTA</t>
        </is>
      </c>
      <c r="K3003" t="n">
        <v>1</v>
      </c>
      <c r="L3003" t="n">
        <v>4</v>
      </c>
      <c r="M3003" t="n">
        <v>0</v>
      </c>
      <c r="N3003" t="n">
        <v>0</v>
      </c>
      <c r="O3003" t="n">
        <v>17</v>
      </c>
      <c r="P3003">
        <f>HYPERLINK("http://g1.globo.com/rr/roraima/noticia/2014/07/em-rr-dois-homens-sao-presos-com-13-mil-litros-de-gasolina-venezuelana.html", "URL")</f>
        <v/>
      </c>
      <c r="Q3003">
        <f>HYPERLINK("https://raw.githubusercontent.com/marcosmapl/dataset_imigrantes/main/materias_filtered/g1/venezuelanos/2014/06_jul/html/g1_1447bfd4-232b-11ed-b24f-6dbe51e79fca_4220.html", "HTML")</f>
        <v/>
      </c>
      <c r="R3003">
        <f>HYPERLINK("https://raw.githubusercontent.com/marcosmapl/dataset_imigrantes/main/materias_filtered/g1/venezuelanos/2014/06_jul/txt/g1_1447bfd4-232b-11ed-b24f-6dbe51e79fca_4220.txt", "TXT")</f>
        <v/>
      </c>
    </row>
    <row r="3004">
      <c r="A3004" s="1" t="n">
        <v>3002</v>
      </c>
      <c r="B3004" t="n">
        <v>2014</v>
      </c>
      <c r="C3004" s="2" t="n">
        <v>41825.53402777778</v>
      </c>
      <c r="D3004" t="inlineStr">
        <is>
          <t>G1</t>
        </is>
      </c>
      <c r="E3004" t="inlineStr">
        <is>
          <t>HAITIANOS</t>
        </is>
      </c>
      <c r="F3004" t="inlineStr"/>
      <c r="G3004" t="inlineStr">
        <is>
          <t>1, EM SÃO PAULO</t>
        </is>
      </c>
      <c r="H3004" t="inlineStr">
        <is>
          <t>HAITIANOS ASSISTEM À VITÓRIA DO BRASIL NA COPA COM MILITARES BRASILEIROS</t>
        </is>
      </c>
      <c r="I3004" t="inlineStr"/>
      <c r="J3004" t="inlineStr">
        <is>
          <t>HAITI</t>
        </is>
      </c>
      <c r="K3004" t="n">
        <v>1</v>
      </c>
      <c r="L3004" t="n">
        <v>6</v>
      </c>
      <c r="M3004" t="n">
        <v>0</v>
      </c>
      <c r="N3004" t="n">
        <v>0</v>
      </c>
      <c r="O3004" t="n">
        <v>9</v>
      </c>
      <c r="P3004">
        <f>HYPERLINK("http://g1.globo.com/mundo/noticia/2014/07/haitianos-assistem-vitoria-do-brasil-na-copa-com-militares-brasileiros.html", "URL")</f>
        <v/>
      </c>
      <c r="Q3004">
        <f>HYPERLINK("https://raw.githubusercontent.com/marcosmapl/dataset_imigrantes/main/materias_filtered/g1/haitianos/2014/06_jul/html/g1_ff3bca34-22f0-11ed-b24f-6dbe51e79fca_1729.html", "HTML")</f>
        <v/>
      </c>
      <c r="R3004">
        <f>HYPERLINK("https://raw.githubusercontent.com/marcosmapl/dataset_imigrantes/main/materias_filtered/g1/haitianos/2014/06_jul/txt/g1_ff3bca34-22f0-11ed-b24f-6dbe51e79fca_1729.txt", "TXT")</f>
        <v/>
      </c>
    </row>
    <row r="3005">
      <c r="A3005" s="1" t="n">
        <v>3003</v>
      </c>
      <c r="B3005" t="n">
        <v>2014</v>
      </c>
      <c r="C3005" s="2" t="n">
        <v>41817.79577546296</v>
      </c>
      <c r="D3005" t="inlineStr">
        <is>
          <t>A CRITICA</t>
        </is>
      </c>
      <c r="E3005" t="inlineStr">
        <is>
          <t>VENEZUELANOS</t>
        </is>
      </c>
      <c r="F3005" t="inlineStr"/>
      <c r="G3005" t="inlineStr">
        <is>
          <t>VINICIUS LEAL</t>
        </is>
      </c>
      <c r="H3005" t="inlineStr">
        <is>
          <t>TORCEDORES DOS BOIS CAPRICHOSO E GARANTIDO FORMAM FILAS PARA ASSISTIR 49º FESTIVAL DE PARINTINS</t>
        </is>
      </c>
      <c r="I3005" t="inlineStr">
        <is>
          <t>DE VÁRIAS CIDADES DO AMAZONAS, E ALGUNS DE PARINTINS, OS “FÃS” BUSCAM UM BOM ASSENTO NAS ARQUIBANCADAS DO BUMBÓDROMO, ONDE OS BUMBÁS DISPUTAM. SOB SOL E CHUVA, ELES ARRUMAM ESTRATÉGIAS PARA SE ALIMENTAR E UTILIZAR BANHEIROS</t>
        </is>
      </c>
      <c r="J3005" t="inlineStr"/>
      <c r="K3005" t="n">
        <v>0</v>
      </c>
      <c r="L3005" t="n">
        <v>1</v>
      </c>
      <c r="M3005" t="n">
        <v>0</v>
      </c>
      <c r="N3005" t="n">
        <v>0</v>
      </c>
      <c r="O3005" t="n">
        <v>2</v>
      </c>
      <c r="P3005">
        <f>HYPERLINK("https://www.acritica.com/torcedores-dos-bois-caprichoso-e-garantido-formam-filas-para-assistir-49-festival-de-parintins-1.145423", "URL")</f>
        <v/>
      </c>
      <c r="Q3005">
        <f>HYPERLINK("https://raw.githubusercontent.com/marcosmapl/dataset_imigrantes/main/materias_filtered/a_critica/venezuelanos/2014/05_jun/html/1.145423_730.html", "HTML")</f>
        <v/>
      </c>
      <c r="R3005">
        <f>HYPERLINK("https://raw.githubusercontent.com/marcosmapl/dataset_imigrantes/main/materias_filtered/a_critica/venezuelanos/2014/05_jun/txt/1.145423_730.txt", "TXT")</f>
        <v/>
      </c>
    </row>
    <row r="3006">
      <c r="A3006" s="1" t="n">
        <v>3004</v>
      </c>
      <c r="B3006" t="n">
        <v>2014</v>
      </c>
      <c r="C3006" s="2" t="n">
        <v>41816.78319444445</v>
      </c>
      <c r="D3006" t="inlineStr">
        <is>
          <t>A CRITICA</t>
        </is>
      </c>
      <c r="E3006" t="inlineStr">
        <is>
          <t>VENEZUELANOS</t>
        </is>
      </c>
      <c r="F3006" t="inlineStr">
        <is>
          <t>ENTRETENIMENTO</t>
        </is>
      </c>
      <c r="G3006" t="inlineStr">
        <is>
          <t>ACRÍTICA.COM</t>
        </is>
      </c>
      <c r="H3006" t="inlineStr">
        <is>
          <t>MÚSICA AMAZONENSE E RITMOS CUBANOS DÃO O TOM NO SEGUNDO DIA DO IX FESTIVAL AMAZONAS JAZZ</t>
        </is>
      </c>
      <c r="I3006" t="inlineStr">
        <is>
          <t>O SHOW ACONTECE NO TEATRO AMAZONAS, ÀS 19H30 E LOGO EM SEGUIDA O JOVEM BATERISTA CUBANO DAFNIS PRIETO, VENCEDOR DO GRAMMY LATINO EM 2007, SOBE AO PALCO COM UMA FUSÃO DE RITMOS QUE ESTÁ VARRENDO O PLANETA DESDE SUA CHEGADA À NOVA IORQUE EM 1999</t>
        </is>
      </c>
      <c r="J3006" t="inlineStr"/>
      <c r="K3006" t="n">
        <v>0</v>
      </c>
      <c r="L3006" t="n">
        <v>1</v>
      </c>
      <c r="M3006" t="n">
        <v>0</v>
      </c>
      <c r="N3006" t="n">
        <v>0</v>
      </c>
      <c r="O3006" t="n">
        <v>0</v>
      </c>
      <c r="P3006">
        <f>HYPERLINK("https://www.acritica.com/entretenimento/musica-amazonense-e-ritmos-cubanos-d-o-o-tom-no-segundo-dia-do-ix-festival-amazonas-jazz-1.143038", "URL")</f>
        <v/>
      </c>
      <c r="Q3006">
        <f>HYPERLINK("https://raw.githubusercontent.com/marcosmapl/dataset_imigrantes/main/materias_filtered/a_critica/venezuelanos/2014/05_jun/html/1.143038_1084.html", "HTML")</f>
        <v/>
      </c>
      <c r="R3006">
        <f>HYPERLINK("https://raw.githubusercontent.com/marcosmapl/dataset_imigrantes/main/materias_filtered/a_critica/venezuelanos/2014/05_jun/txt/1.143038_1084.txt", "TXT")</f>
        <v/>
      </c>
    </row>
    <row r="3007">
      <c r="A3007" s="1" t="n">
        <v>3005</v>
      </c>
      <c r="B3007" t="n">
        <v>2014</v>
      </c>
      <c r="C3007" s="2" t="n">
        <v>41810.95625</v>
      </c>
      <c r="D3007" t="inlineStr">
        <is>
          <t>G1</t>
        </is>
      </c>
      <c r="E3007" t="inlineStr">
        <is>
          <t>HAITIANOS</t>
        </is>
      </c>
      <c r="F3007" t="inlineStr"/>
      <c r="G3007" t="inlineStr">
        <is>
          <t>ANA RIBEIRODO G1 AC</t>
        </is>
      </c>
      <c r="H3007" t="inlineStr">
        <is>
          <t>APÓS UM ANO NO AC, MENOR HAITIANO SEGUE VIAGEM PARA ENCONTRAR OS PAIS</t>
        </is>
      </c>
      <c r="I3007" t="inlineStr"/>
      <c r="J3007" t="inlineStr">
        <is>
          <t>RIO BRANCO</t>
        </is>
      </c>
      <c r="K3007" t="n">
        <v>1</v>
      </c>
      <c r="L3007" t="n">
        <v>5</v>
      </c>
      <c r="M3007" t="n">
        <v>0</v>
      </c>
      <c r="N3007" t="n">
        <v>0</v>
      </c>
      <c r="O3007" t="n">
        <v>12</v>
      </c>
      <c r="P3007">
        <f>HYPERLINK("http://g1.globo.com/ac/acre/noticia/2014/06/apos-um-ano-no-ac-menor-haitiano-segue-viagem-para-encontrar-os-pais.html", "URL")</f>
        <v/>
      </c>
      <c r="Q3007">
        <f>HYPERLINK("https://raw.githubusercontent.com/marcosmapl/dataset_imigrantes/main/materias_filtered/g1/haitianos/2014/05_jun/html/g1_49ba9656-2311-11ed-b24f-6dbe51e79fca_2909.html", "HTML")</f>
        <v/>
      </c>
      <c r="R3007">
        <f>HYPERLINK("https://raw.githubusercontent.com/marcosmapl/dataset_imigrantes/main/materias_filtered/g1/haitianos/2014/05_jun/txt/g1_49ba9656-2311-11ed-b24f-6dbe51e79fca_2909.txt", "TXT")</f>
        <v/>
      </c>
    </row>
    <row r="3008">
      <c r="A3008" s="1" t="n">
        <v>3006</v>
      </c>
      <c r="B3008" t="n">
        <v>2014</v>
      </c>
      <c r="C3008" s="2" t="n">
        <v>41810.54178240741</v>
      </c>
      <c r="D3008" t="inlineStr">
        <is>
          <t>A CRITICA</t>
        </is>
      </c>
      <c r="E3008" t="inlineStr">
        <is>
          <t>VENEZUELANOS</t>
        </is>
      </c>
      <c r="F3008" t="inlineStr">
        <is>
          <t>MANAUS</t>
        </is>
      </c>
      <c r="G3008" t="inlineStr">
        <is>
          <t>ROSIENE CARVALHO</t>
        </is>
      </c>
      <c r="H3008" t="inlineStr">
        <is>
          <t>CAMELÔS ESTRANGEIROS ‘INVADEM’ AS CALÇADAS DO CENTRO DE MANAUS</t>
        </is>
      </c>
      <c r="I3008" t="inlineStr">
        <is>
          <t>AS CALÇADAS DA AVENIDA EDUARDO RIBEIRO, DESOCUPADAS HÁ TRÊS MESES PELA PREFEITURA DE MANAUS, VOLTARAM A SER OCUPADAS POR VENDEDORES AMBULANTES ESTRANGEIROS ATRAÍDOS PELA COPA DO MUNDO DE 2014, NA CAPITAL AMAZONENSE</t>
        </is>
      </c>
      <c r="J3008" t="inlineStr"/>
      <c r="K3008" t="n">
        <v>0</v>
      </c>
      <c r="L3008" t="n">
        <v>1</v>
      </c>
      <c r="M3008" t="n">
        <v>0</v>
      </c>
      <c r="N3008" t="n">
        <v>0</v>
      </c>
      <c r="O3008" t="n">
        <v>0</v>
      </c>
      <c r="P3008">
        <f>HYPERLINK("https://www.acritica.com/manaus/camelos-estrangeiros-invadem-as-calcadas-do-centro-de-manaus-1.147012", "URL")</f>
        <v/>
      </c>
      <c r="Q3008">
        <f>HYPERLINK("https://raw.githubusercontent.com/marcosmapl/dataset_imigrantes/main/materias_filtered/a_critica/venezuelanos/2014/05_jun/html/1.147012_1202.html", "HTML")</f>
        <v/>
      </c>
      <c r="R3008">
        <f>HYPERLINK("https://raw.githubusercontent.com/marcosmapl/dataset_imigrantes/main/materias_filtered/a_critica/venezuelanos/2014/05_jun/txt/1.147012_1202.txt", "TXT")</f>
        <v/>
      </c>
    </row>
    <row r="3009">
      <c r="A3009" s="1" t="n">
        <v>3007</v>
      </c>
      <c r="B3009" t="n">
        <v>2014</v>
      </c>
      <c r="C3009" s="2" t="n">
        <v>41809.66458333333</v>
      </c>
      <c r="D3009" t="inlineStr">
        <is>
          <t>G1</t>
        </is>
      </c>
      <c r="E3009" t="inlineStr">
        <is>
          <t>HAITIANOS</t>
        </is>
      </c>
      <c r="F3009" t="inlineStr"/>
      <c r="G3009" t="inlineStr">
        <is>
          <t>1 PA</t>
        </is>
      </c>
      <c r="H3009" t="inlineStr">
        <is>
          <t>CANTOR E COMPOSITOR HAITIANO FAZ SHOW DE JAZZ EM BELÉM</t>
        </is>
      </c>
      <c r="I3009" t="inlineStr"/>
      <c r="J3009" t="inlineStr">
        <is>
          <t>BELÉM</t>
        </is>
      </c>
      <c r="K3009" t="n">
        <v>1</v>
      </c>
      <c r="L3009" t="n">
        <v>4</v>
      </c>
      <c r="M3009" t="n">
        <v>0</v>
      </c>
      <c r="N3009" t="n">
        <v>0</v>
      </c>
      <c r="O3009" t="n">
        <v>9</v>
      </c>
      <c r="P3009">
        <f>HYPERLINK("http://g1.globo.com/pa/para/noticia/2014/06/cantor-e-compositor-haitiano-faz-show-de-jazz-em-belem.html", "URL")</f>
        <v/>
      </c>
      <c r="Q3009">
        <f>HYPERLINK("https://raw.githubusercontent.com/marcosmapl/dataset_imigrantes/main/materias_filtered/g1/haitianos/2014/05_jun/html/g1_260e8b3a-2308-11ed-b24f-6dbe51e79fca_2368.html", "HTML")</f>
        <v/>
      </c>
      <c r="R3009">
        <f>HYPERLINK("https://raw.githubusercontent.com/marcosmapl/dataset_imigrantes/main/materias_filtered/g1/haitianos/2014/05_jun/txt/g1_260e8b3a-2308-11ed-b24f-6dbe51e79fca_2368.txt", "TXT")</f>
        <v/>
      </c>
    </row>
    <row r="3010">
      <c r="A3010" s="1" t="n">
        <v>3008</v>
      </c>
      <c r="B3010" t="n">
        <v>2014</v>
      </c>
      <c r="C3010" s="2" t="n">
        <v>41808.50392361111</v>
      </c>
      <c r="D3010" t="inlineStr">
        <is>
          <t>A CRITICA</t>
        </is>
      </c>
      <c r="E3010" t="inlineStr">
        <is>
          <t>VENEZUELANOS</t>
        </is>
      </c>
      <c r="F3010" t="inlineStr">
        <is>
          <t>MANAUS</t>
        </is>
      </c>
      <c r="G3010" t="inlineStr">
        <is>
          <t>ACRÍTICA.COM</t>
        </is>
      </c>
      <c r="H3010" t="inlineStr">
        <is>
          <t>VOLUNTÁRIOS VENEZUELANOS E COLOMBIANOS REFORÇAM CAMPANHA CONTRA A EXPLORAÇÃO INFANTO-JUVENIL</t>
        </is>
      </c>
      <c r="I3010" t="inlineStr">
        <is>
          <t>ESTUDANTES UNIVERSITÁRIOS E PROFISSIONAIS LIBERAIS DA REDE EVANGÉLICA NACIONAL DE AÇÃO SOCIAL (RENAS) ESTÃO AJUDANDO A LEVAR INFORMAÇÕES A TURISTAS DE LÍNGUA ESPANHOLA CONTRA EXPLORAÇÃO DE CRIANÇAS E ADOLESCENTES</t>
        </is>
      </c>
      <c r="J3010" t="inlineStr"/>
      <c r="K3010" t="n">
        <v>0</v>
      </c>
      <c r="L3010" t="n">
        <v>1</v>
      </c>
      <c r="M3010" t="n">
        <v>0</v>
      </c>
      <c r="N3010" t="n">
        <v>0</v>
      </c>
      <c r="O3010" t="n">
        <v>0</v>
      </c>
      <c r="P3010">
        <f>HYPERLINK("https://www.acritica.com/manaus/voluntarios-venezuelanos-e-colombianos-reforcam-campanha-contra-a-explorac-o-infanto-juvenil-1.146957", "URL")</f>
        <v/>
      </c>
      <c r="Q3010">
        <f>HYPERLINK("https://raw.githubusercontent.com/marcosmapl/dataset_imigrantes/main/materias_filtered/a_critica/venezuelanos/2014/05_jun/html/1.146957_699.html", "HTML")</f>
        <v/>
      </c>
      <c r="R3010">
        <f>HYPERLINK("https://raw.githubusercontent.com/marcosmapl/dataset_imigrantes/main/materias_filtered/a_critica/venezuelanos/2014/05_jun/txt/1.146957_699.txt", "TXT")</f>
        <v/>
      </c>
    </row>
    <row r="3011">
      <c r="A3011" s="1" t="n">
        <v>3009</v>
      </c>
      <c r="B3011" t="n">
        <v>2014</v>
      </c>
      <c r="C3011" s="2" t="n">
        <v>41807.85277777778</v>
      </c>
      <c r="D3011" t="inlineStr">
        <is>
          <t>G1</t>
        </is>
      </c>
      <c r="E3011" t="inlineStr">
        <is>
          <t>HAITIANOS</t>
        </is>
      </c>
      <c r="F3011" t="inlineStr"/>
      <c r="G3011" t="inlineStr">
        <is>
          <t>SA NATANIDO G1 ACRE</t>
        </is>
      </c>
      <c r="H3011" t="inlineStr">
        <is>
          <t>NO AC, TORCIDA HAITIANA IMPROVISA 'MIX' DE BANDEIRAS DE HAITI E BRASIL</t>
        </is>
      </c>
      <c r="I3011" t="inlineStr"/>
      <c r="J3011" t="inlineStr">
        <is>
          <t>RIO BRANCO</t>
        </is>
      </c>
      <c r="K3011" t="n">
        <v>1</v>
      </c>
      <c r="L3011" t="n">
        <v>6</v>
      </c>
      <c r="M3011" t="n">
        <v>0</v>
      </c>
      <c r="N3011" t="n">
        <v>0</v>
      </c>
      <c r="O3011" t="n">
        <v>12</v>
      </c>
      <c r="P3011">
        <f>HYPERLINK("http://g1.globo.com/ac/acre/noticia/2014/06/no-ac-torcida-haitiana-improvisa-mix-de-bandeiras-de-haiti-e-brasil.html", "URL")</f>
        <v/>
      </c>
      <c r="Q3011">
        <f>HYPERLINK("https://raw.githubusercontent.com/marcosmapl/dataset_imigrantes/main/materias_filtered/g1/haitianos/2014/05_jun/html/g1_e5b92324-2325-11ed-b24f-6dbe51e79fca_3941.html", "HTML")</f>
        <v/>
      </c>
      <c r="R3011">
        <f>HYPERLINK("https://raw.githubusercontent.com/marcosmapl/dataset_imigrantes/main/materias_filtered/g1/haitianos/2014/05_jun/txt/g1_e5b92324-2325-11ed-b24f-6dbe51e79fca_3941.txt", "TXT")</f>
        <v/>
      </c>
    </row>
    <row r="3012">
      <c r="A3012" s="1" t="n">
        <v>3010</v>
      </c>
      <c r="B3012" t="n">
        <v>2014</v>
      </c>
      <c r="C3012" s="2" t="n">
        <v>41804.64771990741</v>
      </c>
      <c r="D3012" t="inlineStr">
        <is>
          <t>A CRITICA</t>
        </is>
      </c>
      <c r="E3012" t="inlineStr">
        <is>
          <t>VENEZUELANOS</t>
        </is>
      </c>
      <c r="F3012" t="inlineStr">
        <is>
          <t>MANAUS</t>
        </is>
      </c>
      <c r="G3012" t="inlineStr">
        <is>
          <t>PERLA SOARES</t>
        </is>
      </c>
      <c r="H3012" t="inlineStr">
        <is>
          <t>ENCHENTE NO CENTRO É PONTO TURÍSTICO PARA ESTRANGEIROS</t>
        </is>
      </c>
      <c r="I3012" t="inlineStr">
        <is>
          <t>SUBIDA DAS ÁGUAS NO CENTRO DA CIDADE VIROU MAIS UM ‘ATRATIVO’ PARA QUEM VEIO ASSISTIR AOS JOGOS DA COPA DO MUNDO FIFA</t>
        </is>
      </c>
      <c r="J3012" t="inlineStr"/>
      <c r="K3012" t="n">
        <v>0</v>
      </c>
      <c r="L3012" t="n">
        <v>1</v>
      </c>
      <c r="M3012" t="n">
        <v>0</v>
      </c>
      <c r="N3012" t="n">
        <v>0</v>
      </c>
      <c r="O3012" t="n">
        <v>0</v>
      </c>
      <c r="P3012">
        <f>HYPERLINK("https://www.acritica.com/manaus/enchente-no-centro-e-ponto-turistico-para-estrangeiros-1.156761", "URL")</f>
        <v/>
      </c>
      <c r="Q3012">
        <f>HYPERLINK("https://raw.githubusercontent.com/marcosmapl/dataset_imigrantes/main/materias_filtered/a_critica/venezuelanos/2014/05_jun/html/1.156761_436.html", "HTML")</f>
        <v/>
      </c>
      <c r="R3012">
        <f>HYPERLINK("https://raw.githubusercontent.com/marcosmapl/dataset_imigrantes/main/materias_filtered/a_critica/venezuelanos/2014/05_jun/txt/1.156761_436.txt", "TXT")</f>
        <v/>
      </c>
    </row>
    <row r="3013">
      <c r="A3013" s="1" t="n">
        <v>3011</v>
      </c>
      <c r="B3013" t="n">
        <v>2014</v>
      </c>
      <c r="C3013" s="2" t="n">
        <v>41802.64917824074</v>
      </c>
      <c r="D3013" t="inlineStr">
        <is>
          <t>A CRITICA</t>
        </is>
      </c>
      <c r="E3013" t="inlineStr">
        <is>
          <t>VENEZUELANOS</t>
        </is>
      </c>
      <c r="F3013" t="inlineStr">
        <is>
          <t>ESPORTES</t>
        </is>
      </c>
      <c r="G3013" t="inlineStr">
        <is>
          <t>LEANDERSON LIMA</t>
        </is>
      </c>
      <c r="H3013" t="inlineStr">
        <is>
          <t>EM COLETIVA, FELIPÃO DIZ QUE A SELEÇÃO VAI 'SUBIR UM DEGRAU POR VEZ'</t>
        </is>
      </c>
      <c r="I3013" t="inlineStr">
        <is>
          <t>SOBRE TENSÃO EM JOGO DE ESTREIA DO DA SELEÇÃO CANARINHO NA COPA, QUE OCORRE NESTA QUINTA-FEIRA (12), FELIPÃO DISSE ESTAR TRANQUILO E DORMINDO BEM, DURANTE ENTREVISTA COLETIVA NESTA QUARTA. NEYMAR TAMBÉM DISSE QUE NÃO VAI PERDER A TRANQUILIDADE</t>
        </is>
      </c>
      <c r="J3013" t="inlineStr"/>
      <c r="K3013" t="n">
        <v>0</v>
      </c>
      <c r="L3013" t="n">
        <v>1</v>
      </c>
      <c r="M3013" t="n">
        <v>0</v>
      </c>
      <c r="N3013" t="n">
        <v>0</v>
      </c>
      <c r="O3013" t="n">
        <v>3</v>
      </c>
      <c r="P3013">
        <f>HYPERLINK("https://www.acritica.com/esportes/em-coletiva-felip-o-diz-que-a-selec-o-vai-subir-um-degrau-por-vez-1.146083", "URL")</f>
        <v/>
      </c>
      <c r="Q3013">
        <f>HYPERLINK("https://raw.githubusercontent.com/marcosmapl/dataset_imigrantes/main/materias_filtered/a_critica/venezuelanos/2014/05_jun/html/1.146083_226.html", "HTML")</f>
        <v/>
      </c>
      <c r="R3013">
        <f>HYPERLINK("https://raw.githubusercontent.com/marcosmapl/dataset_imigrantes/main/materias_filtered/a_critica/venezuelanos/2014/05_jun/txt/1.146083_226.txt", "TXT")</f>
        <v/>
      </c>
    </row>
    <row r="3014">
      <c r="A3014" s="1" t="n">
        <v>3012</v>
      </c>
      <c r="B3014" t="n">
        <v>2014</v>
      </c>
      <c r="C3014" s="2" t="n">
        <v>41801.74027777778</v>
      </c>
      <c r="D3014" t="inlineStr">
        <is>
          <t>G1</t>
        </is>
      </c>
      <c r="E3014" t="inlineStr">
        <is>
          <t>VENEZUELANOS</t>
        </is>
      </c>
      <c r="F3014" t="inlineStr"/>
      <c r="G3014" t="inlineStr">
        <is>
          <t>FE</t>
        </is>
      </c>
      <c r="H3014" t="inlineStr">
        <is>
          <t>PROCURADORIA VENEZUELANA SOLICITA CAPTURA DE TRÊS OPOSITORES</t>
        </is>
      </c>
      <c r="I3014" t="inlineStr"/>
      <c r="J3014" t="inlineStr">
        <is>
          <t>NICOLÁS MADURO, VENEZUELA</t>
        </is>
      </c>
      <c r="K3014" t="n">
        <v>2</v>
      </c>
      <c r="L3014" t="n">
        <v>5</v>
      </c>
      <c r="M3014" t="n">
        <v>0</v>
      </c>
      <c r="N3014" t="n">
        <v>0</v>
      </c>
      <c r="O3014" t="n">
        <v>12</v>
      </c>
      <c r="P3014">
        <f>HYPERLINK("http://g1.globo.com/mundo/noticia/2014/06/procuradoria-venezuelana-solicita-captura-de-tres-opositores.html", "URL")</f>
        <v/>
      </c>
      <c r="Q3014">
        <f>HYPERLINK("https://raw.githubusercontent.com/marcosmapl/dataset_imigrantes/main/materias_filtered/g1/venezuelanos/2014/05_jun/html/g1_ffc29328-2306-11ed-b24f-6dbe51e79fca_2290.html", "HTML")</f>
        <v/>
      </c>
      <c r="R3014">
        <f>HYPERLINK("https://raw.githubusercontent.com/marcosmapl/dataset_imigrantes/main/materias_filtered/g1/venezuelanos/2014/05_jun/txt/g1_ffc29328-2306-11ed-b24f-6dbe51e79fca_2290.txt", "TXT")</f>
        <v/>
      </c>
    </row>
    <row r="3015">
      <c r="A3015" s="1" t="n">
        <v>3013</v>
      </c>
      <c r="B3015" t="n">
        <v>2014</v>
      </c>
      <c r="C3015" s="2" t="n">
        <v>41801.66657407407</v>
      </c>
      <c r="D3015" t="inlineStr">
        <is>
          <t>A CRITICA</t>
        </is>
      </c>
      <c r="E3015" t="inlineStr">
        <is>
          <t>VENEZUELANOS</t>
        </is>
      </c>
      <c r="F3015" t="inlineStr">
        <is>
          <t>ESPORTES</t>
        </is>
      </c>
      <c r="G3015" t="inlineStr">
        <is>
          <t>LEANDERSON LIMA</t>
        </is>
      </c>
      <c r="H3015" t="inlineStr">
        <is>
          <t>TORCEDORES DE TODOS OS CANTOS DO MUNDO ESPERAM A SELEÇÃO BRASILEIRA EM SÃO PAULO</t>
        </is>
      </c>
      <c r="I3015" t="inlineStr">
        <is>
          <t>TEM GENTE DE PORTUGAL, HONDURAS, COLÔMBIA E ATÉ TORCEDORES DE PAÍSES QUE NÃO SE CLASSIFICARAM PARA A COPA DO MUNDO, COMO É O CASO DA TORCIDA VENEZUELANA QUE VEIO EM PESO</t>
        </is>
      </c>
      <c r="J3015" t="inlineStr"/>
      <c r="K3015" t="n">
        <v>0</v>
      </c>
      <c r="L3015" t="n">
        <v>1</v>
      </c>
      <c r="M3015" t="n">
        <v>0</v>
      </c>
      <c r="N3015" t="n">
        <v>0</v>
      </c>
      <c r="O3015" t="n">
        <v>1</v>
      </c>
      <c r="P3015">
        <f>HYPERLINK("https://www.acritica.com/esportes/torcedores-de-todos-os-cantos-do-mundo-esperam-a-selec-o-brasileira-em-s-o-paulo-1.146107", "URL")</f>
        <v/>
      </c>
      <c r="Q3015">
        <f>HYPERLINK("https://raw.githubusercontent.com/marcosmapl/dataset_imigrantes/main/materias_filtered/a_critica/venezuelanos/2014/05_jun/html/1.146107_411.html", "HTML")</f>
        <v/>
      </c>
      <c r="R3015">
        <f>HYPERLINK("https://raw.githubusercontent.com/marcosmapl/dataset_imigrantes/main/materias_filtered/a_critica/venezuelanos/2014/05_jun/txt/1.146107_411.txt", "TXT")</f>
        <v/>
      </c>
    </row>
    <row r="3016">
      <c r="A3016" s="1" t="n">
        <v>3014</v>
      </c>
      <c r="B3016" t="n">
        <v>2014</v>
      </c>
      <c r="C3016" s="2" t="n">
        <v>41797.71388888889</v>
      </c>
      <c r="D3016" t="inlineStr">
        <is>
          <t>G1</t>
        </is>
      </c>
      <c r="E3016" t="inlineStr">
        <is>
          <t>HAITIANOS</t>
        </is>
      </c>
      <c r="F3016" t="inlineStr"/>
      <c r="G3016" t="inlineStr">
        <is>
          <t xml:space="preserve"> FULGÊNCIODO G1 AC</t>
        </is>
      </c>
      <c r="H3016" t="inlineStr">
        <is>
          <t>APÓS UM ANO EM ABRIGO NO AC, JOVEM HAITIANO CONSEGUE VISTO FRANCÊS</t>
        </is>
      </c>
      <c r="I3016" t="inlineStr"/>
      <c r="J3016" t="inlineStr">
        <is>
          <t>RIO BRANCO, HAITI</t>
        </is>
      </c>
      <c r="K3016" t="n">
        <v>2</v>
      </c>
      <c r="L3016" t="n">
        <v>6</v>
      </c>
      <c r="M3016" t="n">
        <v>0</v>
      </c>
      <c r="N3016" t="n">
        <v>0</v>
      </c>
      <c r="O3016" t="n">
        <v>13</v>
      </c>
      <c r="P3016">
        <f>HYPERLINK("http://g1.globo.com/ac/acre/noticia/2014/06/apos-um-ano-em-abrigo-no-ac-jovem-haitiano-consegue-visto-frances.html", "URL")</f>
        <v/>
      </c>
      <c r="Q3016">
        <f>HYPERLINK("https://raw.githubusercontent.com/marcosmapl/dataset_imigrantes/main/materias_filtered/g1/haitianos/2014/05_jun/html/g1_26ffcffc-231e-11ed-b24f-6dbe51e79fca_3544.html", "HTML")</f>
        <v/>
      </c>
      <c r="R3016">
        <f>HYPERLINK("https://raw.githubusercontent.com/marcosmapl/dataset_imigrantes/main/materias_filtered/g1/haitianos/2014/05_jun/txt/g1_26ffcffc-231e-11ed-b24f-6dbe51e79fca_3544.txt", "TXT")</f>
        <v/>
      </c>
    </row>
    <row r="3017">
      <c r="A3017" s="1" t="n">
        <v>3015</v>
      </c>
      <c r="B3017" t="n">
        <v>2014</v>
      </c>
      <c r="C3017" s="2" t="n">
        <v>41794.84722222222</v>
      </c>
      <c r="D3017" t="inlineStr">
        <is>
          <t>G1</t>
        </is>
      </c>
      <c r="E3017" t="inlineStr">
        <is>
          <t>HAITIANOS</t>
        </is>
      </c>
      <c r="F3017" t="inlineStr"/>
      <c r="G3017" t="inlineStr">
        <is>
          <t>ELLE ZAMPOLLO / PAULO CASTILHO</t>
        </is>
      </c>
      <c r="H3017" t="inlineStr">
        <is>
          <t>REPÓRTER MOSTRA HAITIANOS CHEGANDO AO ABRIGO DE IMIGRANTES EM SÃO PAULO</t>
        </is>
      </c>
      <c r="I3017" t="inlineStr"/>
      <c r="J3017" t="inlineStr"/>
      <c r="K3017" t="n">
        <v>0</v>
      </c>
      <c r="L3017" t="n">
        <v>0</v>
      </c>
      <c r="M3017" t="n">
        <v>0</v>
      </c>
      <c r="N3017" t="n">
        <v>0</v>
      </c>
      <c r="O3017" t="n">
        <v>4</v>
      </c>
      <c r="P3017">
        <f>HYPERLINK("http://g1.globo.com/profissao-reporter/noticia/2014/06/reporter-mostra-haitianos-chegando-ao-abrigo-de-imigrantes-em-sp.html", "URL")</f>
        <v/>
      </c>
      <c r="Q3017">
        <f>HYPERLINK("https://raw.githubusercontent.com/marcosmapl/dataset_imigrantes/main/materias_filtered/g1/haitianos/2014/05_jun/html/g1_26e692e8-22f2-11ed-b24f-6dbe51e79fca_1781.html", "HTML")</f>
        <v/>
      </c>
      <c r="R3017">
        <f>HYPERLINK("https://raw.githubusercontent.com/marcosmapl/dataset_imigrantes/main/materias_filtered/g1/haitianos/2014/05_jun/txt/g1_26e692e8-22f2-11ed-b24f-6dbe51e79fca_1781.txt", "TXT")</f>
        <v/>
      </c>
    </row>
    <row r="3018">
      <c r="A3018" s="1" t="n">
        <v>3016</v>
      </c>
      <c r="B3018" t="n">
        <v>2014</v>
      </c>
      <c r="C3018" s="2" t="n">
        <v>41793.48958333334</v>
      </c>
      <c r="D3018" t="inlineStr">
        <is>
          <t>G1</t>
        </is>
      </c>
      <c r="E3018" t="inlineStr">
        <is>
          <t>HAITIANOS</t>
        </is>
      </c>
      <c r="F3018" t="inlineStr"/>
      <c r="G3018" t="inlineStr">
        <is>
          <t>SA NATANI E VERIANA RIBEIRODO G1 ACRE</t>
        </is>
      </c>
      <c r="H3018" t="inlineStr">
        <is>
          <t>GRÁVIDA DE 7 MESES, HAITIANA ESPERA POR MARIDO NO AC</t>
        </is>
      </c>
      <c r="I3018" t="inlineStr"/>
      <c r="J3018" t="inlineStr">
        <is>
          <t>RIO BRANCO</t>
        </is>
      </c>
      <c r="K3018" t="n">
        <v>1</v>
      </c>
      <c r="L3018" t="n">
        <v>4</v>
      </c>
      <c r="M3018" t="n">
        <v>0</v>
      </c>
      <c r="N3018" t="n">
        <v>0</v>
      </c>
      <c r="O3018" t="n">
        <v>15</v>
      </c>
      <c r="P3018">
        <f>HYPERLINK("http://g1.globo.com/ac/acre/noticia/2014/06/gravida-de-7-meses-haitiana-espera-por-marido-no-ac.html", "URL")</f>
        <v/>
      </c>
      <c r="Q3018">
        <f>HYPERLINK("https://raw.githubusercontent.com/marcosmapl/dataset_imigrantes/main/materias_filtered/g1/haitianos/2014/05_jun/html/g1_5970109e-231b-11ed-b24f-6dbe51e79fca_3380.html", "HTML")</f>
        <v/>
      </c>
      <c r="R3018">
        <f>HYPERLINK("https://raw.githubusercontent.com/marcosmapl/dataset_imigrantes/main/materias_filtered/g1/haitianos/2014/05_jun/txt/g1_5970109e-231b-11ed-b24f-6dbe51e79fca_3380.txt", "TXT")</f>
        <v/>
      </c>
    </row>
    <row r="3019">
      <c r="A3019" s="1" t="n">
        <v>3017</v>
      </c>
      <c r="B3019" t="n">
        <v>2014</v>
      </c>
      <c r="C3019" s="2" t="n">
        <v>41788.62708333333</v>
      </c>
      <c r="D3019" t="inlineStr">
        <is>
          <t>G1</t>
        </is>
      </c>
      <c r="E3019" t="inlineStr">
        <is>
          <t>HAITIANOS</t>
        </is>
      </c>
      <c r="F3019" t="inlineStr"/>
      <c r="G3019" t="inlineStr">
        <is>
          <t>1 MT</t>
        </is>
      </c>
      <c r="H3019" t="inlineStr">
        <is>
          <t>CERCA DE 90 IMIGRANTES HAITIANOS QUE VIVEM EM CUIABÁ SÃO ALFABETIZADOS</t>
        </is>
      </c>
      <c r="I3019" t="inlineStr"/>
      <c r="J3019" t="inlineStr">
        <is>
          <t>CUIABÁ</t>
        </is>
      </c>
      <c r="K3019" t="n">
        <v>1</v>
      </c>
      <c r="L3019" t="n">
        <v>3</v>
      </c>
      <c r="M3019" t="n">
        <v>0</v>
      </c>
      <c r="N3019" t="n">
        <v>0</v>
      </c>
      <c r="O3019" t="n">
        <v>11</v>
      </c>
      <c r="P3019">
        <f>HYPERLINK("http://g1.globo.com/mato-grosso/noticia/2014/05/cerca-de-90-imigrantes-haitianos-que-vivem-em-cuiaba-sao-alfabetizados.html", "URL")</f>
        <v/>
      </c>
      <c r="Q3019">
        <f>HYPERLINK("https://raw.githubusercontent.com/marcosmapl/dataset_imigrantes/main/materias_filtered/g1/haitianos/2014/04_mai/html/g1_4a1fde54-22f7-11ed-b24f-6dbe51e79fca_2069.html", "HTML")</f>
        <v/>
      </c>
      <c r="R3019">
        <f>HYPERLINK("https://raw.githubusercontent.com/marcosmapl/dataset_imigrantes/main/materias_filtered/g1/haitianos/2014/04_mai/txt/g1_4a1fde54-22f7-11ed-b24f-6dbe51e79fca_2069.txt", "TXT")</f>
        <v/>
      </c>
    </row>
    <row r="3020">
      <c r="A3020" s="1" t="n">
        <v>3018</v>
      </c>
      <c r="B3020" t="n">
        <v>2014</v>
      </c>
      <c r="C3020" s="2" t="n">
        <v>41787.84097222222</v>
      </c>
      <c r="D3020" t="inlineStr">
        <is>
          <t>G1</t>
        </is>
      </c>
      <c r="E3020" t="inlineStr">
        <is>
          <t>VENEZUELANOS</t>
        </is>
      </c>
      <c r="F3020" t="inlineStr"/>
      <c r="G3020" t="inlineStr">
        <is>
          <t>FP</t>
        </is>
      </c>
      <c r="H3020" t="inlineStr">
        <is>
          <t>DEPUTADOS DOS EUA APROVAM SANÇÕES A AUTORIDADES VENEZUELANAS</t>
        </is>
      </c>
      <c r="I3020" t="inlineStr"/>
      <c r="J3020" t="inlineStr">
        <is>
          <t>ESTADOS UNIDOS, VENEZUELA</t>
        </is>
      </c>
      <c r="K3020" t="n">
        <v>2</v>
      </c>
      <c r="L3020" t="n">
        <v>5</v>
      </c>
      <c r="M3020" t="n">
        <v>0</v>
      </c>
      <c r="N3020" t="n">
        <v>0</v>
      </c>
      <c r="O3020" t="n">
        <v>12</v>
      </c>
      <c r="P3020">
        <f>HYPERLINK("http://g1.globo.com/mundo/noticia/2014/05/deputados-dos-eua-aprovam-sancoes-autoridades-venezuelanas.html", "URL")</f>
        <v/>
      </c>
      <c r="Q3020">
        <f>HYPERLINK("https://raw.githubusercontent.com/marcosmapl/dataset_imigrantes/main/materias_filtered/g1/venezuelanos/2014/04_mai/html/g1_0652eea2-2313-11ed-b24f-6dbe51e79fca_2988.html", "HTML")</f>
        <v/>
      </c>
      <c r="R3020">
        <f>HYPERLINK("https://raw.githubusercontent.com/marcosmapl/dataset_imigrantes/main/materias_filtered/g1/venezuelanos/2014/04_mai/txt/g1_0652eea2-2313-11ed-b24f-6dbe51e79fca_2988.txt", "TXT")</f>
        <v/>
      </c>
    </row>
    <row r="3021">
      <c r="A3021" s="1" t="n">
        <v>3019</v>
      </c>
      <c r="B3021" t="n">
        <v>2014</v>
      </c>
      <c r="C3021" s="2" t="n">
        <v>41785.46111111111</v>
      </c>
      <c r="D3021" t="inlineStr">
        <is>
          <t>G1</t>
        </is>
      </c>
      <c r="E3021" t="inlineStr">
        <is>
          <t>HAITIANOS</t>
        </is>
      </c>
      <c r="F3021" t="inlineStr"/>
      <c r="G3021" t="inlineStr">
        <is>
          <t>ANA JUSTIDO G1 PR</t>
        </is>
      </c>
      <c r="H3021" t="inlineStr">
        <is>
          <t>ÀS VÉSPERAS DA COPA, HAITIANO LARGA TUDO PARA GANHAR A VIDA COMO CATADOR</t>
        </is>
      </c>
      <c r="I3021" t="inlineStr"/>
      <c r="J3021" t="inlineStr">
        <is>
          <t>PARANÁ, CURITIBA</t>
        </is>
      </c>
      <c r="K3021" t="n">
        <v>2</v>
      </c>
      <c r="L3021" t="n">
        <v>6</v>
      </c>
      <c r="M3021" t="n">
        <v>0</v>
      </c>
      <c r="N3021" t="n">
        <v>0</v>
      </c>
      <c r="O3021" t="n">
        <v>15</v>
      </c>
      <c r="P3021">
        <f>HYPERLINK("http://g1.globo.com/pr/parana/noticia/2014/05/vesperas-da-copa-haitiano-larga-tudo-para-ganhar-vida-como-catador.html", "URL")</f>
        <v/>
      </c>
      <c r="Q3021">
        <f>HYPERLINK("https://raw.githubusercontent.com/marcosmapl/dataset_imigrantes/main/materias_filtered/g1/haitianos/2014/04_mai/html/g1_88fb078e-2306-11ed-b24f-6dbe51e79fca_2264.html", "HTML")</f>
        <v/>
      </c>
      <c r="R3021">
        <f>HYPERLINK("https://raw.githubusercontent.com/marcosmapl/dataset_imigrantes/main/materias_filtered/g1/haitianos/2014/04_mai/txt/g1_88fb078e-2306-11ed-b24f-6dbe51e79fca_2264.txt", "TXT")</f>
        <v/>
      </c>
    </row>
    <row r="3022">
      <c r="A3022" s="1" t="n">
        <v>3020</v>
      </c>
      <c r="B3022" t="n">
        <v>2014</v>
      </c>
      <c r="C3022" s="2" t="n">
        <v>41781.64930555555</v>
      </c>
      <c r="D3022" t="inlineStr">
        <is>
          <t>G1</t>
        </is>
      </c>
      <c r="E3022" t="inlineStr">
        <is>
          <t>VENEZUELANOS</t>
        </is>
      </c>
      <c r="F3022" t="inlineStr"/>
      <c r="G3022" t="inlineStr">
        <is>
          <t>FP</t>
        </is>
      </c>
      <c r="H3022" t="inlineStr">
        <is>
          <t>UNIVERSIDADES VENEZUELANAS PARAM 24H PARA PEDIR LIBERDADE DE ESTUDANTES</t>
        </is>
      </c>
      <c r="I3022" t="inlineStr"/>
      <c r="J3022" t="inlineStr">
        <is>
          <t>VENEZUELA</t>
        </is>
      </c>
      <c r="K3022" t="n">
        <v>1</v>
      </c>
      <c r="L3022" t="n">
        <v>4</v>
      </c>
      <c r="M3022" t="n">
        <v>0</v>
      </c>
      <c r="N3022" t="n">
        <v>0</v>
      </c>
      <c r="O3022" t="n">
        <v>9</v>
      </c>
      <c r="P3022">
        <f>HYPERLINK("http://g1.globo.com/mundo/noticia/2014/05/universidades-venezuelanas-param-24h-para-pedir-liberdade-de-estudantes.html", "URL")</f>
        <v/>
      </c>
      <c r="Q3022">
        <f>HYPERLINK("https://raw.githubusercontent.com/marcosmapl/dataset_imigrantes/main/materias_filtered/g1/venezuelanos/2014/04_mai/html/g1_7b158f44-2325-11ed-b24f-6dbe51e79fca_3916.html", "HTML")</f>
        <v/>
      </c>
      <c r="R3022">
        <f>HYPERLINK("https://raw.githubusercontent.com/marcosmapl/dataset_imigrantes/main/materias_filtered/g1/venezuelanos/2014/04_mai/txt/g1_7b158f44-2325-11ed-b24f-6dbe51e79fca_3916.txt", "TXT")</f>
        <v/>
      </c>
    </row>
    <row r="3023">
      <c r="A3023" s="1" t="n">
        <v>3021</v>
      </c>
      <c r="B3023" t="n">
        <v>2014</v>
      </c>
      <c r="C3023" s="2" t="n">
        <v>41779.42083333333</v>
      </c>
      <c r="D3023" t="inlineStr">
        <is>
          <t>G1</t>
        </is>
      </c>
      <c r="E3023" t="inlineStr">
        <is>
          <t>HAITIANOS</t>
        </is>
      </c>
      <c r="F3023" t="inlineStr"/>
      <c r="G3023" t="inlineStr">
        <is>
          <t>1 BA, COM INFORMAÇÕES DA TV SANTA CRUZ</t>
        </is>
      </c>
      <c r="H3023" t="inlineStr">
        <is>
          <t>MPT APURA TRABALHO DE TRÊS HAITIANOS REFUGIADOS QUE SUMIRAM DE FAZENDA</t>
        </is>
      </c>
      <c r="I3023" t="inlineStr"/>
      <c r="J3023" t="inlineStr">
        <is>
          <t>SALVADOR, SÃO JOSÉ DA VITÓRIA</t>
        </is>
      </c>
      <c r="K3023" t="n">
        <v>2</v>
      </c>
      <c r="L3023" t="n">
        <v>4</v>
      </c>
      <c r="M3023" t="n">
        <v>0</v>
      </c>
      <c r="N3023" t="n">
        <v>0</v>
      </c>
      <c r="O3023" t="n">
        <v>15</v>
      </c>
      <c r="P3023">
        <f>HYPERLINK("http://g1.globo.com/bahia/noticia/2014/05/mpt-apura-trabalho-de-tres-haitianos-refugiados-que-sumiram-de-fazenda.html", "URL")</f>
        <v/>
      </c>
      <c r="Q3023">
        <f>HYPERLINK("https://raw.githubusercontent.com/marcosmapl/dataset_imigrantes/main/materias_filtered/g1/haitianos/2014/04_mai/html/g1_83a423a8-22f5-11ed-b24f-6dbe51e79fca_1955.html", "HTML")</f>
        <v/>
      </c>
      <c r="R3023">
        <f>HYPERLINK("https://raw.githubusercontent.com/marcosmapl/dataset_imigrantes/main/materias_filtered/g1/haitianos/2014/04_mai/txt/g1_83a423a8-22f5-11ed-b24f-6dbe51e79fca_1955.txt", "TXT")</f>
        <v/>
      </c>
    </row>
    <row r="3024">
      <c r="A3024" s="1" t="n">
        <v>3022</v>
      </c>
      <c r="B3024" t="n">
        <v>2014</v>
      </c>
      <c r="C3024" s="2" t="n">
        <v>41778.95069444444</v>
      </c>
      <c r="D3024" t="inlineStr">
        <is>
          <t>G1</t>
        </is>
      </c>
      <c r="E3024" t="inlineStr">
        <is>
          <t>HAITIANOS</t>
        </is>
      </c>
      <c r="F3024" t="inlineStr"/>
      <c r="G3024" t="inlineStr">
        <is>
          <t>1 SC</t>
        </is>
      </c>
      <c r="H3024" t="inlineStr">
        <is>
          <t>POLICIAIS HAITIANOS FINALIZAM TREINAMENTO EM FLORIANÓPOLIS</t>
        </is>
      </c>
      <c r="I3024" t="inlineStr"/>
      <c r="J3024" t="inlineStr">
        <is>
          <t>FLORIANÓPOLIS</t>
        </is>
      </c>
      <c r="K3024" t="n">
        <v>1</v>
      </c>
      <c r="L3024" t="n">
        <v>4</v>
      </c>
      <c r="M3024" t="n">
        <v>0</v>
      </c>
      <c r="N3024" t="n">
        <v>0</v>
      </c>
      <c r="O3024" t="n">
        <v>9</v>
      </c>
      <c r="P3024">
        <f>HYPERLINK("http://g1.globo.com/sc/santa-catarina/noticia/2014/05/policiais-haitianos-finalizam-treinamento-em-florianopolis.html", "URL")</f>
        <v/>
      </c>
      <c r="Q3024">
        <f>HYPERLINK("https://raw.githubusercontent.com/marcosmapl/dataset_imigrantes/main/materias_filtered/g1/haitianos/2014/04_mai/html/g1_92a86be2-22f6-11ed-b24f-6dbe51e79fca_2021.html", "HTML")</f>
        <v/>
      </c>
      <c r="R3024">
        <f>HYPERLINK("https://raw.githubusercontent.com/marcosmapl/dataset_imigrantes/main/materias_filtered/g1/haitianos/2014/04_mai/txt/g1_92a86be2-22f6-11ed-b24f-6dbe51e79fca_2021.txt", "TXT")</f>
        <v/>
      </c>
    </row>
    <row r="3025">
      <c r="A3025" s="1" t="n">
        <v>3023</v>
      </c>
      <c r="B3025" t="n">
        <v>2014</v>
      </c>
      <c r="C3025" s="2" t="n">
        <v>41774.88125</v>
      </c>
      <c r="D3025" t="inlineStr">
        <is>
          <t>G1</t>
        </is>
      </c>
      <c r="E3025" t="inlineStr">
        <is>
          <t>HAITIANOS</t>
        </is>
      </c>
      <c r="F3025" t="inlineStr"/>
      <c r="G3025" t="inlineStr">
        <is>
          <t>1  SUL DE MINAS</t>
        </is>
      </c>
      <c r="H3025" t="inlineStr">
        <is>
          <t>ESTABILIDADE FINANCEIRA ATRAI HAITIANOS A TENTAR RECOMEÇO EM ANDRADAS, MG</t>
        </is>
      </c>
      <c r="I3025" t="inlineStr"/>
      <c r="J3025" t="inlineStr">
        <is>
          <t>ANDRADAS, EXTREMA</t>
        </is>
      </c>
      <c r="K3025" t="n">
        <v>2</v>
      </c>
      <c r="L3025" t="n">
        <v>5</v>
      </c>
      <c r="M3025" t="n">
        <v>0</v>
      </c>
      <c r="N3025" t="n">
        <v>0</v>
      </c>
      <c r="O3025" t="n">
        <v>10</v>
      </c>
      <c r="P3025">
        <f>HYPERLINK("http://g1.globo.com/mg/sul-de-minas/noticia/2014/05/estabilidade-financeira-atrai-haitianos-tentar-recomeco-em-andradas-mg.html", "URL")</f>
        <v/>
      </c>
      <c r="Q3025">
        <f>HYPERLINK("https://raw.githubusercontent.com/marcosmapl/dataset_imigrantes/main/materias_filtered/g1/haitianos/2014/04_mai/html/g1_e8081ad6-22f8-11ed-b24f-6dbe51e79fca_2164.html", "HTML")</f>
        <v/>
      </c>
      <c r="R3025">
        <f>HYPERLINK("https://raw.githubusercontent.com/marcosmapl/dataset_imigrantes/main/materias_filtered/g1/haitianos/2014/04_mai/txt/g1_e8081ad6-22f8-11ed-b24f-6dbe51e79fca_2164.txt", "TXT")</f>
        <v/>
      </c>
    </row>
    <row r="3026">
      <c r="A3026" s="1" t="n">
        <v>3024</v>
      </c>
      <c r="B3026" t="n">
        <v>2014</v>
      </c>
      <c r="C3026" s="2" t="n">
        <v>41771.91111111111</v>
      </c>
      <c r="D3026" t="inlineStr">
        <is>
          <t>G1</t>
        </is>
      </c>
      <c r="E3026" t="inlineStr">
        <is>
          <t>HAITIANOS</t>
        </is>
      </c>
      <c r="F3026" t="inlineStr"/>
      <c r="G3026" t="inlineStr">
        <is>
          <t>1 RIBEIRÃO E FRANCA</t>
        </is>
      </c>
      <c r="H3026" t="inlineStr">
        <is>
          <t>HAITIANOS MIGRAM PARA O INTERIOR DE SP EM BUSCA DE VAGAS DE TRABALHO</t>
        </is>
      </c>
      <c r="I3026" t="inlineStr"/>
      <c r="J3026" t="inlineStr">
        <is>
          <t>BRASILÉIA, ACRE, CRAVINHOS</t>
        </is>
      </c>
      <c r="K3026" t="n">
        <v>3</v>
      </c>
      <c r="L3026" t="n">
        <v>6</v>
      </c>
      <c r="M3026" t="n">
        <v>0</v>
      </c>
      <c r="N3026" t="n">
        <v>0</v>
      </c>
      <c r="O3026" t="n">
        <v>14</v>
      </c>
      <c r="P3026">
        <f>HYPERLINK("http://g1.globo.com/sp/ribeirao-preto-franca/noticia/2014/05/haitianos-migram-para-o-interior-de-sp-em-busca-de-vagas-de-trabalho.html", "URL")</f>
        <v/>
      </c>
      <c r="Q3026">
        <f>HYPERLINK("https://raw.githubusercontent.com/marcosmapl/dataset_imigrantes/main/materias_filtered/g1/haitianos/2014/04_mai/html/g1_402c729e-22f3-11ed-b24f-6dbe51e79fca_1832.html", "HTML")</f>
        <v/>
      </c>
      <c r="R3026">
        <f>HYPERLINK("https://raw.githubusercontent.com/marcosmapl/dataset_imigrantes/main/materias_filtered/g1/haitianos/2014/04_mai/txt/g1_402c729e-22f3-11ed-b24f-6dbe51e79fca_1832.txt", "TXT")</f>
        <v/>
      </c>
    </row>
    <row r="3027">
      <c r="A3027" s="1" t="n">
        <v>3025</v>
      </c>
      <c r="B3027" t="n">
        <v>2014</v>
      </c>
      <c r="C3027" s="2" t="n">
        <v>41771.62430555555</v>
      </c>
      <c r="D3027" t="inlineStr">
        <is>
          <t>G1</t>
        </is>
      </c>
      <c r="E3027" t="inlineStr">
        <is>
          <t>HAITIANOS</t>
        </is>
      </c>
      <c r="F3027" t="inlineStr"/>
      <c r="G3027" t="inlineStr">
        <is>
          <t>1 SC</t>
        </is>
      </c>
      <c r="H3027" t="inlineStr">
        <is>
          <t>NÚMERO DE IMIGRANTES HAITIANOS PASSA DE 1,6 MIL EM SANTA CATARINA</t>
        </is>
      </c>
      <c r="I3027" t="inlineStr"/>
      <c r="J3027" t="inlineStr">
        <is>
          <t>JOINVILLE</t>
        </is>
      </c>
      <c r="K3027" t="n">
        <v>1</v>
      </c>
      <c r="L3027" t="n">
        <v>4</v>
      </c>
      <c r="M3027" t="n">
        <v>0</v>
      </c>
      <c r="N3027" t="n">
        <v>0</v>
      </c>
      <c r="O3027" t="n">
        <v>10</v>
      </c>
      <c r="P3027">
        <f>HYPERLINK("http://g1.globo.com/sc/santa-catarina/noticia/2014/05/numero-de-imigrantes-haitianos-passa-de-16-mil-em-santa-catarina.html", "URL")</f>
        <v/>
      </c>
      <c r="Q3027">
        <f>HYPERLINK("https://raw.githubusercontent.com/marcosmapl/dataset_imigrantes/main/materias_filtered/g1/haitianos/2014/04_mai/html/g1_002d6d34-22ed-11ed-b24f-6dbe51e79fca_1675.html", "HTML")</f>
        <v/>
      </c>
      <c r="R3027">
        <f>HYPERLINK("https://raw.githubusercontent.com/marcosmapl/dataset_imigrantes/main/materias_filtered/g1/haitianos/2014/04_mai/txt/g1_002d6d34-22ed-11ed-b24f-6dbe51e79fca_1675.txt", "TXT")</f>
        <v/>
      </c>
    </row>
    <row r="3028">
      <c r="A3028" s="1" t="n">
        <v>3026</v>
      </c>
      <c r="B3028" t="n">
        <v>2014</v>
      </c>
      <c r="C3028" s="2" t="n">
        <v>41769.80486111111</v>
      </c>
      <c r="D3028" t="inlineStr">
        <is>
          <t>G1</t>
        </is>
      </c>
      <c r="E3028" t="inlineStr">
        <is>
          <t>HAITIANOS</t>
        </is>
      </c>
      <c r="F3028" t="inlineStr"/>
      <c r="G3028" t="inlineStr">
        <is>
          <t>1 SÃO CARLOS E ARARAQUARA</t>
        </is>
      </c>
      <c r="H3028" t="inlineStr">
        <is>
          <t>GRUPO FAZ CAMPANHA NA WEB E ENSINA PORTUGUÊS A HAITIANOS EM SÃO CARLOS</t>
        </is>
      </c>
      <c r="I3028" t="inlineStr"/>
      <c r="J3028" t="inlineStr">
        <is>
          <t>SÃO CARLOS</t>
        </is>
      </c>
      <c r="K3028" t="n">
        <v>1</v>
      </c>
      <c r="L3028" t="n">
        <v>7</v>
      </c>
      <c r="M3028" t="n">
        <v>0</v>
      </c>
      <c r="N3028" t="n">
        <v>0</v>
      </c>
      <c r="O3028" t="n">
        <v>9</v>
      </c>
      <c r="P3028">
        <f>HYPERLINK("http://g1.globo.com/sp/sao-carlos-regiao/noticia/2014/05/grupo-faz-campanha-na-web-e-ensina-portugues-haitianos-em-sao-carlos.html", "URL")</f>
        <v/>
      </c>
      <c r="Q3028">
        <f>HYPERLINK("https://raw.githubusercontent.com/marcosmapl/dataset_imigrantes/main/materias_filtered/g1/haitianos/2014/04_mai/html/g1_6f1ad9a2-22f7-11ed-b24f-6dbe51e79fca_2079.html", "HTML")</f>
        <v/>
      </c>
      <c r="R3028">
        <f>HYPERLINK("https://raw.githubusercontent.com/marcosmapl/dataset_imigrantes/main/materias_filtered/g1/haitianos/2014/04_mai/txt/g1_6f1ad9a2-22f7-11ed-b24f-6dbe51e79fca_2079.txt", "TXT")</f>
        <v/>
      </c>
    </row>
    <row r="3029">
      <c r="A3029" s="1" t="n">
        <v>3027</v>
      </c>
      <c r="B3029" t="n">
        <v>2014</v>
      </c>
      <c r="C3029" s="2" t="n">
        <v>41769.68611111111</v>
      </c>
      <c r="D3029" t="inlineStr">
        <is>
          <t>G1</t>
        </is>
      </c>
      <c r="E3029" t="inlineStr">
        <is>
          <t>HAITIANOS</t>
        </is>
      </c>
      <c r="F3029" t="inlineStr"/>
      <c r="G3029" t="inlineStr">
        <is>
          <t>AZ FERNANDESDO G1 PIRACICABA E REGIÃO</t>
        </is>
      </c>
      <c r="H3029" t="inlineStr">
        <is>
          <t>HAITIANA DEIXA QUATRO FILHOS NO PAÍS E VEM EM BUSCA DO 'SONHO BRASILEIRO'</t>
        </is>
      </c>
      <c r="I3029" t="inlineStr"/>
      <c r="J3029" t="inlineStr">
        <is>
          <t>SANTA BÁRBARA D'OESTE</t>
        </is>
      </c>
      <c r="K3029" t="n">
        <v>1</v>
      </c>
      <c r="L3029" t="n">
        <v>7</v>
      </c>
      <c r="M3029" t="n">
        <v>0</v>
      </c>
      <c r="N3029" t="n">
        <v>0</v>
      </c>
      <c r="O3029" t="n">
        <v>12</v>
      </c>
      <c r="P3029">
        <f>HYPERLINK("http://g1.globo.com/sp/piracicaba-regiao/noticia/2014/05/haitiana-gravida-deixa-4-filhos-e-vem-ao-brasil-atras-do-sonho-brasileiro.html", "URL")</f>
        <v/>
      </c>
      <c r="Q3029">
        <f>HYPERLINK("https://raw.githubusercontent.com/marcosmapl/dataset_imigrantes/main/materias_filtered/g1/haitianos/2014/04_mai/html/g1_846d478e-2317-11ed-b24f-6dbe51e79fca_3213.html", "HTML")</f>
        <v/>
      </c>
      <c r="R3029">
        <f>HYPERLINK("https://raw.githubusercontent.com/marcosmapl/dataset_imigrantes/main/materias_filtered/g1/haitianos/2014/04_mai/txt/g1_846d478e-2317-11ed-b24f-6dbe51e79fca_3213.txt", "TXT")</f>
        <v/>
      </c>
    </row>
    <row r="3030">
      <c r="A3030" s="1" t="n">
        <v>3028</v>
      </c>
      <c r="B3030" t="n">
        <v>2014</v>
      </c>
      <c r="C3030" s="2" t="n">
        <v>41766.86111111111</v>
      </c>
      <c r="D3030" t="inlineStr">
        <is>
          <t>G1</t>
        </is>
      </c>
      <c r="E3030" t="inlineStr">
        <is>
          <t>HAITIANOS</t>
        </is>
      </c>
      <c r="F3030" t="inlineStr"/>
      <c r="G3030" t="inlineStr">
        <is>
          <t>ANA RIBEIRODO G1 AC</t>
        </is>
      </c>
      <c r="H3030" t="inlineStr">
        <is>
          <t>TIÃO VIANA REJEITA REUNIÃO COM ALCKMIN PARA TRATAR SOBRE HAITIANOS</t>
        </is>
      </c>
      <c r="I3030" t="inlineStr"/>
      <c r="J3030" t="inlineStr">
        <is>
          <t>RIO BRANCO, GERALDO ALCKMIN, TIÃO VIANA, SÃO PAULO</t>
        </is>
      </c>
      <c r="K3030" t="n">
        <v>4</v>
      </c>
      <c r="L3030" t="n">
        <v>4</v>
      </c>
      <c r="M3030" t="n">
        <v>0</v>
      </c>
      <c r="N3030" t="n">
        <v>0</v>
      </c>
      <c r="O3030" t="n">
        <v>18</v>
      </c>
      <c r="P3030">
        <f>HYPERLINK("http://g1.globo.com/ac/acre/noticia/2014/05/tiao-viana-rejeita-reuniao-com-alckmin-para-tratar-sobre-haitianos.html", "URL")</f>
        <v/>
      </c>
      <c r="Q3030">
        <f>HYPERLINK("https://raw.githubusercontent.com/marcosmapl/dataset_imigrantes/main/materias_filtered/g1/haitianos/2014/04_mai/html/g1_4ea0cd96-22f5-11ed-b24f-6dbe51e79fca_1941.html", "HTML")</f>
        <v/>
      </c>
      <c r="R3030">
        <f>HYPERLINK("https://raw.githubusercontent.com/marcosmapl/dataset_imigrantes/main/materias_filtered/g1/haitianos/2014/04_mai/txt/g1_4ea0cd96-22f5-11ed-b24f-6dbe51e79fca_1941.txt", "TXT")</f>
        <v/>
      </c>
    </row>
    <row r="3031">
      <c r="A3031" s="1" t="n">
        <v>3029</v>
      </c>
      <c r="B3031" t="n">
        <v>2014</v>
      </c>
      <c r="C3031" s="2" t="n">
        <v>41766.81388888889</v>
      </c>
      <c r="D3031" t="inlineStr">
        <is>
          <t>G1</t>
        </is>
      </c>
      <c r="E3031" t="inlineStr">
        <is>
          <t>HAITIANOS</t>
        </is>
      </c>
      <c r="F3031" t="inlineStr"/>
      <c r="G3031" t="inlineStr"/>
      <c r="H3031" t="inlineStr">
        <is>
          <t>REFUGIADOS HAITIANOS E SÍRIOS NO BRASIL SÃO TEMA DE ‘FERNANDO GABEIRA’</t>
        </is>
      </c>
      <c r="I3031" t="inlineStr"/>
      <c r="J3031" t="inlineStr"/>
      <c r="K3031" t="n">
        <v>0</v>
      </c>
      <c r="L3031" t="n">
        <v>0</v>
      </c>
      <c r="M3031" t="n">
        <v>0</v>
      </c>
      <c r="N3031" t="n">
        <v>0</v>
      </c>
      <c r="O3031" t="n">
        <v>4</v>
      </c>
      <c r="P3031">
        <f>HYPERLINK("http://g1.globo.com/globo-news/noticia/2014/05/refugiados-haitianos-e-sirios-no-brasil-sao-tema-de-fernando-gabeira.html", "URL")</f>
        <v/>
      </c>
      <c r="Q3031">
        <f>HYPERLINK("https://raw.githubusercontent.com/marcosmapl/dataset_imigrantes/main/materias_filtered/g1/haitianos/2014/04_mai/html/g1_a0e125a0-22f6-11ed-b24f-6dbe51e79fca_2025.html", "HTML")</f>
        <v/>
      </c>
      <c r="R3031">
        <f>HYPERLINK("https://raw.githubusercontent.com/marcosmapl/dataset_imigrantes/main/materias_filtered/g1/haitianos/2014/04_mai/txt/g1_a0e125a0-22f6-11ed-b24f-6dbe51e79fca_2025.txt", "TXT")</f>
        <v/>
      </c>
    </row>
    <row r="3032">
      <c r="A3032" s="1" t="n">
        <v>3030</v>
      </c>
      <c r="B3032" t="n">
        <v>2014</v>
      </c>
      <c r="C3032" s="2" t="n">
        <v>41765.75138888889</v>
      </c>
      <c r="D3032" t="inlineStr">
        <is>
          <t>G1</t>
        </is>
      </c>
      <c r="E3032" t="inlineStr">
        <is>
          <t>HAITIANOS</t>
        </is>
      </c>
      <c r="F3032" t="inlineStr"/>
      <c r="G3032" t="inlineStr">
        <is>
          <t xml:space="preserve"> FULGÊNCIODO G1 AC</t>
        </is>
      </c>
      <c r="H3032" t="inlineStr">
        <is>
          <t>EMPRESA DE SC VOLTA AO ACRE PELA 3ª VEZ PARA RECRUTAR HAITIANOS</t>
        </is>
      </c>
      <c r="I3032" t="inlineStr"/>
      <c r="J3032" t="inlineStr">
        <is>
          <t>RIO BRANCO, SANTA CATARINA</t>
        </is>
      </c>
      <c r="K3032" t="n">
        <v>2</v>
      </c>
      <c r="L3032" t="n">
        <v>7</v>
      </c>
      <c r="M3032" t="n">
        <v>0</v>
      </c>
      <c r="N3032" t="n">
        <v>0</v>
      </c>
      <c r="O3032" t="n">
        <v>20</v>
      </c>
      <c r="P3032">
        <f>HYPERLINK("http://g1.globo.com/ac/acre/noticia/2014/05/empresa-de-sc-volta-ao-acre-pela-3-vez-para-recrutar-haitianos.html", "URL")</f>
        <v/>
      </c>
      <c r="Q3032">
        <f>HYPERLINK("https://raw.githubusercontent.com/marcosmapl/dataset_imigrantes/main/materias_filtered/g1/haitianos/2014/04_mai/html/g1_88cd5616-22f9-11ed-b24f-6dbe51e79fca_2168.html", "HTML")</f>
        <v/>
      </c>
      <c r="R3032">
        <f>HYPERLINK("https://raw.githubusercontent.com/marcosmapl/dataset_imigrantes/main/materias_filtered/g1/haitianos/2014/04_mai/txt/g1_88cd5616-22f9-11ed-b24f-6dbe51e79fca_2168.txt", "TXT")</f>
        <v/>
      </c>
    </row>
    <row r="3033">
      <c r="A3033" s="1" t="n">
        <v>3031</v>
      </c>
      <c r="B3033" t="n">
        <v>2014</v>
      </c>
      <c r="C3033" s="2" t="n">
        <v>41765.28958333333</v>
      </c>
      <c r="D3033" t="inlineStr">
        <is>
          <t>G1</t>
        </is>
      </c>
      <c r="E3033" t="inlineStr">
        <is>
          <t>HAITIANOS</t>
        </is>
      </c>
      <c r="F3033" t="inlineStr"/>
      <c r="G3033" t="inlineStr">
        <is>
          <t>1 SÃO PAULO</t>
        </is>
      </c>
      <c r="H3033" t="inlineStr">
        <is>
          <t>PREFEITURA DE SP INAUGURA ABRIGO PARA HAITIANOS NESTA TERÇA</t>
        </is>
      </c>
      <c r="I3033" t="inlineStr"/>
      <c r="J3033" t="inlineStr">
        <is>
          <t>SÃO PAULO</t>
        </is>
      </c>
      <c r="K3033" t="n">
        <v>1</v>
      </c>
      <c r="L3033" t="n">
        <v>1</v>
      </c>
      <c r="M3033" t="n">
        <v>0</v>
      </c>
      <c r="N3033" t="n">
        <v>0</v>
      </c>
      <c r="O3033" t="n">
        <v>12</v>
      </c>
      <c r="P3033">
        <f>HYPERLINK("http://g1.globo.com/sao-paulo/noticia/2014/05/prefeitura-de-sp-inaugura-abrigo-para-haitianos-nesta-terca.html", "URL")</f>
        <v/>
      </c>
      <c r="Q3033">
        <f>HYPERLINK("https://raw.githubusercontent.com/marcosmapl/dataset_imigrantes/main/materias_filtered/g1/haitianos/2014/04_mai/html/g1_a2979d84-22f1-11ed-b24f-6dbe51e79fca_1759.html", "HTML")</f>
        <v/>
      </c>
      <c r="R3033">
        <f>HYPERLINK("https://raw.githubusercontent.com/marcosmapl/dataset_imigrantes/main/materias_filtered/g1/haitianos/2014/04_mai/txt/g1_a2979d84-22f1-11ed-b24f-6dbe51e79fca_1759.txt", "TXT")</f>
        <v/>
      </c>
    </row>
    <row r="3034">
      <c r="A3034" s="1" t="n">
        <v>3032</v>
      </c>
      <c r="B3034" t="n">
        <v>2014</v>
      </c>
      <c r="C3034" s="2" t="n">
        <v>41764.84722222222</v>
      </c>
      <c r="D3034" t="inlineStr">
        <is>
          <t>G1</t>
        </is>
      </c>
      <c r="E3034" t="inlineStr">
        <is>
          <t>HAITIANOS</t>
        </is>
      </c>
      <c r="F3034" t="inlineStr"/>
      <c r="G3034" t="inlineStr">
        <is>
          <t>CIA EFE</t>
        </is>
      </c>
      <c r="H3034" t="inlineStr">
        <is>
          <t>EXIGÊNCIA DE DOCUMENTOS PARA HAITIANOS ESTIMULA TRÁFICO DE PESSOAS</t>
        </is>
      </c>
      <c r="I3034" t="inlineStr"/>
      <c r="J3034" t="inlineStr">
        <is>
          <t>RIO BRANCO, UFAC</t>
        </is>
      </c>
      <c r="K3034" t="n">
        <v>2</v>
      </c>
      <c r="L3034" t="n">
        <v>6</v>
      </c>
      <c r="M3034" t="n">
        <v>0</v>
      </c>
      <c r="N3034" t="n">
        <v>0</v>
      </c>
      <c r="O3034" t="n">
        <v>19</v>
      </c>
      <c r="P3034">
        <f>HYPERLINK("http://g1.globo.com/ac/acre/noticia/2014/05/exigencia-de-documentos-para-haitianos-estimula-trafico-de-pessoas.html", "URL")</f>
        <v/>
      </c>
      <c r="Q3034">
        <f>HYPERLINK("https://raw.githubusercontent.com/marcosmapl/dataset_imigrantes/main/materias_filtered/g1/haitianos/2014/04_mai/html/g1_367467d0-22f2-11ed-b24f-6dbe51e79fca_1784.html", "HTML")</f>
        <v/>
      </c>
      <c r="R3034">
        <f>HYPERLINK("https://raw.githubusercontent.com/marcosmapl/dataset_imigrantes/main/materias_filtered/g1/haitianos/2014/04_mai/txt/g1_367467d0-22f2-11ed-b24f-6dbe51e79fca_1784.txt", "TXT")</f>
        <v/>
      </c>
    </row>
    <row r="3035">
      <c r="A3035" s="1" t="n">
        <v>3033</v>
      </c>
      <c r="B3035" t="n">
        <v>2014</v>
      </c>
      <c r="C3035" s="2" t="n">
        <v>41764.84375</v>
      </c>
      <c r="D3035" t="inlineStr">
        <is>
          <t>G1</t>
        </is>
      </c>
      <c r="E3035" t="inlineStr">
        <is>
          <t>HAITIANOS</t>
        </is>
      </c>
      <c r="F3035" t="inlineStr"/>
      <c r="G3035" t="inlineStr">
        <is>
          <t>CIA EFE</t>
        </is>
      </c>
      <c r="H3035" t="inlineStr">
        <is>
          <t>GAROTO HAITIANO VIVE HÁ MAIS DE UM ANO EM ABRIGO NO ACRE</t>
        </is>
      </c>
      <c r="I3035" t="inlineStr"/>
      <c r="J3035" t="inlineStr">
        <is>
          <t>RIO BRANCO, UFAC</t>
        </is>
      </c>
      <c r="K3035" t="n">
        <v>2</v>
      </c>
      <c r="L3035" t="n">
        <v>5</v>
      </c>
      <c r="M3035" t="n">
        <v>0</v>
      </c>
      <c r="N3035" t="n">
        <v>0</v>
      </c>
      <c r="O3035" t="n">
        <v>18</v>
      </c>
      <c r="P3035">
        <f>HYPERLINK("http://g1.globo.com/ac/acre/noticia/2014/05/garoto-haitiano-vive-ha-mais-de-um-ano-em-abrigo-no-acre.html", "URL")</f>
        <v/>
      </c>
      <c r="Q3035">
        <f>HYPERLINK("https://raw.githubusercontent.com/marcosmapl/dataset_imigrantes/main/materias_filtered/g1/haitianos/2014/04_mai/html/g1_c3751fba-2308-11ed-b24f-6dbe51e79fca_2402.html", "HTML")</f>
        <v/>
      </c>
      <c r="R3035">
        <f>HYPERLINK("https://raw.githubusercontent.com/marcosmapl/dataset_imigrantes/main/materias_filtered/g1/haitianos/2014/04_mai/txt/g1_c3751fba-2308-11ed-b24f-6dbe51e79fca_2402.txt", "TXT")</f>
        <v/>
      </c>
    </row>
    <row r="3036">
      <c r="A3036" s="1" t="n">
        <v>3034</v>
      </c>
      <c r="B3036" t="n">
        <v>2014</v>
      </c>
      <c r="C3036" s="2" t="n">
        <v>41764.46041666667</v>
      </c>
      <c r="D3036" t="inlineStr">
        <is>
          <t>G1</t>
        </is>
      </c>
      <c r="E3036" t="inlineStr">
        <is>
          <t>HAITIANOS</t>
        </is>
      </c>
      <c r="F3036" t="inlineStr"/>
      <c r="G3036" t="inlineStr">
        <is>
          <t>1 SÃO PAULO</t>
        </is>
      </c>
      <c r="H3036" t="inlineStr">
        <is>
          <t>HADDAD PEDIRÁ A EMBAIXADOR QUE HAITIANOS TENHAM CARTEIRA DE TRABALHO</t>
        </is>
      </c>
      <c r="I3036" t="inlineStr"/>
      <c r="J3036" t="inlineStr"/>
      <c r="K3036" t="n">
        <v>0</v>
      </c>
      <c r="L3036" t="n">
        <v>1</v>
      </c>
      <c r="M3036" t="n">
        <v>0</v>
      </c>
      <c r="N3036" t="n">
        <v>0</v>
      </c>
      <c r="O3036" t="n">
        <v>6</v>
      </c>
      <c r="P3036">
        <f>HYPERLINK("http://g1.globo.com/sao-paulo/noticia/2014/05/haddad-pedira-embaixador-que-haitianos-tenham-carteira-de-trabalho.html", "URL")</f>
        <v/>
      </c>
      <c r="Q3036">
        <f>HYPERLINK("https://raw.githubusercontent.com/marcosmapl/dataset_imigrantes/main/materias_filtered/g1/haitianos/2014/04_mai/html/g1_edbb6c5e-22f7-11ed-b24f-6dbe51e79fca_2105.html", "HTML")</f>
        <v/>
      </c>
      <c r="R3036">
        <f>HYPERLINK("https://raw.githubusercontent.com/marcosmapl/dataset_imigrantes/main/materias_filtered/g1/haitianos/2014/04_mai/txt/g1_edbb6c5e-22f7-11ed-b24f-6dbe51e79fca_2105.txt", "TXT")</f>
        <v/>
      </c>
    </row>
    <row r="3037">
      <c r="A3037" s="1" t="n">
        <v>3035</v>
      </c>
      <c r="B3037" t="n">
        <v>2014</v>
      </c>
      <c r="C3037" s="2" t="n">
        <v>41761.51736111111</v>
      </c>
      <c r="D3037" t="inlineStr">
        <is>
          <t>G1</t>
        </is>
      </c>
      <c r="E3037" t="inlineStr">
        <is>
          <t>HAITIANOS</t>
        </is>
      </c>
      <c r="F3037" t="inlineStr"/>
      <c r="G3037" t="inlineStr">
        <is>
          <t>ANA SANTIAGO E LÍVIA MACHADODO G1 SÃO PAULO</t>
        </is>
      </c>
      <c r="H3037" t="inlineStr">
        <is>
          <t>PROFESSOR É DETIDO SOB SUSPEITA DE ESTELIONATO CONTRA HAITIANOS EM SP</t>
        </is>
      </c>
      <c r="I3037" t="inlineStr"/>
      <c r="J3037" t="inlineStr">
        <is>
          <t>SÃO PAULO</t>
        </is>
      </c>
      <c r="K3037" t="n">
        <v>1</v>
      </c>
      <c r="L3037" t="n">
        <v>1</v>
      </c>
      <c r="M3037" t="n">
        <v>0</v>
      </c>
      <c r="N3037" t="n">
        <v>0</v>
      </c>
      <c r="O3037" t="n">
        <v>13</v>
      </c>
      <c r="P3037">
        <f>HYPERLINK("http://g1.globo.com/sao-paulo/noticia/2014/05/professor-e-detido-sob-suspeita-de-explorar-haitianos-em-sao-paulo.html", "URL")</f>
        <v/>
      </c>
      <c r="Q3037">
        <f>HYPERLINK("https://raw.githubusercontent.com/marcosmapl/dataset_imigrantes/main/materias_filtered/g1/haitianos/2014/04_mai/html/g1_08ad7990-22f7-11ed-b24f-6dbe51e79fca_2054.html", "HTML")</f>
        <v/>
      </c>
      <c r="R3037">
        <f>HYPERLINK("https://raw.githubusercontent.com/marcosmapl/dataset_imigrantes/main/materias_filtered/g1/haitianos/2014/04_mai/txt/g1_08ad7990-22f7-11ed-b24f-6dbe51e79fca_2054.txt", "TXT")</f>
        <v/>
      </c>
    </row>
    <row r="3038">
      <c r="A3038" s="1" t="n">
        <v>3036</v>
      </c>
      <c r="B3038" t="n">
        <v>2014</v>
      </c>
      <c r="C3038" s="2" t="n">
        <v>41760.87847222222</v>
      </c>
      <c r="D3038" t="inlineStr">
        <is>
          <t>G1</t>
        </is>
      </c>
      <c r="E3038" t="inlineStr">
        <is>
          <t>HAITIANOS</t>
        </is>
      </c>
      <c r="F3038" t="inlineStr"/>
      <c r="G3038" t="inlineStr">
        <is>
          <t>A MACHADODO G1 SÃO PAULO</t>
        </is>
      </c>
      <c r="H3038" t="inlineStr">
        <is>
          <t>PADRE PRESSIONA MINISTROS POR HAITIANOS EM EVENTO DA FORÇA EM SP</t>
        </is>
      </c>
      <c r="I3038" t="inlineStr"/>
      <c r="J3038" t="inlineStr">
        <is>
          <t>SÃO PAULO</t>
        </is>
      </c>
      <c r="K3038" t="n">
        <v>1</v>
      </c>
      <c r="L3038" t="n">
        <v>2</v>
      </c>
      <c r="M3038" t="n">
        <v>0</v>
      </c>
      <c r="N3038" t="n">
        <v>0</v>
      </c>
      <c r="O3038" t="n">
        <v>12</v>
      </c>
      <c r="P3038">
        <f>HYPERLINK("http://g1.globo.com/sao-paulo/noticia/2014/05/padre-pressiona-ministros-por-haitianos-em-evento-da-forca-em-sp.html", "URL")</f>
        <v/>
      </c>
      <c r="Q3038">
        <f>HYPERLINK("https://raw.githubusercontent.com/marcosmapl/dataset_imigrantes/main/materias_filtered/g1/haitianos/2014/04_mai/html/g1_cc72e560-22f5-11ed-b24f-6dbe51e79fca_1973.html", "HTML")</f>
        <v/>
      </c>
      <c r="R3038">
        <f>HYPERLINK("https://raw.githubusercontent.com/marcosmapl/dataset_imigrantes/main/materias_filtered/g1/haitianos/2014/04_mai/txt/g1_cc72e560-22f5-11ed-b24f-6dbe51e79fca_1973.txt", "TXT")</f>
        <v/>
      </c>
    </row>
    <row r="3039">
      <c r="A3039" s="1" t="n">
        <v>3037</v>
      </c>
      <c r="B3039" t="n">
        <v>2014</v>
      </c>
      <c r="C3039" s="2" t="n">
        <v>41760.50486111111</v>
      </c>
      <c r="D3039" t="inlineStr">
        <is>
          <t>G1</t>
        </is>
      </c>
      <c r="E3039" t="inlineStr">
        <is>
          <t>HAITIANOS</t>
        </is>
      </c>
      <c r="F3039" t="inlineStr"/>
      <c r="G3039" t="inlineStr">
        <is>
          <t>1 PIRACICABA E REGIÃO</t>
        </is>
      </c>
      <c r="H3039" t="inlineStr">
        <is>
          <t>HAITIANOS MIGRAM PARA O INTERIOR APÓS FALTA DE OPORTUNIDADE NA CAPITAL DE SP</t>
        </is>
      </c>
      <c r="I3039" t="inlineStr"/>
      <c r="J3039" t="inlineStr">
        <is>
          <t>NOVA ODESSA, PIRACICABA, SANTA BÁRBARA D'OESTE</t>
        </is>
      </c>
      <c r="K3039" t="n">
        <v>3</v>
      </c>
      <c r="L3039" t="n">
        <v>8</v>
      </c>
      <c r="M3039" t="n">
        <v>0</v>
      </c>
      <c r="N3039" t="n">
        <v>0</v>
      </c>
      <c r="O3039" t="n">
        <v>17</v>
      </c>
      <c r="P3039">
        <f>HYPERLINK("http://g1.globo.com/sp/piracicaba-regiao/noticia/2014/05/haitianos-migram-para-o-interior-apos-falta-de-oportunidade-na-capital-de-sp.html", "URL")</f>
        <v/>
      </c>
      <c r="Q3039">
        <f>HYPERLINK("https://raw.githubusercontent.com/marcosmapl/dataset_imigrantes/main/materias_filtered/g1/haitianos/2014/04_mai/html/g1_2d4de51e-22f2-11ed-b24f-6dbe51e79fca_1782.html", "HTML")</f>
        <v/>
      </c>
      <c r="R3039">
        <f>HYPERLINK("https://raw.githubusercontent.com/marcosmapl/dataset_imigrantes/main/materias_filtered/g1/haitianos/2014/04_mai/txt/g1_2d4de51e-22f2-11ed-b24f-6dbe51e79fca_1782.txt", "TXT")</f>
        <v/>
      </c>
    </row>
    <row r="3040">
      <c r="A3040" s="1" t="n">
        <v>3038</v>
      </c>
      <c r="B3040" t="n">
        <v>2014</v>
      </c>
      <c r="C3040" s="2" t="n">
        <v>41759.66388888889</v>
      </c>
      <c r="D3040" t="inlineStr">
        <is>
          <t>G1</t>
        </is>
      </c>
      <c r="E3040" t="inlineStr">
        <is>
          <t>HAITIANOS</t>
        </is>
      </c>
      <c r="F3040" t="inlineStr"/>
      <c r="G3040" t="inlineStr">
        <is>
          <t>ANA BRAGADO G1, EM BRASÍLIA</t>
        </is>
      </c>
      <c r="H3040" t="inlineStr">
        <is>
          <t>GOVERNO QUER ESTIMULAR HAITIANOS A TIRAR VISTO PARA ENTRAR NO BRASIL</t>
        </is>
      </c>
      <c r="I3040" t="inlineStr"/>
      <c r="J3040" t="inlineStr"/>
      <c r="K3040" t="n">
        <v>0</v>
      </c>
      <c r="L3040" t="n">
        <v>1</v>
      </c>
      <c r="M3040" t="n">
        <v>0</v>
      </c>
      <c r="N3040" t="n">
        <v>0</v>
      </c>
      <c r="O3040" t="n">
        <v>7</v>
      </c>
      <c r="P3040">
        <f>HYPERLINK("http://g1.globo.com/politica/noticia/2014/04/governo-quer-estimular-haitianos-tirar-vistos-para-entrar-no-brasil.html", "URL")</f>
        <v/>
      </c>
      <c r="Q3040">
        <f>HYPERLINK("https://raw.githubusercontent.com/marcosmapl/dataset_imigrantes/main/materias_filtered/g1/haitianos/2014/03_abr/html/g1_8d1f7f7e-22f8-11ed-b24f-6dbe51e79fca_2142.html", "HTML")</f>
        <v/>
      </c>
      <c r="R3040">
        <f>HYPERLINK("https://raw.githubusercontent.com/marcosmapl/dataset_imigrantes/main/materias_filtered/g1/haitianos/2014/03_abr/txt/g1_8d1f7f7e-22f8-11ed-b24f-6dbe51e79fca_2142.txt", "TXT")</f>
        <v/>
      </c>
    </row>
    <row r="3041">
      <c r="A3041" s="1" t="n">
        <v>3039</v>
      </c>
      <c r="B3041" t="n">
        <v>2014</v>
      </c>
      <c r="C3041" s="2" t="n">
        <v>41758.67013888889</v>
      </c>
      <c r="D3041" t="inlineStr">
        <is>
          <t>G1</t>
        </is>
      </c>
      <c r="E3041" t="inlineStr">
        <is>
          <t>HAITIANOS</t>
        </is>
      </c>
      <c r="F3041" t="inlineStr"/>
      <c r="G3041" t="inlineStr">
        <is>
          <t>YANA ARAÚJODO G1 MT</t>
        </is>
      </c>
      <c r="H3041" t="inlineStr">
        <is>
          <t>CINQUENTA HAITIANOS FAZEM CURSO GRATUITO DE PORTUGUÊS EM CUIABÁ</t>
        </is>
      </c>
      <c r="I3041" t="inlineStr"/>
      <c r="J3041" t="inlineStr">
        <is>
          <t>CUIABÁ</t>
        </is>
      </c>
      <c r="K3041" t="n">
        <v>1</v>
      </c>
      <c r="L3041" t="n">
        <v>4</v>
      </c>
      <c r="M3041" t="n">
        <v>0</v>
      </c>
      <c r="N3041" t="n">
        <v>0</v>
      </c>
      <c r="O3041" t="n">
        <v>11</v>
      </c>
      <c r="P3041">
        <f>HYPERLINK("http://g1.globo.com/mato-grosso/noticia/2014/04/cinquenta-haitianos-fazem-curso-gratuito-de-portugues-em-cuiaba.html", "URL")</f>
        <v/>
      </c>
      <c r="Q3041">
        <f>HYPERLINK("https://raw.githubusercontent.com/marcosmapl/dataset_imigrantes/main/materias_filtered/g1/haitianos/2014/03_abr/html/g1_d52e3a84-22f4-11ed-b24f-6dbe51e79fca_1913.html", "HTML")</f>
        <v/>
      </c>
      <c r="R3041">
        <f>HYPERLINK("https://raw.githubusercontent.com/marcosmapl/dataset_imigrantes/main/materias_filtered/g1/haitianos/2014/03_abr/txt/g1_d52e3a84-22f4-11ed-b24f-6dbe51e79fca_1913.txt", "TXT")</f>
        <v/>
      </c>
    </row>
    <row r="3042">
      <c r="A3042" s="1" t="n">
        <v>3040</v>
      </c>
      <c r="B3042" t="n">
        <v>2014</v>
      </c>
      <c r="C3042" s="2" t="n">
        <v>41758.35972222222</v>
      </c>
      <c r="D3042" t="inlineStr">
        <is>
          <t>G1</t>
        </is>
      </c>
      <c r="E3042" t="inlineStr">
        <is>
          <t>HAITIANOS</t>
        </is>
      </c>
      <c r="F3042" t="inlineStr"/>
      <c r="G3042" t="inlineStr">
        <is>
          <t>1 SÃO PAULO</t>
        </is>
      </c>
      <c r="H3042" t="inlineStr">
        <is>
          <t>MINISTÉRIO QUER CONVOCAR EMPRESAS DO PAC PARA CONTRATAR HAITIANOS</t>
        </is>
      </c>
      <c r="I3042" t="inlineStr"/>
      <c r="J3042" t="inlineStr">
        <is>
          <t>SÃO PAULO</t>
        </is>
      </c>
      <c r="K3042" t="n">
        <v>1</v>
      </c>
      <c r="L3042" t="n">
        <v>1</v>
      </c>
      <c r="M3042" t="n">
        <v>0</v>
      </c>
      <c r="N3042" t="n">
        <v>0</v>
      </c>
      <c r="O3042" t="n">
        <v>11</v>
      </c>
      <c r="P3042">
        <f>HYPERLINK("http://g1.globo.com/sao-paulo/noticia/2014/04/ministerio-quer-convocar-empresas-do-pac-para-contratar-haitianos.html", "URL")</f>
        <v/>
      </c>
      <c r="Q3042">
        <f>HYPERLINK("https://raw.githubusercontent.com/marcosmapl/dataset_imigrantes/main/materias_filtered/g1/haitianos/2014/03_abr/html/g1_b5700ae4-22f2-11ed-b24f-6dbe51e79fca_1811.html", "HTML")</f>
        <v/>
      </c>
      <c r="R3042">
        <f>HYPERLINK("https://raw.githubusercontent.com/marcosmapl/dataset_imigrantes/main/materias_filtered/g1/haitianos/2014/03_abr/txt/g1_b5700ae4-22f2-11ed-b24f-6dbe51e79fca_1811.txt", "TXT")</f>
        <v/>
      </c>
    </row>
    <row r="3043">
      <c r="A3043" s="1" t="n">
        <v>3041</v>
      </c>
      <c r="B3043" t="n">
        <v>2014</v>
      </c>
      <c r="C3043" s="2" t="n">
        <v>41757.91666666666</v>
      </c>
      <c r="D3043" t="inlineStr">
        <is>
          <t>G1</t>
        </is>
      </c>
      <c r="E3043" t="inlineStr">
        <is>
          <t>HAITIANOS</t>
        </is>
      </c>
      <c r="F3043" t="inlineStr"/>
      <c r="G3043" t="inlineStr"/>
      <c r="H3043" t="inlineStr">
        <is>
          <t>GOVERNO PROMETE MONTAR ESTRUTURAS EM 4 CIDADES PARA RECEBER HAITIANOS</t>
        </is>
      </c>
      <c r="I3043" t="inlineStr"/>
      <c r="J3043" t="inlineStr"/>
      <c r="K3043" t="n">
        <v>0</v>
      </c>
      <c r="L3043" t="n">
        <v>0</v>
      </c>
      <c r="M3043" t="n">
        <v>0</v>
      </c>
      <c r="N3043" t="n">
        <v>0</v>
      </c>
      <c r="O3043" t="n">
        <v>4</v>
      </c>
      <c r="P3043">
        <f>HYPERLINK("http://g1.globo.com/jornal-nacional/noticia/2014/04/governo-promete-montar-estruturas-em-4-cidades-para-receber-haitianos.html", "URL")</f>
        <v/>
      </c>
      <c r="Q3043">
        <f>HYPERLINK("https://raw.githubusercontent.com/marcosmapl/dataset_imigrantes/main/materias_filtered/g1/haitianos/2014/03_abr/html/g1_2a25099a-22f6-11ed-b24f-6dbe51e79fca_1997.html", "HTML")</f>
        <v/>
      </c>
      <c r="R3043">
        <f>HYPERLINK("https://raw.githubusercontent.com/marcosmapl/dataset_imigrantes/main/materias_filtered/g1/haitianos/2014/03_abr/txt/g1_2a25099a-22f6-11ed-b24f-6dbe51e79fca_1997.txt", "TXT")</f>
        <v/>
      </c>
    </row>
    <row r="3044">
      <c r="A3044" s="1" t="n">
        <v>3042</v>
      </c>
      <c r="B3044" t="n">
        <v>2014</v>
      </c>
      <c r="C3044" s="2" t="n">
        <v>41757.56388888889</v>
      </c>
      <c r="D3044" t="inlineStr">
        <is>
          <t>G1</t>
        </is>
      </c>
      <c r="E3044" t="inlineStr">
        <is>
          <t>HAITIANOS</t>
        </is>
      </c>
      <c r="F3044" t="inlineStr"/>
      <c r="G3044" t="inlineStr">
        <is>
          <t>ANA SANTIAGODO G1 SÃO PAULO</t>
        </is>
      </c>
      <c r="H3044" t="inlineStr">
        <is>
          <t>SECRETÁRIO CRITICA ACRE POR 'DESPEJAR'  HAITIANOS EM SP SEM AVISO PRÉVIO</t>
        </is>
      </c>
      <c r="I3044" t="inlineStr"/>
      <c r="J3044" t="inlineStr">
        <is>
          <t>SÃO PAULO</t>
        </is>
      </c>
      <c r="K3044" t="n">
        <v>1</v>
      </c>
      <c r="L3044" t="n">
        <v>1</v>
      </c>
      <c r="M3044" t="n">
        <v>0</v>
      </c>
      <c r="N3044" t="n">
        <v>0</v>
      </c>
      <c r="O3044" t="n">
        <v>14</v>
      </c>
      <c r="P3044">
        <f>HYPERLINK("http://g1.globo.com/sao-paulo/noticia/2014/04/secretario-critica-acre-por-despejar-haitianos-em-sp-sem-aviso-previo.html", "URL")</f>
        <v/>
      </c>
      <c r="Q3044">
        <f>HYPERLINK("https://raw.githubusercontent.com/marcosmapl/dataset_imigrantes/main/materias_filtered/g1/haitianos/2014/03_abr/html/g1_b04b75e4-22f2-11ed-b24f-6dbe51e79fca_1810.html", "HTML")</f>
        <v/>
      </c>
      <c r="R3044">
        <f>HYPERLINK("https://raw.githubusercontent.com/marcosmapl/dataset_imigrantes/main/materias_filtered/g1/haitianos/2014/03_abr/txt/g1_b04b75e4-22f2-11ed-b24f-6dbe51e79fca_1810.txt", "TXT")</f>
        <v/>
      </c>
    </row>
    <row r="3045">
      <c r="A3045" s="1" t="n">
        <v>3043</v>
      </c>
      <c r="B3045" t="n">
        <v>2014</v>
      </c>
      <c r="C3045" s="2" t="n">
        <v>41757.29166666666</v>
      </c>
      <c r="D3045" t="inlineStr">
        <is>
          <t>G1</t>
        </is>
      </c>
      <c r="E3045" t="inlineStr">
        <is>
          <t>HAITIANOS</t>
        </is>
      </c>
      <c r="F3045" t="inlineStr"/>
      <c r="G3045" t="inlineStr">
        <is>
          <t>BC</t>
        </is>
      </c>
      <c r="H3045" t="inlineStr">
        <is>
          <t>ATITUDE 'AMIGÁVEL' DO GOVERNO ATRAI HAITIANOS PARA O BRASIL</t>
        </is>
      </c>
      <c r="I3045" t="inlineStr"/>
      <c r="J3045" t="inlineStr">
        <is>
          <t>HAITI</t>
        </is>
      </c>
      <c r="K3045" t="n">
        <v>1</v>
      </c>
      <c r="L3045" t="n">
        <v>6</v>
      </c>
      <c r="M3045" t="n">
        <v>0</v>
      </c>
      <c r="N3045" t="n">
        <v>0</v>
      </c>
      <c r="O3045" t="n">
        <v>13</v>
      </c>
      <c r="P3045">
        <f>HYPERLINK("http://g1.globo.com/mundo/noticia/2014/04/atitude-amigavel-do-governo-atrai-haitianos-para-o-brasil.html", "URL")</f>
        <v/>
      </c>
      <c r="Q3045">
        <f>HYPERLINK("https://raw.githubusercontent.com/marcosmapl/dataset_imigrantes/main/materias_filtered/g1/haitianos/2014/03_abr/html/g1_c22c0b3a-22f1-11ed-b24f-6dbe51e79fca_1764.html", "HTML")</f>
        <v/>
      </c>
      <c r="R3045">
        <f>HYPERLINK("https://raw.githubusercontent.com/marcosmapl/dataset_imigrantes/main/materias_filtered/g1/haitianos/2014/03_abr/txt/g1_c22c0b3a-22f1-11ed-b24f-6dbe51e79fca_1764.txt", "TXT")</f>
        <v/>
      </c>
    </row>
    <row r="3046">
      <c r="A3046" s="1" t="n">
        <v>3044</v>
      </c>
      <c r="B3046" t="n">
        <v>2014</v>
      </c>
      <c r="C3046" s="2" t="n">
        <v>41755.89482638889</v>
      </c>
      <c r="D3046" t="inlineStr">
        <is>
          <t>A CRITICA</t>
        </is>
      </c>
      <c r="E3046" t="inlineStr">
        <is>
          <t>HAITIANOS</t>
        </is>
      </c>
      <c r="F3046" t="inlineStr"/>
      <c r="G3046" t="inlineStr">
        <is>
          <t>JOANA QUEIROZ</t>
        </is>
      </c>
      <c r="H3046" t="inlineStr">
        <is>
          <t>A FORÇA DE UM ‘BOATO’</t>
        </is>
      </c>
      <c r="I3046" t="inlineStr">
        <is>
          <t>ESPALHA-SE DE FORMA VIRAL DIVERSAS INFORMAÇÕES COM O OBJETIVO DE CAUSAR PÂNICO NA SOCIEDADE, CASO SEJA LEVADO A SÉRIO</t>
        </is>
      </c>
      <c r="J3046" t="inlineStr"/>
      <c r="K3046" t="n">
        <v>0</v>
      </c>
      <c r="L3046" t="n">
        <v>1</v>
      </c>
      <c r="M3046" t="n">
        <v>0</v>
      </c>
      <c r="N3046" t="n">
        <v>0</v>
      </c>
      <c r="O3046" t="n">
        <v>0</v>
      </c>
      <c r="P3046">
        <f>HYPERLINK("https://www.acritica.com/a-forca-de-um-boato-1.150516", "URL")</f>
        <v/>
      </c>
      <c r="Q3046">
        <f>HYPERLINK("https://raw.githubusercontent.com/marcosmapl/dataset_imigrantes/main/materias_filtered/a_critica/haitianos/2014/03_abr/html/1.150516_143.html", "HTML")</f>
        <v/>
      </c>
      <c r="R3046">
        <f>HYPERLINK("https://raw.githubusercontent.com/marcosmapl/dataset_imigrantes/main/materias_filtered/a_critica/haitianos/2014/03_abr/txt/1.150516_143.txt", "TXT")</f>
        <v/>
      </c>
    </row>
    <row r="3047">
      <c r="A3047" s="1" t="n">
        <v>3045</v>
      </c>
      <c r="B3047" t="n">
        <v>2014</v>
      </c>
      <c r="C3047" s="2" t="n">
        <v>41755.01180555556</v>
      </c>
      <c r="D3047" t="inlineStr">
        <is>
          <t>G1</t>
        </is>
      </c>
      <c r="E3047" t="inlineStr">
        <is>
          <t>HAITIANOS</t>
        </is>
      </c>
      <c r="F3047" t="inlineStr"/>
      <c r="G3047" t="inlineStr">
        <is>
          <t xml:space="preserve"> ROBERTO BURNIERSÃO PAULO, SP</t>
        </is>
      </c>
      <c r="H3047" t="inlineStr">
        <is>
          <t>MINISTÉRIO DO TRABALHO LEVA CARTEIRAS DE TRABALHO A HAITIANOS EM SÃO PAULO</t>
        </is>
      </c>
      <c r="I3047" t="inlineStr"/>
      <c r="J3047" t="inlineStr"/>
      <c r="K3047" t="n">
        <v>0</v>
      </c>
      <c r="L3047" t="n">
        <v>0</v>
      </c>
      <c r="M3047" t="n">
        <v>0</v>
      </c>
      <c r="N3047" t="n">
        <v>0</v>
      </c>
      <c r="O3047" t="n">
        <v>5</v>
      </c>
      <c r="P3047">
        <f>HYPERLINK("http://g1.globo.com/jornal-da-globo/noticia/2014/04/ministerio-do-trabalho-leva-carteiras-de-trabalho-haitianos-em-sao-paulo.html", "URL")</f>
        <v/>
      </c>
      <c r="Q3047">
        <f>HYPERLINK("https://raw.githubusercontent.com/marcosmapl/dataset_imigrantes/main/materias_filtered/g1/haitianos/2014/03_abr/html/g1_9363cc00-22f8-11ed-b24f-6dbe51e79fca_2144.html", "HTML")</f>
        <v/>
      </c>
      <c r="R3047">
        <f>HYPERLINK("https://raw.githubusercontent.com/marcosmapl/dataset_imigrantes/main/materias_filtered/g1/haitianos/2014/03_abr/txt/g1_9363cc00-22f8-11ed-b24f-6dbe51e79fca_2144.txt", "TXT")</f>
        <v/>
      </c>
    </row>
    <row r="3048">
      <c r="A3048" s="1" t="n">
        <v>3046</v>
      </c>
      <c r="B3048" t="n">
        <v>2014</v>
      </c>
      <c r="C3048" s="2" t="n">
        <v>41754.61111111111</v>
      </c>
      <c r="D3048" t="inlineStr">
        <is>
          <t>G1</t>
        </is>
      </c>
      <c r="E3048" t="inlineStr">
        <is>
          <t>HAITIANOS</t>
        </is>
      </c>
      <c r="F3048" t="inlineStr"/>
      <c r="G3048" t="inlineStr">
        <is>
          <t xml:space="preserve"> MARCELDO G1 AC</t>
        </is>
      </c>
      <c r="H3048" t="inlineStr">
        <is>
          <t>EM CARTA, BISPO DO AC PEDE AJUDA DO PAPA PARA IMIGRANTES HAITIANOS</t>
        </is>
      </c>
      <c r="I3048" t="inlineStr"/>
      <c r="J3048" t="inlineStr">
        <is>
          <t>RIO BRANCO, HAITI, PAPA FRANCISCO, VATICANO, SÃO PAULO</t>
        </is>
      </c>
      <c r="K3048" t="n">
        <v>5</v>
      </c>
      <c r="L3048" t="n">
        <v>5</v>
      </c>
      <c r="M3048" t="n">
        <v>0</v>
      </c>
      <c r="N3048" t="n">
        <v>0</v>
      </c>
      <c r="O3048" t="n">
        <v>24</v>
      </c>
      <c r="P3048">
        <f>HYPERLINK("http://g1.globo.com/ac/acre/noticia/2014/04/em-carta-bispo-do-ac-pede-ajuda-do-papa-para-imigrantes-haitianos.html", "URL")</f>
        <v/>
      </c>
      <c r="Q3048">
        <f>HYPERLINK("https://raw.githubusercontent.com/marcosmapl/dataset_imigrantes/main/materias_filtered/g1/haitianos/2014/03_abr/html/g1_1b70c69c-22f5-11ed-b24f-6dbe51e79fca_1931.html", "HTML")</f>
        <v/>
      </c>
      <c r="R3048">
        <f>HYPERLINK("https://raw.githubusercontent.com/marcosmapl/dataset_imigrantes/main/materias_filtered/g1/haitianos/2014/03_abr/txt/g1_1b70c69c-22f5-11ed-b24f-6dbe51e79fca_1931.txt", "TXT")</f>
        <v/>
      </c>
    </row>
    <row r="3049">
      <c r="A3049" s="1" t="n">
        <v>3047</v>
      </c>
      <c r="B3049" t="n">
        <v>2014</v>
      </c>
      <c r="C3049" s="2" t="n">
        <v>41754.27013888889</v>
      </c>
      <c r="D3049" t="inlineStr">
        <is>
          <t>G1</t>
        </is>
      </c>
      <c r="E3049" t="inlineStr">
        <is>
          <t>HAITIANOS</t>
        </is>
      </c>
      <c r="F3049" t="inlineStr"/>
      <c r="G3049" t="inlineStr">
        <is>
          <t>CIA MACEDODO G1 SÃO PAULO</t>
        </is>
      </c>
      <c r="H3049" t="inlineStr">
        <is>
          <t>VOLUNTÁRIOS ESTRANGEIROS PREPARAM ALMOÇOS PARA HAITIANOS EM SP</t>
        </is>
      </c>
      <c r="I3049" t="inlineStr"/>
      <c r="J3049" t="inlineStr">
        <is>
          <t>SÃO PAULO</t>
        </is>
      </c>
      <c r="K3049" t="n">
        <v>1</v>
      </c>
      <c r="L3049" t="n">
        <v>4</v>
      </c>
      <c r="M3049" t="n">
        <v>0</v>
      </c>
      <c r="N3049" t="n">
        <v>0</v>
      </c>
      <c r="O3049" t="n">
        <v>16</v>
      </c>
      <c r="P3049">
        <f>HYPERLINK("http://g1.globo.com/sao-paulo/noticia/2014/04/voluntarios-estrangeiros-preparam-almocos-para-haitianos-em-sp.html", "URL")</f>
        <v/>
      </c>
      <c r="Q3049">
        <f>HYPERLINK("https://raw.githubusercontent.com/marcosmapl/dataset_imigrantes/main/materias_filtered/g1/haitianos/2014/03_abr/html/g1_06cb987e-22f6-11ed-b24f-6dbe51e79fca_1988.html", "HTML")</f>
        <v/>
      </c>
      <c r="R3049">
        <f>HYPERLINK("https://raw.githubusercontent.com/marcosmapl/dataset_imigrantes/main/materias_filtered/g1/haitianos/2014/03_abr/txt/g1_06cb987e-22f6-11ed-b24f-6dbe51e79fca_1988.txt", "TXT")</f>
        <v/>
      </c>
    </row>
    <row r="3050">
      <c r="A3050" s="1" t="n">
        <v>3048</v>
      </c>
      <c r="B3050" t="n">
        <v>2014</v>
      </c>
      <c r="C3050" s="2" t="n">
        <v>41753.80277777778</v>
      </c>
      <c r="D3050" t="inlineStr">
        <is>
          <t>G1</t>
        </is>
      </c>
      <c r="E3050" t="inlineStr">
        <is>
          <t>HAITIANOS</t>
        </is>
      </c>
      <c r="F3050" t="inlineStr"/>
      <c r="G3050" t="inlineStr">
        <is>
          <t>1 SÃO PAULO</t>
        </is>
      </c>
      <c r="H3050" t="inlineStr">
        <is>
          <t>SECRETÁRIA DE JUSTIÇA DE SP DIZ QUE ACRE FOI 'IRRESPONSÁVEL' COM HAITIANOS</t>
        </is>
      </c>
      <c r="I3050" t="inlineStr"/>
      <c r="J3050" t="inlineStr">
        <is>
          <t>SÃO PAULO</t>
        </is>
      </c>
      <c r="K3050" t="n">
        <v>1</v>
      </c>
      <c r="L3050" t="n">
        <v>3</v>
      </c>
      <c r="M3050" t="n">
        <v>0</v>
      </c>
      <c r="N3050" t="n">
        <v>0</v>
      </c>
      <c r="O3050" t="n">
        <v>13</v>
      </c>
      <c r="P3050">
        <f>HYPERLINK("http://g1.globo.com/sao-paulo/noticia/2014/04/secretaria-de-justica-de-sp-diz-que-acre-foi-irresponsavel-com-haitianos.html", "URL")</f>
        <v/>
      </c>
      <c r="Q3050">
        <f>HYPERLINK("https://raw.githubusercontent.com/marcosmapl/dataset_imigrantes/main/materias_filtered/g1/haitianos/2014/03_abr/html/g1_21750594-22fa-11ed-b24f-6dbe51e79fca_2200.html", "HTML")</f>
        <v/>
      </c>
      <c r="R3050">
        <f>HYPERLINK("https://raw.githubusercontent.com/marcosmapl/dataset_imigrantes/main/materias_filtered/g1/haitianos/2014/03_abr/txt/g1_21750594-22fa-11ed-b24f-6dbe51e79fca_2200.txt", "TXT")</f>
        <v/>
      </c>
    </row>
    <row r="3051">
      <c r="A3051" s="1" t="n">
        <v>3049</v>
      </c>
      <c r="B3051" t="n">
        <v>2014</v>
      </c>
      <c r="C3051" s="2" t="n">
        <v>41753.27291666667</v>
      </c>
      <c r="D3051" t="inlineStr">
        <is>
          <t>G1</t>
        </is>
      </c>
      <c r="E3051" t="inlineStr">
        <is>
          <t>HAITIANOS</t>
        </is>
      </c>
      <c r="F3051" t="inlineStr"/>
      <c r="G3051" t="inlineStr">
        <is>
          <t>CIA MACEDODO G1 SÃO PAULO</t>
        </is>
      </c>
      <c r="H3051" t="inlineStr">
        <is>
          <t>PROPOSTAS DE EMPREGO MOBILIZAM HAITIANOS EM PÁTIO DE IGREJA EM SP</t>
        </is>
      </c>
      <c r="I3051" t="inlineStr"/>
      <c r="J3051" t="inlineStr">
        <is>
          <t>SÃO PAULO</t>
        </is>
      </c>
      <c r="K3051" t="n">
        <v>1</v>
      </c>
      <c r="L3051" t="n">
        <v>4</v>
      </c>
      <c r="M3051" t="n">
        <v>0</v>
      </c>
      <c r="N3051" t="n">
        <v>0</v>
      </c>
      <c r="O3051" t="n">
        <v>14</v>
      </c>
      <c r="P3051">
        <f>HYPERLINK("http://g1.globo.com/sao-paulo/noticia/2014/04/propostas-de-emprego-mobilizam-haitianos-em-patio-de-igreja-em-sp.html", "URL")</f>
        <v/>
      </c>
      <c r="Q3051">
        <f>HYPERLINK("https://raw.githubusercontent.com/marcosmapl/dataset_imigrantes/main/materias_filtered/g1/haitianos/2014/03_abr/html/g1_17326e12-22ed-11ed-b24f-6dbe51e79fca_1678.html", "HTML")</f>
        <v/>
      </c>
      <c r="R3051">
        <f>HYPERLINK("https://raw.githubusercontent.com/marcosmapl/dataset_imigrantes/main/materias_filtered/g1/haitianos/2014/03_abr/txt/g1_17326e12-22ed-11ed-b24f-6dbe51e79fca_1678.txt", "TXT")</f>
        <v/>
      </c>
    </row>
    <row r="3052">
      <c r="A3052" s="1" t="n">
        <v>3050</v>
      </c>
      <c r="B3052" t="n">
        <v>2014</v>
      </c>
      <c r="C3052" s="2" t="n">
        <v>41751.85138888889</v>
      </c>
      <c r="D3052" t="inlineStr">
        <is>
          <t>G1</t>
        </is>
      </c>
      <c r="E3052" t="inlineStr">
        <is>
          <t>HAITIANOS</t>
        </is>
      </c>
      <c r="F3052" t="inlineStr"/>
      <c r="G3052" t="inlineStr">
        <is>
          <t>A MACHADODO G1 SÃO PAULO</t>
        </is>
      </c>
      <c r="H3052" t="inlineStr">
        <is>
          <t>PARÓQUIA EM SP VIRA REFERÊNCIA PARA CENTENAS DE HAITIANOS VINDOS DO ACRE</t>
        </is>
      </c>
      <c r="I3052" t="inlineStr"/>
      <c r="J3052" t="inlineStr"/>
      <c r="K3052" t="n">
        <v>0</v>
      </c>
      <c r="L3052" t="n">
        <v>2</v>
      </c>
      <c r="M3052" t="n">
        <v>0</v>
      </c>
      <c r="N3052" t="n">
        <v>0</v>
      </c>
      <c r="O3052" t="n">
        <v>7</v>
      </c>
      <c r="P3052">
        <f>HYPERLINK("http://g1.globo.com/sao-paulo/noticia/2014/04/paroquia-em-sp-vira-referencia-para-centenas-de-haitianos-vindos-do-acre.html", "URL")</f>
        <v/>
      </c>
      <c r="Q3052">
        <f>HYPERLINK("https://raw.githubusercontent.com/marcosmapl/dataset_imigrantes/main/materias_filtered/g1/haitianos/2014/03_abr/html/g1_aaf7b586-22f6-11ed-b24f-6dbe51e79fca_2028.html", "HTML")</f>
        <v/>
      </c>
      <c r="R3052">
        <f>HYPERLINK("https://raw.githubusercontent.com/marcosmapl/dataset_imigrantes/main/materias_filtered/g1/haitianos/2014/03_abr/txt/g1_aaf7b586-22f6-11ed-b24f-6dbe51e79fca_2028.txt", "TXT")</f>
        <v/>
      </c>
    </row>
    <row r="3053">
      <c r="A3053" s="1" t="n">
        <v>3051</v>
      </c>
      <c r="B3053" t="n">
        <v>2014</v>
      </c>
      <c r="C3053" s="2" t="n">
        <v>41751.29166666666</v>
      </c>
      <c r="D3053" t="inlineStr">
        <is>
          <t>G1</t>
        </is>
      </c>
      <c r="E3053" t="inlineStr">
        <is>
          <t>VENEZUELANOS</t>
        </is>
      </c>
      <c r="F3053" t="inlineStr"/>
      <c r="G3053" t="inlineStr"/>
      <c r="H3053" t="inlineStr">
        <is>
          <t>VENEZUELANAS ARRISCAM SAÚDE COM INJEÇÕES DE SILICONE NAS NÁDEGAS</t>
        </is>
      </c>
      <c r="I3053" t="inlineStr"/>
      <c r="J3053" t="inlineStr">
        <is>
          <t>VENEZUELA</t>
        </is>
      </c>
      <c r="K3053" t="n">
        <v>1</v>
      </c>
      <c r="L3053" t="n">
        <v>8</v>
      </c>
      <c r="M3053" t="n">
        <v>0</v>
      </c>
      <c r="N3053" t="n">
        <v>0</v>
      </c>
      <c r="O3053" t="n">
        <v>13</v>
      </c>
      <c r="P3053">
        <f>HYPERLINK("http://g1.globo.com/ciencia-e-saude/noticia/2014/04/venezuelanas-arriscam-saude-com-injecoes-de-silicone-nas-nadegas.html", "URL")</f>
        <v/>
      </c>
      <c r="Q3053">
        <f>HYPERLINK("https://raw.githubusercontent.com/marcosmapl/dataset_imigrantes/main/materias_filtered/g1/venezuelanos/2014/03_abr/html/g1_47b95774-2326-11ed-b24f-6dbe51e79fca_3966.html", "HTML")</f>
        <v/>
      </c>
      <c r="R3053">
        <f>HYPERLINK("https://raw.githubusercontent.com/marcosmapl/dataset_imigrantes/main/materias_filtered/g1/venezuelanos/2014/03_abr/txt/g1_47b95774-2326-11ed-b24f-6dbe51e79fca_3966.txt", "TXT")</f>
        <v/>
      </c>
    </row>
    <row r="3054">
      <c r="A3054" s="1" t="n">
        <v>3052</v>
      </c>
      <c r="B3054" t="n">
        <v>2014</v>
      </c>
      <c r="C3054" s="2" t="n">
        <v>41749.45347222222</v>
      </c>
      <c r="D3054" t="inlineStr">
        <is>
          <t>G1</t>
        </is>
      </c>
      <c r="E3054" t="inlineStr">
        <is>
          <t>HAITIANOS</t>
        </is>
      </c>
      <c r="F3054" t="inlineStr"/>
      <c r="G3054" t="inlineStr">
        <is>
          <t>ANA RIBEIRODO G1 AC</t>
        </is>
      </c>
      <c r="H3054" t="inlineStr">
        <is>
          <t>NO ACRE DESDE 2010, PADRE HAITIANO É VOLUNTÁRIO EM ABRIGO DE IMIGRANTES</t>
        </is>
      </c>
      <c r="I3054" t="inlineStr"/>
      <c r="J3054" t="inlineStr">
        <is>
          <t>RIO BRANCO</t>
        </is>
      </c>
      <c r="K3054" t="n">
        <v>1</v>
      </c>
      <c r="L3054" t="n">
        <v>6</v>
      </c>
      <c r="M3054" t="n">
        <v>0</v>
      </c>
      <c r="N3054" t="n">
        <v>0</v>
      </c>
      <c r="O3054" t="n">
        <v>10</v>
      </c>
      <c r="P3054">
        <f>HYPERLINK("http://g1.globo.com/ac/acre/noticia/2014/04/no-acre-desde-2010-padre-haitiano-e-voluntario-em-abrigo-de-imigrantes.html", "URL")</f>
        <v/>
      </c>
      <c r="Q3054">
        <f>HYPERLINK("https://raw.githubusercontent.com/marcosmapl/dataset_imigrantes/main/materias_filtered/g1/haitianos/2014/03_abr/html/g1_3a4331ac-2310-11ed-b24f-6dbe51e79fca_2847.html", "HTML")</f>
        <v/>
      </c>
      <c r="R3054">
        <f>HYPERLINK("https://raw.githubusercontent.com/marcosmapl/dataset_imigrantes/main/materias_filtered/g1/haitianos/2014/03_abr/txt/g1_3a4331ac-2310-11ed-b24f-6dbe51e79fca_2847.txt", "TXT")</f>
        <v/>
      </c>
    </row>
    <row r="3055">
      <c r="A3055" s="1" t="n">
        <v>3053</v>
      </c>
      <c r="B3055" t="n">
        <v>2014</v>
      </c>
      <c r="C3055" s="2" t="n">
        <v>41744.83680555555</v>
      </c>
      <c r="D3055" t="inlineStr">
        <is>
          <t>G1</t>
        </is>
      </c>
      <c r="E3055" t="inlineStr">
        <is>
          <t>VENEZUELANOS</t>
        </is>
      </c>
      <c r="F3055" t="inlineStr"/>
      <c r="G3055" t="inlineStr">
        <is>
          <t>1 REGIÃO DOS LAGOS</t>
        </is>
      </c>
      <c r="H3055" t="inlineStr">
        <is>
          <t>VENEZUELANA RELATA MOMENTOS DE TERROR APÓS TENTATIVA DE ESTUPRO</t>
        </is>
      </c>
      <c r="I3055" t="inlineStr"/>
      <c r="J3055" t="inlineStr">
        <is>
          <t>CABO FRIO, RIO DE JANEIRO</t>
        </is>
      </c>
      <c r="K3055" t="n">
        <v>2</v>
      </c>
      <c r="L3055" t="n">
        <v>1</v>
      </c>
      <c r="M3055" t="n">
        <v>0</v>
      </c>
      <c r="N3055" t="n">
        <v>0</v>
      </c>
      <c r="O3055" t="n">
        <v>10</v>
      </c>
      <c r="P3055">
        <f>HYPERLINK("http://g1.globo.com/rj/regiao-dos-lagos/noticia/2014/04/venezuelana-relata-momentos-de-terror-apos-tentativa-de-estupro.html", "URL")</f>
        <v/>
      </c>
      <c r="Q3055">
        <f>HYPERLINK("https://raw.githubusercontent.com/marcosmapl/dataset_imigrantes/main/materias_filtered/g1/venezuelanos/2014/03_abr/html/g1_db8d1cf8-2315-11ed-b24f-6dbe51e79fca_3110.html", "HTML")</f>
        <v/>
      </c>
      <c r="R3055">
        <f>HYPERLINK("https://raw.githubusercontent.com/marcosmapl/dataset_imigrantes/main/materias_filtered/g1/venezuelanos/2014/03_abr/txt/g1_db8d1cf8-2315-11ed-b24f-6dbe51e79fca_3110.txt", "TXT")</f>
        <v/>
      </c>
    </row>
    <row r="3056">
      <c r="A3056" s="1" t="n">
        <v>3054</v>
      </c>
      <c r="B3056" t="n">
        <v>2014</v>
      </c>
      <c r="C3056" s="2" t="n">
        <v>41744.67569444444</v>
      </c>
      <c r="D3056" t="inlineStr">
        <is>
          <t>G1</t>
        </is>
      </c>
      <c r="E3056" t="inlineStr">
        <is>
          <t>HAITIANOS</t>
        </is>
      </c>
      <c r="F3056" t="inlineStr"/>
      <c r="G3056" t="inlineStr">
        <is>
          <t>YANA ARAÚJODO G1 MT</t>
        </is>
      </c>
      <c r="H3056" t="inlineStr">
        <is>
          <t>MAIS DE 2 MIL HAITIANOS MIGRAM PARA CUIABÁ EM BUSCA DE TRABALHO</t>
        </is>
      </c>
      <c r="I3056" t="inlineStr"/>
      <c r="J3056" t="inlineStr">
        <is>
          <t>CUIABÁ</t>
        </is>
      </c>
      <c r="K3056" t="n">
        <v>1</v>
      </c>
      <c r="L3056" t="n">
        <v>5</v>
      </c>
      <c r="M3056" t="n">
        <v>0</v>
      </c>
      <c r="N3056" t="n">
        <v>0</v>
      </c>
      <c r="O3056" t="n">
        <v>11</v>
      </c>
      <c r="P3056">
        <f>HYPERLINK("http://g1.globo.com/mato-grosso/noticia/2014/04/mais-de-2-mil-haitianos-migram-para-cuiaba-em-busca-de-trabalho.html", "URL")</f>
        <v/>
      </c>
      <c r="Q3056">
        <f>HYPERLINK("https://raw.githubusercontent.com/marcosmapl/dataset_imigrantes/main/materias_filtered/g1/haitianos/2014/03_abr/html/g1_244a0346-22fa-11ed-b24f-6dbe51e79fca_2201.html", "HTML")</f>
        <v/>
      </c>
      <c r="R3056">
        <f>HYPERLINK("https://raw.githubusercontent.com/marcosmapl/dataset_imigrantes/main/materias_filtered/g1/haitianos/2014/03_abr/txt/g1_244a0346-22fa-11ed-b24f-6dbe51e79fca_2201.txt", "TXT")</f>
        <v/>
      </c>
    </row>
    <row r="3057">
      <c r="A3057" s="1" t="n">
        <v>3055</v>
      </c>
      <c r="B3057" t="n">
        <v>2014</v>
      </c>
      <c r="C3057" s="2" t="n">
        <v>41743.625</v>
      </c>
      <c r="D3057" t="inlineStr">
        <is>
          <t>G1</t>
        </is>
      </c>
      <c r="E3057" t="inlineStr">
        <is>
          <t>VENEZUELANOS</t>
        </is>
      </c>
      <c r="F3057" t="inlineStr"/>
      <c r="G3057" t="inlineStr">
        <is>
          <t>FE</t>
        </is>
      </c>
      <c r="H3057" t="inlineStr">
        <is>
          <t>SEQUESTRO DE JORNALISTA VENEZUELANA PODE TER SIDO POLÍTICO, DIZ MINISTRO</t>
        </is>
      </c>
      <c r="I3057" t="inlineStr"/>
      <c r="J3057" t="inlineStr"/>
      <c r="K3057" t="n">
        <v>0</v>
      </c>
      <c r="L3057" t="n">
        <v>6</v>
      </c>
      <c r="M3057" t="n">
        <v>0</v>
      </c>
      <c r="N3057" t="n">
        <v>0</v>
      </c>
      <c r="O3057" t="n">
        <v>10</v>
      </c>
      <c r="P3057">
        <f>HYPERLINK("http://g1.globo.com/mundo/noticia/2014/04/sequestro-de-jornalista-venezuelana-pode-ter-sido-politico-diz-ministro.html", "URL")</f>
        <v/>
      </c>
      <c r="Q3057">
        <f>HYPERLINK("https://raw.githubusercontent.com/marcosmapl/dataset_imigrantes/main/materias_filtered/g1/venezuelanos/2014/03_abr/html/g1_e5a66e8a-231d-11ed-b24f-6dbe51e79fca_3527.html", "HTML")</f>
        <v/>
      </c>
      <c r="R3057">
        <f>HYPERLINK("https://raw.githubusercontent.com/marcosmapl/dataset_imigrantes/main/materias_filtered/g1/venezuelanos/2014/03_abr/txt/g1_e5a66e8a-231d-11ed-b24f-6dbe51e79fca_3527.txt", "TXT")</f>
        <v/>
      </c>
    </row>
    <row r="3058">
      <c r="A3058" s="1" t="n">
        <v>3056</v>
      </c>
      <c r="B3058" t="n">
        <v>2014</v>
      </c>
      <c r="C3058" s="2" t="n">
        <v>41743.45833333334</v>
      </c>
      <c r="D3058" t="inlineStr">
        <is>
          <t>G1</t>
        </is>
      </c>
      <c r="E3058" t="inlineStr">
        <is>
          <t>VENEZUELANOS</t>
        </is>
      </c>
      <c r="F3058" t="inlineStr"/>
      <c r="G3058" t="inlineStr">
        <is>
          <t>RANCE PRESSE</t>
        </is>
      </c>
      <c r="H3058" t="inlineStr">
        <is>
          <t>JORNALISTA VENEZUELANA É ENCONTRADA APÓS PASSAR OITO DIAS SEQUESTRADA</t>
        </is>
      </c>
      <c r="I3058" t="inlineStr"/>
      <c r="J3058" t="inlineStr">
        <is>
          <t>VENEZUELA</t>
        </is>
      </c>
      <c r="K3058" t="n">
        <v>1</v>
      </c>
      <c r="L3058" t="n">
        <v>5</v>
      </c>
      <c r="M3058" t="n">
        <v>0</v>
      </c>
      <c r="N3058" t="n">
        <v>0</v>
      </c>
      <c r="O3058" t="n">
        <v>10</v>
      </c>
      <c r="P3058">
        <f>HYPERLINK("http://g1.globo.com/mundo/noticia/2014/04/jornalista-venezuelana-e-encontrada-apos-passar-oito-dias-sequestrada.html", "URL")</f>
        <v/>
      </c>
      <c r="Q3058">
        <f>HYPERLINK("https://raw.githubusercontent.com/marcosmapl/dataset_imigrantes/main/materias_filtered/g1/venezuelanos/2014/03_abr/html/g1_19518986-231e-11ed-b24f-6dbe51e79fca_3540.html", "HTML")</f>
        <v/>
      </c>
      <c r="R3058">
        <f>HYPERLINK("https://raw.githubusercontent.com/marcosmapl/dataset_imigrantes/main/materias_filtered/g1/venezuelanos/2014/03_abr/txt/g1_19518986-231e-11ed-b24f-6dbe51e79fca_3540.txt", "TXT")</f>
        <v/>
      </c>
    </row>
    <row r="3059">
      <c r="A3059" s="1" t="n">
        <v>3057</v>
      </c>
      <c r="B3059" t="n">
        <v>2014</v>
      </c>
      <c r="C3059" s="2" t="n">
        <v>41740.79166666666</v>
      </c>
      <c r="D3059" t="inlineStr">
        <is>
          <t>G1</t>
        </is>
      </c>
      <c r="E3059" t="inlineStr">
        <is>
          <t>VENEZUELANOS</t>
        </is>
      </c>
      <c r="F3059" t="inlineStr"/>
      <c r="G3059" t="inlineStr">
        <is>
          <t>FP</t>
        </is>
      </c>
      <c r="H3059" t="inlineStr">
        <is>
          <t>OPOSITORA VENEZUELANA REAFIRMA QUE NÃO PARTICIPARÁ DE NEGOCIAÇÕES</t>
        </is>
      </c>
      <c r="I3059" t="inlineStr"/>
      <c r="J3059" t="inlineStr">
        <is>
          <t>VENEZUELA</t>
        </is>
      </c>
      <c r="K3059" t="n">
        <v>1</v>
      </c>
      <c r="L3059" t="n">
        <v>5</v>
      </c>
      <c r="M3059" t="n">
        <v>0</v>
      </c>
      <c r="N3059" t="n">
        <v>0</v>
      </c>
      <c r="O3059" t="n">
        <v>13</v>
      </c>
      <c r="P3059">
        <f>HYPERLINK("http://g1.globo.com/mundo/noticia/2014/04/opositora-venezuelana-reafirma-que-nao-participara-de-negociacoes.html", "URL")</f>
        <v/>
      </c>
      <c r="Q3059">
        <f>HYPERLINK("https://raw.githubusercontent.com/marcosmapl/dataset_imigrantes/main/materias_filtered/g1/venezuelanos/2014/03_abr/html/g1_963830b6-2329-11ed-b24f-6dbe51e79fca_4126.html", "HTML")</f>
        <v/>
      </c>
      <c r="R3059">
        <f>HYPERLINK("https://raw.githubusercontent.com/marcosmapl/dataset_imigrantes/main/materias_filtered/g1/venezuelanos/2014/03_abr/txt/g1_963830b6-2329-11ed-b24f-6dbe51e79fca_4126.txt", "TXT")</f>
        <v/>
      </c>
    </row>
    <row r="3060">
      <c r="A3060" s="1" t="n">
        <v>3058</v>
      </c>
      <c r="B3060" t="n">
        <v>2014</v>
      </c>
      <c r="C3060" s="2" t="n">
        <v>41740.59148148148</v>
      </c>
      <c r="D3060" t="inlineStr">
        <is>
          <t>A CRITICA</t>
        </is>
      </c>
      <c r="E3060" t="inlineStr">
        <is>
          <t>VENEZUELANOS</t>
        </is>
      </c>
      <c r="F3060" t="inlineStr"/>
      <c r="G3060" t="inlineStr">
        <is>
          <t>JORNAL A CRÍTICA</t>
        </is>
      </c>
      <c r="H3060" t="inlineStr">
        <is>
          <t>EXPORTAÇÕES DO AMAZONAS REGISTRAM QUEDA DE 4,57% NO PRIMEIRO TRIMESTRE DE 2014</t>
        </is>
      </c>
      <c r="I3060" t="inlineStr">
        <is>
          <t>PRINCIPAL ‘VILÃ’ DA QUEDA REGISTRADA EM 2014 FOI REDUÇÃO DO COMÉRCIO COM A VENEZUELA. O VOLUME EXPORTADO POR EMPRESAS NO AMAZONAS FOI DE US$ 234,22 MILHÕES</t>
        </is>
      </c>
      <c r="J3060" t="inlineStr"/>
      <c r="K3060" t="n">
        <v>0</v>
      </c>
      <c r="L3060" t="n">
        <v>1</v>
      </c>
      <c r="M3060" t="n">
        <v>0</v>
      </c>
      <c r="N3060" t="n">
        <v>0</v>
      </c>
      <c r="O3060" t="n">
        <v>0</v>
      </c>
      <c r="P3060">
        <f>HYPERLINK("https://www.acritica.com/exportac-es-do-amazonas-registram-queda-de-4-57-no-primeiro-trimestre-de-2014-1.150872", "URL")</f>
        <v/>
      </c>
      <c r="Q3060">
        <f>HYPERLINK("https://raw.githubusercontent.com/marcosmapl/dataset_imigrantes/main/materias_filtered/a_critica/venezuelanos/2014/03_abr/html/1.150872_144.html", "HTML")</f>
        <v/>
      </c>
      <c r="R3060">
        <f>HYPERLINK("https://raw.githubusercontent.com/marcosmapl/dataset_imigrantes/main/materias_filtered/a_critica/venezuelanos/2014/03_abr/txt/1.150872_144.txt", "TXT")</f>
        <v/>
      </c>
    </row>
    <row r="3061">
      <c r="A3061" s="1" t="n">
        <v>3059</v>
      </c>
      <c r="B3061" t="n">
        <v>2014</v>
      </c>
      <c r="C3061" s="2" t="n">
        <v>41738.04513888889</v>
      </c>
      <c r="D3061" t="inlineStr">
        <is>
          <t>G1</t>
        </is>
      </c>
      <c r="E3061" t="inlineStr">
        <is>
          <t>VENEZUELANOS</t>
        </is>
      </c>
      <c r="F3061" t="inlineStr"/>
      <c r="G3061" t="inlineStr">
        <is>
          <t>RANCE PRESSE</t>
        </is>
      </c>
      <c r="H3061" t="inlineStr">
        <is>
          <t>MADURO DESCARTA 'NEGOCIAÇÃO' COM OPOSIÇÃO VENEZUELANA</t>
        </is>
      </c>
      <c r="I3061" t="inlineStr"/>
      <c r="J3061" t="inlineStr">
        <is>
          <t>NICOLÁS MADURO, VENEZUELA</t>
        </is>
      </c>
      <c r="K3061" t="n">
        <v>2</v>
      </c>
      <c r="L3061" t="n">
        <v>5</v>
      </c>
      <c r="M3061" t="n">
        <v>0</v>
      </c>
      <c r="N3061" t="n">
        <v>0</v>
      </c>
      <c r="O3061" t="n">
        <v>12</v>
      </c>
      <c r="P3061">
        <f>HYPERLINK("http://g1.globo.com/mundo/noticia/2014/04/maduro-descarta-negociacao-com-oposicao-venezuelana.html", "URL")</f>
        <v/>
      </c>
      <c r="Q3061">
        <f>HYPERLINK("https://raw.githubusercontent.com/marcosmapl/dataset_imigrantes/main/materias_filtered/g1/venezuelanos/2014/03_abr/html/g1_bdbd413e-230c-11ed-b24f-6dbe51e79fca_2644.html", "HTML")</f>
        <v/>
      </c>
      <c r="R3061">
        <f>HYPERLINK("https://raw.githubusercontent.com/marcosmapl/dataset_imigrantes/main/materias_filtered/g1/venezuelanos/2014/03_abr/txt/g1_bdbd413e-230c-11ed-b24f-6dbe51e79fca_2644.txt", "TXT")</f>
        <v/>
      </c>
    </row>
    <row r="3062">
      <c r="A3062" s="1" t="n">
        <v>3060</v>
      </c>
      <c r="B3062" t="n">
        <v>2014</v>
      </c>
      <c r="C3062" s="2" t="n">
        <v>41736.76041666666</v>
      </c>
      <c r="D3062" t="inlineStr">
        <is>
          <t>G1</t>
        </is>
      </c>
      <c r="E3062" t="inlineStr">
        <is>
          <t>VENEZUELANOS</t>
        </is>
      </c>
      <c r="F3062" t="inlineStr"/>
      <c r="G3062" t="inlineStr">
        <is>
          <t>1, EM SÃO PAULO</t>
        </is>
      </c>
      <c r="H3062" t="inlineStr">
        <is>
          <t>A PEDIDO DA UNASUL, MADURO ACEITA SE REUNIR COM OPOSIÇÃO VENEZUELANA</t>
        </is>
      </c>
      <c r="I3062" t="inlineStr"/>
      <c r="J3062" t="inlineStr"/>
      <c r="K3062" t="n">
        <v>0</v>
      </c>
      <c r="L3062" t="n">
        <v>4</v>
      </c>
      <c r="M3062" t="n">
        <v>0</v>
      </c>
      <c r="N3062" t="n">
        <v>0</v>
      </c>
      <c r="O3062" t="n">
        <v>10</v>
      </c>
      <c r="P3062">
        <f>HYPERLINK("http://g1.globo.com/mundo/noticia/2014/04/maduro-aceita-se-reunir-com-oposicao-pedido-da-unasul.html", "URL")</f>
        <v/>
      </c>
      <c r="Q3062">
        <f>HYPERLINK("https://raw.githubusercontent.com/marcosmapl/dataset_imigrantes/main/materias_filtered/g1/venezuelanos/2014/03_abr/html/g1_7db8c47c-2321-11ed-b24f-6dbe51e79fca_3703.html", "HTML")</f>
        <v/>
      </c>
      <c r="R3062">
        <f>HYPERLINK("https://raw.githubusercontent.com/marcosmapl/dataset_imigrantes/main/materias_filtered/g1/venezuelanos/2014/03_abr/txt/g1_7db8c47c-2321-11ed-b24f-6dbe51e79fca_3703.txt", "TXT")</f>
        <v/>
      </c>
    </row>
    <row r="3063">
      <c r="A3063" s="1" t="n">
        <v>3061</v>
      </c>
      <c r="B3063" t="n">
        <v>2014</v>
      </c>
      <c r="C3063" s="2" t="n">
        <v>41735.49375</v>
      </c>
      <c r="D3063" t="inlineStr">
        <is>
          <t>G1</t>
        </is>
      </c>
      <c r="E3063" t="inlineStr">
        <is>
          <t>HAITIANOS</t>
        </is>
      </c>
      <c r="F3063" t="inlineStr"/>
      <c r="G3063" t="inlineStr">
        <is>
          <t>1 AC</t>
        </is>
      </c>
      <c r="H3063" t="inlineStr">
        <is>
          <t>VOCÊ VIU? ALUNO FERE POLICIAL, HAITIANOS SAEM DO ACRE E MAIS NOTÍCIAS</t>
        </is>
      </c>
      <c r="I3063" t="inlineStr"/>
      <c r="J3063" t="inlineStr"/>
      <c r="K3063" t="n">
        <v>0</v>
      </c>
      <c r="L3063" t="n">
        <v>6</v>
      </c>
      <c r="M3063" t="n">
        <v>0</v>
      </c>
      <c r="N3063" t="n">
        <v>0</v>
      </c>
      <c r="O3063" t="n">
        <v>28</v>
      </c>
      <c r="P3063">
        <f>HYPERLINK("http://g1.globo.com/ac/acre/noticia/2014/04/voce-viu-aluno-fere-policial-haitianos-saem-do-acre-e-mais-noticias.html", "URL")</f>
        <v/>
      </c>
      <c r="Q3063">
        <f>HYPERLINK("https://raw.githubusercontent.com/marcosmapl/dataset_imigrantes/main/materias_filtered/g1/haitianos/2014/03_abr/html/g1_9643d9a6-22f8-11ed-b24f-6dbe51e79fca_2145.html", "HTML")</f>
        <v/>
      </c>
      <c r="R3063">
        <f>HYPERLINK("https://raw.githubusercontent.com/marcosmapl/dataset_imigrantes/main/materias_filtered/g1/haitianos/2014/03_abr/txt/g1_9643d9a6-22f8-11ed-b24f-6dbe51e79fca_2145.txt", "TXT")</f>
        <v/>
      </c>
    </row>
    <row r="3064">
      <c r="A3064" s="1" t="n">
        <v>3062</v>
      </c>
      <c r="B3064" t="n">
        <v>2014</v>
      </c>
      <c r="C3064" s="2" t="n">
        <v>41733.88541666666</v>
      </c>
      <c r="D3064" t="inlineStr">
        <is>
          <t>G1</t>
        </is>
      </c>
      <c r="E3064" t="inlineStr">
        <is>
          <t>VENEZUELANOS</t>
        </is>
      </c>
      <c r="F3064" t="inlineStr"/>
      <c r="G3064" t="inlineStr">
        <is>
          <t>FP</t>
        </is>
      </c>
      <c r="H3064" t="inlineStr">
        <is>
          <t>OPOSIÇÃO VENEZUELANA EXIGE LIBERDADE PARA OPOSITOR LÓPEZ</t>
        </is>
      </c>
      <c r="I3064" t="inlineStr"/>
      <c r="J3064" t="inlineStr"/>
      <c r="K3064" t="n">
        <v>0</v>
      </c>
      <c r="L3064" t="n">
        <v>3</v>
      </c>
      <c r="M3064" t="n">
        <v>0</v>
      </c>
      <c r="N3064" t="n">
        <v>0</v>
      </c>
      <c r="O3064" t="n">
        <v>11</v>
      </c>
      <c r="P3064">
        <f>HYPERLINK("http://g1.globo.com/mundo/noticia/2014/04/oposicao-venezuelana-exige-liberdade-para-opositor-lopez.html", "URL")</f>
        <v/>
      </c>
      <c r="Q3064">
        <f>HYPERLINK("https://raw.githubusercontent.com/marcosmapl/dataset_imigrantes/main/materias_filtered/g1/venezuelanos/2014/03_abr/html/g1_0ce9fcbe-230a-11ed-b24f-6dbe51e79fca_2482.html", "HTML")</f>
        <v/>
      </c>
      <c r="R3064">
        <f>HYPERLINK("https://raw.githubusercontent.com/marcosmapl/dataset_imigrantes/main/materias_filtered/g1/venezuelanos/2014/03_abr/txt/g1_0ce9fcbe-230a-11ed-b24f-6dbe51e79fca_2482.txt", "TXT")</f>
        <v/>
      </c>
    </row>
    <row r="3065">
      <c r="A3065" s="1" t="n">
        <v>3063</v>
      </c>
      <c r="B3065" t="n">
        <v>2014</v>
      </c>
      <c r="C3065" s="2" t="n">
        <v>41732.56458333333</v>
      </c>
      <c r="D3065" t="inlineStr">
        <is>
          <t>G1</t>
        </is>
      </c>
      <c r="E3065" t="inlineStr">
        <is>
          <t>HAITIANOS</t>
        </is>
      </c>
      <c r="F3065" t="inlineStr"/>
      <c r="G3065" t="inlineStr">
        <is>
          <t>TA MUNIZDO G1 AC</t>
        </is>
      </c>
      <c r="H3065" t="inlineStr">
        <is>
          <t>MORADOR FAZ ABAIXO-ASSINADO E COBRA SOLUÇÃO PARA ENTRADA DE HAITIANOS</t>
        </is>
      </c>
      <c r="I3065" t="inlineStr"/>
      <c r="J3065" t="inlineStr">
        <is>
          <t>BRASILÉIA, EPITACIOLÂNDIA, RIO BRANCO</t>
        </is>
      </c>
      <c r="K3065" t="n">
        <v>3</v>
      </c>
      <c r="L3065" t="n">
        <v>5</v>
      </c>
      <c r="M3065" t="n">
        <v>0</v>
      </c>
      <c r="N3065" t="n">
        <v>0</v>
      </c>
      <c r="O3065" t="n">
        <v>14</v>
      </c>
      <c r="P3065">
        <f>HYPERLINK("http://g1.globo.com/ac/acre/noticia/2014/04/morador-faz-abaixo-assinado-e-cobra-solucao-para-entrada-de-haitianos.html", "URL")</f>
        <v/>
      </c>
      <c r="Q3065">
        <f>HYPERLINK("https://raw.githubusercontent.com/marcosmapl/dataset_imigrantes/main/materias_filtered/g1/haitianos/2014/03_abr/html/g1_614c8764-22f5-11ed-b24f-6dbe51e79fca_1945.html", "HTML")</f>
        <v/>
      </c>
      <c r="R3065">
        <f>HYPERLINK("https://raw.githubusercontent.com/marcosmapl/dataset_imigrantes/main/materias_filtered/g1/haitianos/2014/03_abr/txt/g1_614c8764-22f5-11ed-b24f-6dbe51e79fca_1945.txt", "TXT")</f>
        <v/>
      </c>
    </row>
    <row r="3066">
      <c r="A3066" s="1" t="n">
        <v>3064</v>
      </c>
      <c r="B3066" t="n">
        <v>2014</v>
      </c>
      <c r="C3066" s="2" t="n">
        <v>41731.91875</v>
      </c>
      <c r="D3066" t="inlineStr">
        <is>
          <t>G1</t>
        </is>
      </c>
      <c r="E3066" t="inlineStr">
        <is>
          <t>VENEZUELANOS</t>
        </is>
      </c>
      <c r="F3066" t="inlineStr"/>
      <c r="G3066" t="inlineStr"/>
      <c r="H3066" t="inlineStr">
        <is>
          <t>DEPUTADA VENEZUELANA COM MANDATO CASSADO É APLAUDIDA EM BRASÍLIA</t>
        </is>
      </c>
      <c r="I3066" t="inlineStr"/>
      <c r="J3066" t="inlineStr">
        <is>
          <t>BRASÍLIA, NICOLÁS MADURO</t>
        </is>
      </c>
      <c r="K3066" t="n">
        <v>2</v>
      </c>
      <c r="L3066" t="n">
        <v>4</v>
      </c>
      <c r="M3066" t="n">
        <v>0</v>
      </c>
      <c r="N3066" t="n">
        <v>0</v>
      </c>
      <c r="O3066" t="n">
        <v>11</v>
      </c>
      <c r="P3066">
        <f>HYPERLINK("http://g1.globo.com/jornal-nacional/noticia/2014/04/deputada-venezuelana-com-mandato-cassado-e-aplaudida-em-brasilia.html", "URL")</f>
        <v/>
      </c>
      <c r="Q3066">
        <f>HYPERLINK("https://raw.githubusercontent.com/marcosmapl/dataset_imigrantes/main/materias_filtered/g1/venezuelanos/2014/03_abr/html/g1_5dda0fe2-2319-11ed-b24f-6dbe51e79fca_3313.html", "HTML")</f>
        <v/>
      </c>
      <c r="R3066">
        <f>HYPERLINK("https://raw.githubusercontent.com/marcosmapl/dataset_imigrantes/main/materias_filtered/g1/venezuelanos/2014/03_abr/txt/g1_5dda0fe2-2319-11ed-b24f-6dbe51e79fca_3313.txt", "TXT")</f>
        <v/>
      </c>
    </row>
    <row r="3067">
      <c r="A3067" s="1" t="n">
        <v>3065</v>
      </c>
      <c r="B3067" t="n">
        <v>2014</v>
      </c>
      <c r="C3067" s="2" t="n">
        <v>41731.64305555556</v>
      </c>
      <c r="D3067" t="inlineStr">
        <is>
          <t>G1</t>
        </is>
      </c>
      <c r="E3067" t="inlineStr">
        <is>
          <t>VENEZUELANOS</t>
        </is>
      </c>
      <c r="F3067" t="inlineStr"/>
      <c r="G3067" t="inlineStr">
        <is>
          <t>PE MATOSODO G1, EM BRASÍLIA</t>
        </is>
      </c>
      <c r="H3067" t="inlineStr">
        <is>
          <t>EX-DEPUTADA VENEZUELANA DIZ QUE SEU PAÍS VIVE REGIME 'SEM ESCRÚPULOS'</t>
        </is>
      </c>
      <c r="I3067" t="inlineStr"/>
      <c r="J3067" t="inlineStr"/>
      <c r="K3067" t="n">
        <v>0</v>
      </c>
      <c r="L3067" t="n">
        <v>1</v>
      </c>
      <c r="M3067" t="n">
        <v>0</v>
      </c>
      <c r="N3067" t="n">
        <v>0</v>
      </c>
      <c r="O3067" t="n">
        <v>5</v>
      </c>
      <c r="P3067">
        <f>HYPERLINK("http://g1.globo.com/politica/noticia/2014/04/ex-deputada-venezuelana-diz-que-seu-pais-vive-regime-sem-escrupulos.html", "URL")</f>
        <v/>
      </c>
      <c r="Q3067">
        <f>HYPERLINK("https://raw.githubusercontent.com/marcosmapl/dataset_imigrantes/main/materias_filtered/g1/venezuelanos/2014/03_abr/html/g1_0c5555e2-2318-11ed-b24f-6dbe51e79fca_3241.html", "HTML")</f>
        <v/>
      </c>
      <c r="R3067">
        <f>HYPERLINK("https://raw.githubusercontent.com/marcosmapl/dataset_imigrantes/main/materias_filtered/g1/venezuelanos/2014/03_abr/txt/g1_0c5555e2-2318-11ed-b24f-6dbe51e79fca_3241.txt", "TXT")</f>
        <v/>
      </c>
    </row>
    <row r="3068">
      <c r="A3068" s="1" t="n">
        <v>3066</v>
      </c>
      <c r="B3068" t="n">
        <v>2014</v>
      </c>
      <c r="C3068" s="2" t="n">
        <v>41731.2875</v>
      </c>
      <c r="D3068" t="inlineStr">
        <is>
          <t>G1</t>
        </is>
      </c>
      <c r="E3068" t="inlineStr">
        <is>
          <t>HAITIANOS</t>
        </is>
      </c>
      <c r="F3068" t="inlineStr"/>
      <c r="G3068" t="inlineStr">
        <is>
          <t xml:space="preserve"> TORRESDO G1 CAMPINAS E REGIÃO</t>
        </is>
      </c>
      <c r="H3068" t="inlineStr">
        <is>
          <t>FALHA EM PROGRAMA FEDERAL ATRASA ESTUDO DE HAITIANOS NA UNICAMP</t>
        </is>
      </c>
      <c r="I3068" t="inlineStr"/>
      <c r="J3068" t="inlineStr">
        <is>
          <t>HAITI, CAMPINAS</t>
        </is>
      </c>
      <c r="K3068" t="n">
        <v>2</v>
      </c>
      <c r="L3068" t="n">
        <v>7</v>
      </c>
      <c r="M3068" t="n">
        <v>0</v>
      </c>
      <c r="N3068" t="n">
        <v>0</v>
      </c>
      <c r="O3068" t="n">
        <v>12</v>
      </c>
      <c r="P3068">
        <f>HYPERLINK("http://g1.globo.com/sp/campinas-regiao/noticia/2014/04/falha-em-programa-federal-atrasa-estudo-de-haitianos-na-unicamp.html", "URL")</f>
        <v/>
      </c>
      <c r="Q3068">
        <f>HYPERLINK("https://raw.githubusercontent.com/marcosmapl/dataset_imigrantes/main/materias_filtered/g1/haitianos/2014/03_abr/html/g1_14c0d56c-22f5-11ed-b24f-6dbe51e79fca_1929.html", "HTML")</f>
        <v/>
      </c>
      <c r="R3068">
        <f>HYPERLINK("https://raw.githubusercontent.com/marcosmapl/dataset_imigrantes/main/materias_filtered/g1/haitianos/2014/03_abr/txt/g1_14c0d56c-22f5-11ed-b24f-6dbe51e79fca_1929.txt", "TXT")</f>
        <v/>
      </c>
    </row>
    <row r="3069">
      <c r="A3069" s="1" t="n">
        <v>3067</v>
      </c>
      <c r="B3069" t="n">
        <v>2014</v>
      </c>
      <c r="C3069" s="2" t="n">
        <v>41730.78680555556</v>
      </c>
      <c r="D3069" t="inlineStr">
        <is>
          <t>G1</t>
        </is>
      </c>
      <c r="E3069" t="inlineStr">
        <is>
          <t>HAITIANOS</t>
        </is>
      </c>
      <c r="F3069" t="inlineStr"/>
      <c r="G3069" t="inlineStr">
        <is>
          <t>NE BRASIL E YURI MARCELDO G1 AC</t>
        </is>
      </c>
      <c r="H3069" t="inlineStr">
        <is>
          <t>HAITIANOS DEIXAM O ACRE EM AVIÕES  FRETADOS PELO GOVERNO</t>
        </is>
      </c>
      <c r="I3069" t="inlineStr"/>
      <c r="J3069" t="inlineStr">
        <is>
          <t>RIO BRANCO</t>
        </is>
      </c>
      <c r="K3069" t="n">
        <v>1</v>
      </c>
      <c r="L3069" t="n">
        <v>7</v>
      </c>
      <c r="M3069" t="n">
        <v>0</v>
      </c>
      <c r="N3069" t="n">
        <v>0</v>
      </c>
      <c r="O3069" t="n">
        <v>11</v>
      </c>
      <c r="P3069">
        <f>HYPERLINK("http://g1.globo.com/ac/acre/noticia/2014/04/haitianos-deixam-o-acre-em-avioes-fretados-pelo-governo.html", "URL")</f>
        <v/>
      </c>
      <c r="Q3069">
        <f>HYPERLINK("https://raw.githubusercontent.com/marcosmapl/dataset_imigrantes/main/materias_filtered/g1/haitianos/2014/03_abr/html/g1_2b1a18f4-22f1-11ed-b24f-6dbe51e79fca_1738.html", "HTML")</f>
        <v/>
      </c>
      <c r="R3069">
        <f>HYPERLINK("https://raw.githubusercontent.com/marcosmapl/dataset_imigrantes/main/materias_filtered/g1/haitianos/2014/03_abr/txt/g1_2b1a18f4-22f1-11ed-b24f-6dbe51e79fca_1738.txt", "TXT")</f>
        <v/>
      </c>
    </row>
    <row r="3070">
      <c r="A3070" s="1" t="n">
        <v>3068</v>
      </c>
      <c r="B3070" t="n">
        <v>2014</v>
      </c>
      <c r="C3070" s="2" t="n">
        <v>41729.62986111111</v>
      </c>
      <c r="D3070" t="inlineStr">
        <is>
          <t>G1</t>
        </is>
      </c>
      <c r="E3070" t="inlineStr">
        <is>
          <t>HAITIANOS</t>
        </is>
      </c>
      <c r="F3070" t="inlineStr"/>
      <c r="G3070" t="inlineStr">
        <is>
          <t>DA BORGESDO G1 AC</t>
        </is>
      </c>
      <c r="H3070" t="inlineStr">
        <is>
          <t>IMIGRANTES SÃO ACUSADOS DE ROUBAR HOMEM EM PONTE DE BRASILÉIA</t>
        </is>
      </c>
      <c r="I3070" t="inlineStr"/>
      <c r="J3070" t="inlineStr">
        <is>
          <t>BRASILÉIA</t>
        </is>
      </c>
      <c r="K3070" t="n">
        <v>1</v>
      </c>
      <c r="L3070" t="n">
        <v>3</v>
      </c>
      <c r="M3070" t="n">
        <v>0</v>
      </c>
      <c r="N3070" t="n">
        <v>0</v>
      </c>
      <c r="O3070" t="n">
        <v>11</v>
      </c>
      <c r="P3070">
        <f>HYPERLINK("http://g1.globo.com/ac/acre/noticia/2014/03/imigrantes-sao-acusados-de-roubar-homem-em-ponte-de-brasileia.html", "URL")</f>
        <v/>
      </c>
      <c r="Q3070">
        <f>HYPERLINK("https://raw.githubusercontent.com/marcosmapl/dataset_imigrantes/main/materias_filtered/g1/haitianos/2014/02_mar/html/g1_52084024-2325-11ed-b24f-6dbe51e79fca_3907.html", "HTML")</f>
        <v/>
      </c>
      <c r="R3070">
        <f>HYPERLINK("https://raw.githubusercontent.com/marcosmapl/dataset_imigrantes/main/materias_filtered/g1/haitianos/2014/02_mar/txt/g1_52084024-2325-11ed-b24f-6dbe51e79fca_3907.txt", "TXT")</f>
        <v/>
      </c>
    </row>
    <row r="3071">
      <c r="A3071" s="1" t="n">
        <v>3069</v>
      </c>
      <c r="B3071" t="n">
        <v>2014</v>
      </c>
      <c r="C3071" s="2" t="n">
        <v>41726.93402777778</v>
      </c>
      <c r="D3071" t="inlineStr">
        <is>
          <t>G1</t>
        </is>
      </c>
      <c r="E3071" t="inlineStr">
        <is>
          <t>VENEZUELANOS</t>
        </is>
      </c>
      <c r="F3071" t="inlineStr"/>
      <c r="G3071" t="inlineStr">
        <is>
          <t>GÊNCIA EFE</t>
        </is>
      </c>
      <c r="H3071" t="inlineStr">
        <is>
          <t>AUTORIDADES VENEZUELANAS PRENDEM DOIS SUPOSTOS TRAFICANTES BRASILEIROS</t>
        </is>
      </c>
      <c r="I3071" t="inlineStr"/>
      <c r="J3071" t="inlineStr">
        <is>
          <t>VENEZUELA</t>
        </is>
      </c>
      <c r="K3071" t="n">
        <v>1</v>
      </c>
      <c r="L3071" t="n">
        <v>4</v>
      </c>
      <c r="M3071" t="n">
        <v>0</v>
      </c>
      <c r="N3071" t="n">
        <v>0</v>
      </c>
      <c r="O3071" t="n">
        <v>9</v>
      </c>
      <c r="P3071">
        <f>HYPERLINK("http://g1.globo.com/mundo/noticia/2014/03/autoridades-venezuelanas-prendem-dois-supostos-traficantes-brasileiros.html", "URL")</f>
        <v/>
      </c>
      <c r="Q3071">
        <f>HYPERLINK("https://raw.githubusercontent.com/marcosmapl/dataset_imigrantes/main/materias_filtered/g1/venezuelanos/2014/02_mar/html/g1_edeb732a-230d-11ed-b24f-6dbe51e79fca_2713.html", "HTML")</f>
        <v/>
      </c>
      <c r="R3071">
        <f>HYPERLINK("https://raw.githubusercontent.com/marcosmapl/dataset_imigrantes/main/materias_filtered/g1/venezuelanos/2014/02_mar/txt/g1_edeb732a-230d-11ed-b24f-6dbe51e79fca_2713.txt", "TXT")</f>
        <v/>
      </c>
    </row>
    <row r="3072">
      <c r="A3072" s="1" t="n">
        <v>3070</v>
      </c>
      <c r="B3072" t="n">
        <v>2014</v>
      </c>
      <c r="C3072" s="2" t="n">
        <v>41723.77638888889</v>
      </c>
      <c r="D3072" t="inlineStr">
        <is>
          <t>G1</t>
        </is>
      </c>
      <c r="E3072" t="inlineStr">
        <is>
          <t>HAITIANOS</t>
        </is>
      </c>
      <c r="F3072" t="inlineStr"/>
      <c r="G3072" t="inlineStr">
        <is>
          <t>DA BORGESDO G1 AC</t>
        </is>
      </c>
      <c r="H3072" t="inlineStr">
        <is>
          <t>HAITIANOS DORMEM EM CHÃO DE AEROPORTO EM RIO BRANCO</t>
        </is>
      </c>
      <c r="I3072" t="inlineStr"/>
      <c r="J3072" t="inlineStr">
        <is>
          <t>BRASILÉIA, RIO BRANCO</t>
        </is>
      </c>
      <c r="K3072" t="n">
        <v>2</v>
      </c>
      <c r="L3072" t="n">
        <v>5</v>
      </c>
      <c r="M3072" t="n">
        <v>0</v>
      </c>
      <c r="N3072" t="n">
        <v>0</v>
      </c>
      <c r="O3072" t="n">
        <v>11</v>
      </c>
      <c r="P3072">
        <f>HYPERLINK("http://g1.globo.com/ac/acre/noticia/2014/03/haitianos-dormem-em-chao-de-aeroporto-em-rio-branco.html", "URL")</f>
        <v/>
      </c>
      <c r="Q3072">
        <f>HYPERLINK("https://raw.githubusercontent.com/marcosmapl/dataset_imigrantes/main/materias_filtered/g1/haitianos/2014/02_mar/html/g1_8423bfbc-22f2-11ed-b24f-6dbe51e79fca_1802.html", "HTML")</f>
        <v/>
      </c>
      <c r="R3072">
        <f>HYPERLINK("https://raw.githubusercontent.com/marcosmapl/dataset_imigrantes/main/materias_filtered/g1/haitianos/2014/02_mar/txt/g1_8423bfbc-22f2-11ed-b24f-6dbe51e79fca_1802.txt", "TXT")</f>
        <v/>
      </c>
    </row>
    <row r="3073">
      <c r="A3073" s="1" t="n">
        <v>3071</v>
      </c>
      <c r="B3073" t="n">
        <v>2014</v>
      </c>
      <c r="C3073" s="2" t="n">
        <v>41723.51041666666</v>
      </c>
      <c r="D3073" t="inlineStr">
        <is>
          <t>G1</t>
        </is>
      </c>
      <c r="E3073" t="inlineStr">
        <is>
          <t>VENEZUELANOS</t>
        </is>
      </c>
      <c r="F3073" t="inlineStr"/>
      <c r="G3073" t="inlineStr">
        <is>
          <t>FE</t>
        </is>
      </c>
      <c r="H3073" t="inlineStr">
        <is>
          <t>SUPOSTO INCÊNDIO CRIMINOSO DEIXA PARTE DA CAPITAL VENEZUELANA SEM LUZ</t>
        </is>
      </c>
      <c r="I3073" t="inlineStr"/>
      <c r="J3073" t="inlineStr">
        <is>
          <t>VENEZUELA</t>
        </is>
      </c>
      <c r="K3073" t="n">
        <v>1</v>
      </c>
      <c r="L3073" t="n">
        <v>4</v>
      </c>
      <c r="M3073" t="n">
        <v>0</v>
      </c>
      <c r="N3073" t="n">
        <v>0</v>
      </c>
      <c r="O3073" t="n">
        <v>13</v>
      </c>
      <c r="P3073">
        <f>HYPERLINK("http://g1.globo.com/mundo/noticia/2014/03/suposto-incendio-criminoso-deixa-parte-da-capital-venezuelana-sem-luz.html", "URL")</f>
        <v/>
      </c>
      <c r="Q3073">
        <f>HYPERLINK("https://raw.githubusercontent.com/marcosmapl/dataset_imigrantes/main/materias_filtered/g1/venezuelanos/2014/02_mar/html/g1_4a20c888-2328-11ed-b24f-6dbe51e79fca_4071.html", "HTML")</f>
        <v/>
      </c>
      <c r="R3073">
        <f>HYPERLINK("https://raw.githubusercontent.com/marcosmapl/dataset_imigrantes/main/materias_filtered/g1/venezuelanos/2014/02_mar/txt/g1_4a20c888-2328-11ed-b24f-6dbe51e79fca_4071.txt", "TXT")</f>
        <v/>
      </c>
    </row>
    <row r="3074">
      <c r="A3074" s="1" t="n">
        <v>3072</v>
      </c>
      <c r="B3074" t="n">
        <v>2014</v>
      </c>
      <c r="C3074" s="2" t="n">
        <v>41722.63541666666</v>
      </c>
      <c r="D3074" t="inlineStr">
        <is>
          <t>G1</t>
        </is>
      </c>
      <c r="E3074" t="inlineStr">
        <is>
          <t>VENEZUELANOS</t>
        </is>
      </c>
      <c r="F3074" t="inlineStr"/>
      <c r="G3074" t="inlineStr">
        <is>
          <t>RANCE PRESSE</t>
        </is>
      </c>
      <c r="H3074" t="inlineStr">
        <is>
          <t>DEPUTADA DE OPOSIÇÃO VENEZUELANA PERDE MANDATO APÓS IR À OEA</t>
        </is>
      </c>
      <c r="I3074" t="inlineStr"/>
      <c r="J3074" t="inlineStr">
        <is>
          <t>OEA, PANAMÁ, VENEZUELA</t>
        </is>
      </c>
      <c r="K3074" t="n">
        <v>3</v>
      </c>
      <c r="L3074" t="n">
        <v>4</v>
      </c>
      <c r="M3074" t="n">
        <v>0</v>
      </c>
      <c r="N3074" t="n">
        <v>0</v>
      </c>
      <c r="O3074" t="n">
        <v>13</v>
      </c>
      <c r="P3074">
        <f>HYPERLINK("http://g1.globo.com/mundo/noticia/2014/03/opositora-venezuelana-perde-mandato-apos-ir-a-oea-1.html", "URL")</f>
        <v/>
      </c>
      <c r="Q3074">
        <f>HYPERLINK("https://raw.githubusercontent.com/marcosmapl/dataset_imigrantes/main/materias_filtered/g1/venezuelanos/2014/02_mar/html/g1_999e5942-230b-11ed-b24f-6dbe51e79fca_2574.html", "HTML")</f>
        <v/>
      </c>
      <c r="R3074">
        <f>HYPERLINK("https://raw.githubusercontent.com/marcosmapl/dataset_imigrantes/main/materias_filtered/g1/venezuelanos/2014/02_mar/txt/g1_999e5942-230b-11ed-b24f-6dbe51e79fca_2574.txt", "TXT")</f>
        <v/>
      </c>
    </row>
    <row r="3075">
      <c r="A3075" s="1" t="n">
        <v>3073</v>
      </c>
      <c r="B3075" t="n">
        <v>2014</v>
      </c>
      <c r="C3075" s="2" t="n">
        <v>41722.56388888889</v>
      </c>
      <c r="D3075" t="inlineStr">
        <is>
          <t>G1</t>
        </is>
      </c>
      <c r="E3075" t="inlineStr">
        <is>
          <t>HAITIANOS</t>
        </is>
      </c>
      <c r="F3075" t="inlineStr"/>
      <c r="G3075" t="inlineStr">
        <is>
          <t>TA MUNIZDO G1 AC</t>
        </is>
      </c>
      <c r="H3075" t="inlineStr">
        <is>
          <t>BRIGA ENTRE HAITIANOS E SENEGALESES DEIXA UM FERIDO NO INTERIOR DO AC</t>
        </is>
      </c>
      <c r="I3075" t="inlineStr"/>
      <c r="J3075" t="inlineStr">
        <is>
          <t>BRASILÉIA</t>
        </is>
      </c>
      <c r="K3075" t="n">
        <v>1</v>
      </c>
      <c r="L3075" t="n">
        <v>4</v>
      </c>
      <c r="M3075" t="n">
        <v>0</v>
      </c>
      <c r="N3075" t="n">
        <v>0</v>
      </c>
      <c r="O3075" t="n">
        <v>13</v>
      </c>
      <c r="P3075">
        <f>HYPERLINK("http://g1.globo.com/ac/acre/noticia/2014/03/briga-entre-haitianos-e-senegaleses-deixa-um-ferido-no-interior-do-ac.html", "URL")</f>
        <v/>
      </c>
      <c r="Q3075">
        <f>HYPERLINK("https://raw.githubusercontent.com/marcosmapl/dataset_imigrantes/main/materias_filtered/g1/haitianos/2014/02_mar/html/g1_cd7103ba-22f1-11ed-b24f-6dbe51e79fca_1766.html", "HTML")</f>
        <v/>
      </c>
      <c r="R3075">
        <f>HYPERLINK("https://raw.githubusercontent.com/marcosmapl/dataset_imigrantes/main/materias_filtered/g1/haitianos/2014/02_mar/txt/g1_cd7103ba-22f1-11ed-b24f-6dbe51e79fca_1766.txt", "TXT")</f>
        <v/>
      </c>
    </row>
    <row r="3076">
      <c r="A3076" s="1" t="n">
        <v>3074</v>
      </c>
      <c r="B3076" t="n">
        <v>2014</v>
      </c>
      <c r="C3076" s="2" t="n">
        <v>41721.83680555555</v>
      </c>
      <c r="D3076" t="inlineStr">
        <is>
          <t>G1</t>
        </is>
      </c>
      <c r="E3076" t="inlineStr">
        <is>
          <t>VENEZUELANOS</t>
        </is>
      </c>
      <c r="F3076" t="inlineStr"/>
      <c r="G3076" t="inlineStr">
        <is>
          <t>RANCE PRESSE</t>
        </is>
      </c>
      <c r="H3076" t="inlineStr">
        <is>
          <t>JORNALISTAS DENUNCIAM 74 AGRESSÕES DA GUARDA VENEZUELANA EM PROTESTOS</t>
        </is>
      </c>
      <c r="I3076" t="inlineStr"/>
      <c r="J3076" t="inlineStr"/>
      <c r="K3076" t="n">
        <v>0</v>
      </c>
      <c r="L3076" t="n">
        <v>2</v>
      </c>
      <c r="M3076" t="n">
        <v>0</v>
      </c>
      <c r="N3076" t="n">
        <v>0</v>
      </c>
      <c r="O3076" t="n">
        <v>5</v>
      </c>
      <c r="P3076">
        <f>HYPERLINK("http://g1.globo.com/mundo/noticia/2014/03/jornalistas-denunciam-74-agressoes-da-guarda-venezuelana-em-protestos.html", "URL")</f>
        <v/>
      </c>
      <c r="Q3076">
        <f>HYPERLINK("https://raw.githubusercontent.com/marcosmapl/dataset_imigrantes/main/materias_filtered/g1/venezuelanos/2014/02_mar/html/g1_c1d50374-2307-11ed-b24f-6dbe51e79fca_2340.html", "HTML")</f>
        <v/>
      </c>
      <c r="R3076">
        <f>HYPERLINK("https://raw.githubusercontent.com/marcosmapl/dataset_imigrantes/main/materias_filtered/g1/venezuelanos/2014/02_mar/txt/g1_c1d50374-2307-11ed-b24f-6dbe51e79fca_2340.txt", "TXT")</f>
        <v/>
      </c>
    </row>
    <row r="3077">
      <c r="A3077" s="1" t="n">
        <v>3075</v>
      </c>
      <c r="B3077" t="n">
        <v>2014</v>
      </c>
      <c r="C3077" s="2" t="n">
        <v>41719.98347222222</v>
      </c>
      <c r="D3077" t="inlineStr">
        <is>
          <t>A CRITICA</t>
        </is>
      </c>
      <c r="E3077" t="inlineStr">
        <is>
          <t>VENEZUELANOS</t>
        </is>
      </c>
      <c r="F3077" t="inlineStr"/>
      <c r="G3077" t="inlineStr">
        <is>
          <t>LEANDRA FELIPE (CORRESPONDENTE AGÊNCIA BRASIL/EBC)</t>
        </is>
      </c>
      <c r="H3077" t="inlineStr">
        <is>
          <t>VENEZUELA INVESTIGA VIOLAÇÕES DE DIREITOS HUMANOS</t>
        </is>
      </c>
      <c r="I3077" t="inlineStr">
        <is>
          <t>PAÍS FICOU MARCADO POR UMA SÉRIE DE PROTESTOS POPULARES QUE OCORRERAM O MÊS DE FEVEREIRO E QUE FORAM REPRIMIDOS PELO GOVERNO VENEZUELANO</t>
        </is>
      </c>
      <c r="J3077" t="inlineStr"/>
      <c r="K3077" t="n">
        <v>0</v>
      </c>
      <c r="L3077" t="n">
        <v>1</v>
      </c>
      <c r="M3077" t="n">
        <v>0</v>
      </c>
      <c r="N3077" t="n">
        <v>0</v>
      </c>
      <c r="O3077" t="n">
        <v>0</v>
      </c>
      <c r="P3077">
        <f>HYPERLINK("https://www.acritica.com/venezuela-investiga-violac-es-de-direitos-humanos-1.153399", "URL")</f>
        <v/>
      </c>
      <c r="Q3077">
        <f>HYPERLINK("https://raw.githubusercontent.com/marcosmapl/dataset_imigrantes/main/materias_filtered/a_critica/venezuelanos/2014/02_mar/html/1.153399_698.html", "HTML")</f>
        <v/>
      </c>
      <c r="R3077">
        <f>HYPERLINK("https://raw.githubusercontent.com/marcosmapl/dataset_imigrantes/main/materias_filtered/a_critica/venezuelanos/2014/02_mar/txt/1.153399_698.txt", "TXT")</f>
        <v/>
      </c>
    </row>
    <row r="3078">
      <c r="A3078" s="1" t="n">
        <v>3076</v>
      </c>
      <c r="B3078" t="n">
        <v>2014</v>
      </c>
      <c r="C3078" s="2" t="n">
        <v>41718.38958333333</v>
      </c>
      <c r="D3078" t="inlineStr">
        <is>
          <t>G1</t>
        </is>
      </c>
      <c r="E3078" t="inlineStr">
        <is>
          <t>HAITIANOS</t>
        </is>
      </c>
      <c r="F3078" t="inlineStr"/>
      <c r="G3078" t="inlineStr">
        <is>
          <t xml:space="preserve"> FULGÊNCIODO G1 AC</t>
        </is>
      </c>
      <c r="H3078" t="inlineStr">
        <is>
          <t>CARTILHAS PARA ORIENTAÇÃO DE HAITIANOS DEVEM CHEGAR AO AC EM ABRIL</t>
        </is>
      </c>
      <c r="I3078" t="inlineStr"/>
      <c r="J3078" t="inlineStr">
        <is>
          <t>BRASILÉIA, RIO BRANCO</t>
        </is>
      </c>
      <c r="K3078" t="n">
        <v>2</v>
      </c>
      <c r="L3078" t="n">
        <v>4</v>
      </c>
      <c r="M3078" t="n">
        <v>0</v>
      </c>
      <c r="N3078" t="n">
        <v>0</v>
      </c>
      <c r="O3078" t="n">
        <v>14</v>
      </c>
      <c r="P3078">
        <f>HYPERLINK("http://g1.globo.com/ac/acre/noticia/2014/03/cartilhas-para-orientacao-de-haitianos-devem-chegar-ao-ac-em-abril.html", "URL")</f>
        <v/>
      </c>
      <c r="Q3078">
        <f>HYPERLINK("https://raw.githubusercontent.com/marcosmapl/dataset_imigrantes/main/materias_filtered/g1/haitianos/2014/02_mar/html/g1_00e613fc-22f2-11ed-b24f-6dbe51e79fca_1775.html", "HTML")</f>
        <v/>
      </c>
      <c r="R3078">
        <f>HYPERLINK("https://raw.githubusercontent.com/marcosmapl/dataset_imigrantes/main/materias_filtered/g1/haitianos/2014/02_mar/txt/g1_00e613fc-22f2-11ed-b24f-6dbe51e79fca_1775.txt", "TXT")</f>
        <v/>
      </c>
    </row>
    <row r="3079">
      <c r="A3079" s="1" t="n">
        <v>3077</v>
      </c>
      <c r="B3079" t="n">
        <v>2014</v>
      </c>
      <c r="C3079" s="2" t="n">
        <v>41712.68888888889</v>
      </c>
      <c r="D3079" t="inlineStr">
        <is>
          <t>G1</t>
        </is>
      </c>
      <c r="E3079" t="inlineStr">
        <is>
          <t>HAITIANOS</t>
        </is>
      </c>
      <c r="F3079" t="inlineStr"/>
      <c r="G3079" t="inlineStr">
        <is>
          <t>SA NATANIDO G1 AC</t>
        </is>
      </c>
      <c r="H3079" t="inlineStr">
        <is>
          <t>GOVERNO QUER AJUDA DA FAB PARA BUSCAR HAITIANOS RETIDOS NO AC</t>
        </is>
      </c>
      <c r="I3079" t="inlineStr"/>
      <c r="J3079" t="inlineStr">
        <is>
          <t>ACRE, PORTO VELHO</t>
        </is>
      </c>
      <c r="K3079" t="n">
        <v>2</v>
      </c>
      <c r="L3079" t="n">
        <v>5</v>
      </c>
      <c r="M3079" t="n">
        <v>0</v>
      </c>
      <c r="N3079" t="n">
        <v>0</v>
      </c>
      <c r="O3079" t="n">
        <v>13</v>
      </c>
      <c r="P3079">
        <f>HYPERLINK("http://g1.globo.com/ac/acre/noticia/2014/03/governo-quer-ajuda-da-fab-para-retirar-haitianos-retidos-no-ac.html", "URL")</f>
        <v/>
      </c>
      <c r="Q3079">
        <f>HYPERLINK("https://raw.githubusercontent.com/marcosmapl/dataset_imigrantes/main/materias_filtered/g1/haitianos/2014/02_mar/html/g1_6a3d823a-22f8-11ed-b24f-6dbe51e79fca_2132.html", "HTML")</f>
        <v/>
      </c>
      <c r="R3079">
        <f>HYPERLINK("https://raw.githubusercontent.com/marcosmapl/dataset_imigrantes/main/materias_filtered/g1/haitianos/2014/02_mar/txt/g1_6a3d823a-22f8-11ed-b24f-6dbe51e79fca_2132.txt", "TXT")</f>
        <v/>
      </c>
    </row>
    <row r="3080">
      <c r="A3080" s="1" t="n">
        <v>3078</v>
      </c>
      <c r="B3080" t="n">
        <v>2014</v>
      </c>
      <c r="C3080" s="2" t="n">
        <v>41712.66652777778</v>
      </c>
      <c r="D3080" t="inlineStr">
        <is>
          <t>A CRITICA</t>
        </is>
      </c>
      <c r="E3080" t="inlineStr">
        <is>
          <t>HAITIANOS</t>
        </is>
      </c>
      <c r="F3080" t="inlineStr"/>
      <c r="G3080" t="inlineStr">
        <is>
          <t>CAROLINA SARRES (AGÊNCIA BRASIL)</t>
        </is>
      </c>
      <c r="H3080" t="inlineStr">
        <is>
          <t>MAIS UM GENERAL BRASILEIRO COMANDARÁ MISSÃO NO HAITI</t>
        </is>
      </c>
      <c r="I3080" t="inlineStr">
        <is>
          <t>JOSÉ LUIZ JABORANDY JÚNIOR É O DÉCIMO BRASILEIRO A ASSUMIR O CARGO DESDE QUE A MISSÃO DE PAZ FOI CRIADA, EM 2004, PELAS NAÇÕES UNIDAS</t>
        </is>
      </c>
      <c r="J3080" t="inlineStr"/>
      <c r="K3080" t="n">
        <v>0</v>
      </c>
      <c r="L3080" t="n">
        <v>1</v>
      </c>
      <c r="M3080" t="n">
        <v>0</v>
      </c>
      <c r="N3080" t="n">
        <v>0</v>
      </c>
      <c r="O3080" t="n">
        <v>0</v>
      </c>
      <c r="P3080">
        <f>HYPERLINK("https://www.acritica.com/mais-um-general-brasileiro-comandara-miss-o-no-haiti-1.151869", "URL")</f>
        <v/>
      </c>
      <c r="Q3080">
        <f>HYPERLINK("https://raw.githubusercontent.com/marcosmapl/dataset_imigrantes/main/materias_filtered/a_critica/haitianos/2014/02_mar/html/1.151869_783.html", "HTML")</f>
        <v/>
      </c>
      <c r="R3080">
        <f>HYPERLINK("https://raw.githubusercontent.com/marcosmapl/dataset_imigrantes/main/materias_filtered/a_critica/haitianos/2014/02_mar/txt/1.151869_783.txt", "TXT")</f>
        <v/>
      </c>
    </row>
    <row r="3081">
      <c r="A3081" s="1" t="n">
        <v>3079</v>
      </c>
      <c r="B3081" t="n">
        <v>2014</v>
      </c>
      <c r="C3081" s="2" t="n">
        <v>41708.55555555555</v>
      </c>
      <c r="D3081" t="inlineStr">
        <is>
          <t>G1</t>
        </is>
      </c>
      <c r="E3081" t="inlineStr">
        <is>
          <t>VENEZUELANOS</t>
        </is>
      </c>
      <c r="F3081" t="inlineStr"/>
      <c r="G3081" t="inlineStr">
        <is>
          <t>EUTERS</t>
        </is>
      </c>
      <c r="H3081" t="inlineStr">
        <is>
          <t>PROTESTOS E PEDIDOS DE DIÁLOGO DIVIDEM A OPOSIÇÃO VENEZUELANA</t>
        </is>
      </c>
      <c r="I3081" t="inlineStr"/>
      <c r="J3081" t="inlineStr">
        <is>
          <t>HUGO CHÁVEZ, NICOLÁS MADURO, VENEZUELA</t>
        </is>
      </c>
      <c r="K3081" t="n">
        <v>3</v>
      </c>
      <c r="L3081" t="n">
        <v>6</v>
      </c>
      <c r="M3081" t="n">
        <v>0</v>
      </c>
      <c r="N3081" t="n">
        <v>0</v>
      </c>
      <c r="O3081" t="n">
        <v>16</v>
      </c>
      <c r="P3081">
        <f>HYPERLINK("http://g1.globo.com/mundo/noticia/2014/03/protestos-e-pedidos-de-dialogo-dividem-oposicao-venezuelana.html", "URL")</f>
        <v/>
      </c>
      <c r="Q3081">
        <f>HYPERLINK("https://raw.githubusercontent.com/marcosmapl/dataset_imigrantes/main/materias_filtered/g1/venezuelanos/2014/02_mar/html/g1_6d671850-230b-11ed-b24f-6dbe51e79fca_2564.html", "HTML")</f>
        <v/>
      </c>
      <c r="R3081">
        <f>HYPERLINK("https://raw.githubusercontent.com/marcosmapl/dataset_imigrantes/main/materias_filtered/g1/venezuelanos/2014/02_mar/txt/g1_6d671850-230b-11ed-b24f-6dbe51e79fca_2564.txt", "TXT")</f>
        <v/>
      </c>
    </row>
    <row r="3082">
      <c r="A3082" s="1" t="n">
        <v>3080</v>
      </c>
      <c r="B3082" t="n">
        <v>2014</v>
      </c>
      <c r="C3082" s="2" t="n">
        <v>41703.51041666666</v>
      </c>
      <c r="D3082" t="inlineStr">
        <is>
          <t>G1</t>
        </is>
      </c>
      <c r="E3082" t="inlineStr">
        <is>
          <t>VENEZUELANOS</t>
        </is>
      </c>
      <c r="F3082" t="inlineStr"/>
      <c r="G3082" t="inlineStr">
        <is>
          <t>GÊNCIA EFE</t>
        </is>
      </c>
      <c r="H3082" t="inlineStr">
        <is>
          <t>CAPITAL VENEZUELANA AMANHECE COM BARRICADAS EM VÁRIOS PONTOS</t>
        </is>
      </c>
      <c r="I3082" t="inlineStr"/>
      <c r="J3082" t="inlineStr">
        <is>
          <t>VENEZUELA</t>
        </is>
      </c>
      <c r="K3082" t="n">
        <v>1</v>
      </c>
      <c r="L3082" t="n">
        <v>5</v>
      </c>
      <c r="M3082" t="n">
        <v>0</v>
      </c>
      <c r="N3082" t="n">
        <v>0</v>
      </c>
      <c r="O3082" t="n">
        <v>9</v>
      </c>
      <c r="P3082">
        <f>HYPERLINK("http://g1.globo.com/mundo/noticia/2014/03/capital-venezuelana-amanhece-com-barricadas-em-varios-pontos.html", "URL")</f>
        <v/>
      </c>
      <c r="Q3082">
        <f>HYPERLINK("https://raw.githubusercontent.com/marcosmapl/dataset_imigrantes/main/materias_filtered/g1/venezuelanos/2014/02_mar/html/g1_3b6fa766-232b-11ed-b24f-6dbe51e79fca_4232.html", "HTML")</f>
        <v/>
      </c>
      <c r="R3082">
        <f>HYPERLINK("https://raw.githubusercontent.com/marcosmapl/dataset_imigrantes/main/materias_filtered/g1/venezuelanos/2014/02_mar/txt/g1_3b6fa766-232b-11ed-b24f-6dbe51e79fca_4232.txt", "TXT")</f>
        <v/>
      </c>
    </row>
    <row r="3083">
      <c r="A3083" s="1" t="n">
        <v>3081</v>
      </c>
      <c r="B3083" t="n">
        <v>2014</v>
      </c>
      <c r="C3083" s="2" t="n">
        <v>41698.65138888889</v>
      </c>
      <c r="D3083" t="inlineStr">
        <is>
          <t>G1</t>
        </is>
      </c>
      <c r="E3083" t="inlineStr">
        <is>
          <t>HAITIANOS</t>
        </is>
      </c>
      <c r="F3083" t="inlineStr"/>
      <c r="G3083" t="inlineStr">
        <is>
          <t xml:space="preserve"> HAAB
DO G1 PR. EM CASCAVEL</t>
        </is>
      </c>
      <c r="H3083" t="inlineStr">
        <is>
          <t>HAITIANOS DIZEM SER VÍTIMAS DE RACISMO NO OESTE DO PARANÁ</t>
        </is>
      </c>
      <c r="I3083" t="inlineStr"/>
      <c r="J3083" t="inlineStr">
        <is>
          <t>CASCAVEL, BRASIL, PARANÁ</t>
        </is>
      </c>
      <c r="K3083" t="n">
        <v>3</v>
      </c>
      <c r="L3083" t="n">
        <v>10</v>
      </c>
      <c r="M3083" t="n">
        <v>0</v>
      </c>
      <c r="N3083" t="n">
        <v>0</v>
      </c>
      <c r="O3083" t="n">
        <v>16</v>
      </c>
      <c r="P3083">
        <f>HYPERLINK("http://g1.globo.com/pr/oeste-sudoeste/noticia/2014/02/haitianos-dizem-ser-vitimas-de-racismo-no-oeste-do-parana.html", "URL")</f>
        <v/>
      </c>
      <c r="Q3083">
        <f>HYPERLINK("https://raw.githubusercontent.com/marcosmapl/dataset_imigrantes/main/materias_filtered/g1/haitianos/2014/01_fev/html/g1_bae25d84-22f6-11ed-b24f-6dbe51e79fca_2033.html", "HTML")</f>
        <v/>
      </c>
      <c r="R3083">
        <f>HYPERLINK("https://raw.githubusercontent.com/marcosmapl/dataset_imigrantes/main/materias_filtered/g1/haitianos/2014/01_fev/txt/g1_bae25d84-22f6-11ed-b24f-6dbe51e79fca_2033.txt", "TXT")</f>
        <v/>
      </c>
    </row>
    <row r="3084">
      <c r="A3084" s="1" t="n">
        <v>3082</v>
      </c>
      <c r="B3084" t="n">
        <v>2014</v>
      </c>
      <c r="C3084" s="2" t="n">
        <v>41688.48402777778</v>
      </c>
      <c r="D3084" t="inlineStr">
        <is>
          <t>G1</t>
        </is>
      </c>
      <c r="E3084" t="inlineStr">
        <is>
          <t>HAITIANOS</t>
        </is>
      </c>
      <c r="F3084" t="inlineStr"/>
      <c r="G3084" t="inlineStr">
        <is>
          <t>1 AC</t>
        </is>
      </c>
      <c r="H3084" t="inlineStr">
        <is>
          <t>MPE QUER PEDIR AJUDA DA ONU SOBRE SURTO DE IMIGRAÇÃO HAITIANA NO AC</t>
        </is>
      </c>
      <c r="I3084" t="inlineStr"/>
      <c r="J3084" t="inlineStr">
        <is>
          <t>BRASILÉIA, ACRE</t>
        </is>
      </c>
      <c r="K3084" t="n">
        <v>2</v>
      </c>
      <c r="L3084" t="n">
        <v>5</v>
      </c>
      <c r="M3084" t="n">
        <v>0</v>
      </c>
      <c r="N3084" t="n">
        <v>0</v>
      </c>
      <c r="O3084" t="n">
        <v>14</v>
      </c>
      <c r="P3084">
        <f>HYPERLINK("http://g1.globo.com/ac/acre/noticia/2014/02/mpe-quer-pedir-ajuda-da-onu-sobre-surto-de-imigracao-haitiana-no-ac.html", "URL")</f>
        <v/>
      </c>
      <c r="Q3084">
        <f>HYPERLINK("https://raw.githubusercontent.com/marcosmapl/dataset_imigrantes/main/materias_filtered/g1/haitianos/2014/01_fev/html/g1_1999119e-230e-11ed-b24f-6dbe51e79fca_2721.html", "HTML")</f>
        <v/>
      </c>
      <c r="R3084">
        <f>HYPERLINK("https://raw.githubusercontent.com/marcosmapl/dataset_imigrantes/main/materias_filtered/g1/haitianos/2014/01_fev/txt/g1_1999119e-230e-11ed-b24f-6dbe51e79fca_2721.txt", "TXT")</f>
        <v/>
      </c>
    </row>
    <row r="3085">
      <c r="A3085" s="1" t="n">
        <v>3083</v>
      </c>
      <c r="B3085" t="n">
        <v>2014</v>
      </c>
      <c r="C3085" s="2" t="n">
        <v>41686.33680555555</v>
      </c>
      <c r="D3085" t="inlineStr">
        <is>
          <t>G1</t>
        </is>
      </c>
      <c r="E3085" t="inlineStr">
        <is>
          <t>VENEZUELANOS</t>
        </is>
      </c>
      <c r="F3085" t="inlineStr"/>
      <c r="G3085" t="inlineStr">
        <is>
          <t>1 GO, COM INFORMAÇÕES DA TV ANHANGUERA</t>
        </is>
      </c>
      <c r="H3085" t="inlineStr">
        <is>
          <t>APRENDA COMO PREPARAR A 'CACHAPA', CONSIDERADA A PANQUECA VENEZUELANA</t>
        </is>
      </c>
      <c r="I3085" t="inlineStr"/>
      <c r="J3085" t="inlineStr">
        <is>
          <t>LUZIÂNIA</t>
        </is>
      </c>
      <c r="K3085" t="n">
        <v>1</v>
      </c>
      <c r="L3085" t="n">
        <v>5</v>
      </c>
      <c r="M3085" t="n">
        <v>0</v>
      </c>
      <c r="N3085" t="n">
        <v>0</v>
      </c>
      <c r="O3085" t="n">
        <v>13</v>
      </c>
      <c r="P3085">
        <f>HYPERLINK("http://g1.globo.com/goias/noticia/2014/02/aprenda-como-preparar-cachapa-considerada-panqueca-venezuelana.html", "URL")</f>
        <v/>
      </c>
      <c r="Q3085">
        <f>HYPERLINK("https://raw.githubusercontent.com/marcosmapl/dataset_imigrantes/main/materias_filtered/g1/venezuelanos/2014/01_fev/html/g1_a485d5f0-2325-11ed-b24f-6dbe51e79fca_3925.html", "HTML")</f>
        <v/>
      </c>
      <c r="R3085">
        <f>HYPERLINK("https://raw.githubusercontent.com/marcosmapl/dataset_imigrantes/main/materias_filtered/g1/venezuelanos/2014/01_fev/txt/g1_a485d5f0-2325-11ed-b24f-6dbe51e79fca_3925.txt", "TXT")</f>
        <v/>
      </c>
    </row>
    <row r="3086">
      <c r="A3086" s="1" t="n">
        <v>3084</v>
      </c>
      <c r="B3086" t="n">
        <v>2014</v>
      </c>
      <c r="C3086" s="2" t="n">
        <v>41683.74305555555</v>
      </c>
      <c r="D3086" t="inlineStr">
        <is>
          <t>G1</t>
        </is>
      </c>
      <c r="E3086" t="inlineStr">
        <is>
          <t>VENEZUELANOS</t>
        </is>
      </c>
      <c r="F3086" t="inlineStr"/>
      <c r="G3086" t="inlineStr">
        <is>
          <t>EUTERS</t>
        </is>
      </c>
      <c r="H3086" t="inlineStr">
        <is>
          <t>JUSTIÇA VENEZUELANA ORDENA PRISÃO DE OPOSITOR APÓS MORTES EM PROTESTOS</t>
        </is>
      </c>
      <c r="I3086" t="inlineStr"/>
      <c r="J3086" t="inlineStr">
        <is>
          <t>VENEZUELA</t>
        </is>
      </c>
      <c r="K3086" t="n">
        <v>1</v>
      </c>
      <c r="L3086" t="n">
        <v>5</v>
      </c>
      <c r="M3086" t="n">
        <v>0</v>
      </c>
      <c r="N3086" t="n">
        <v>0</v>
      </c>
      <c r="O3086" t="n">
        <v>10</v>
      </c>
      <c r="P3086">
        <f>HYPERLINK("http://g1.globo.com/mundo/noticia/2014/02/justica-venezuelana-ordena-prisao-de-opositor-apos-mortes-em-protestos.html", "URL")</f>
        <v/>
      </c>
      <c r="Q3086">
        <f>HYPERLINK("https://raw.githubusercontent.com/marcosmapl/dataset_imigrantes/main/materias_filtered/g1/venezuelanos/2014/01_fev/html/g1_64ec5f10-2319-11ed-b24f-6dbe51e79fca_3314.html", "HTML")</f>
        <v/>
      </c>
      <c r="R3086">
        <f>HYPERLINK("https://raw.githubusercontent.com/marcosmapl/dataset_imigrantes/main/materias_filtered/g1/venezuelanos/2014/01_fev/txt/g1_64ec5f10-2319-11ed-b24f-6dbe51e79fca_3314.txt", "TXT")</f>
        <v/>
      </c>
    </row>
    <row r="3087">
      <c r="A3087" s="1" t="n">
        <v>3085</v>
      </c>
      <c r="B3087" t="n">
        <v>2014</v>
      </c>
      <c r="C3087" s="2" t="n">
        <v>41682.97569444445</v>
      </c>
      <c r="D3087" t="inlineStr">
        <is>
          <t>G1</t>
        </is>
      </c>
      <c r="E3087" t="inlineStr">
        <is>
          <t>VENEZUELANOS</t>
        </is>
      </c>
      <c r="F3087" t="inlineStr"/>
      <c r="G3087" t="inlineStr">
        <is>
          <t>BC</t>
        </is>
      </c>
      <c r="H3087" t="inlineStr">
        <is>
          <t>OPOSIÇÃO VENEZUELANA APROFUNDA DIVISÕES MESMO COM CONJUNTURA 'FAVORÁVEL'</t>
        </is>
      </c>
      <c r="I3087" t="inlineStr"/>
      <c r="J3087" t="inlineStr">
        <is>
          <t>HUGO CHÁVEZ, NICOLÁS MADURO, VENEZUELA</t>
        </is>
      </c>
      <c r="K3087" t="n">
        <v>3</v>
      </c>
      <c r="L3087" t="n">
        <v>4</v>
      </c>
      <c r="M3087" t="n">
        <v>0</v>
      </c>
      <c r="N3087" t="n">
        <v>0</v>
      </c>
      <c r="O3087" t="n">
        <v>13</v>
      </c>
      <c r="P3087">
        <f>HYPERLINK("http://g1.globo.com/mundo/noticia/2014/02/oposicao-venezuelana-aprofunda-divisoes-mesmo-com-conjuntura-favoravel.html", "URL")</f>
        <v/>
      </c>
      <c r="Q3087">
        <f>HYPERLINK("https://raw.githubusercontent.com/marcosmapl/dataset_imigrantes/main/materias_filtered/g1/venezuelanos/2014/01_fev/html/g1_1b736456-2327-11ed-b24f-6dbe51e79fca_4018.html", "HTML")</f>
        <v/>
      </c>
      <c r="R3087">
        <f>HYPERLINK("https://raw.githubusercontent.com/marcosmapl/dataset_imigrantes/main/materias_filtered/g1/venezuelanos/2014/01_fev/txt/g1_1b736456-2327-11ed-b24f-6dbe51e79fca_4018.txt", "TXT")</f>
        <v/>
      </c>
    </row>
    <row r="3088">
      <c r="A3088" s="1" t="n">
        <v>3086</v>
      </c>
      <c r="B3088" t="n">
        <v>2014</v>
      </c>
      <c r="C3088" s="2" t="n">
        <v>41681.52291666667</v>
      </c>
      <c r="D3088" t="inlineStr">
        <is>
          <t>G1</t>
        </is>
      </c>
      <c r="E3088" t="inlineStr">
        <is>
          <t>HAITIANOS</t>
        </is>
      </c>
      <c r="F3088" t="inlineStr"/>
      <c r="G3088" t="inlineStr">
        <is>
          <t>1 RS</t>
        </is>
      </c>
      <c r="H3088" t="inlineStr">
        <is>
          <t>UNIVERSIDADE DE CERRO LARGO OFERECE CURSOS PARA ESTUDANTES HAITIANOS</t>
        </is>
      </c>
      <c r="I3088" t="inlineStr"/>
      <c r="J3088" t="inlineStr"/>
      <c r="K3088" t="n">
        <v>0</v>
      </c>
      <c r="L3088" t="n">
        <v>0</v>
      </c>
      <c r="M3088" t="n">
        <v>0</v>
      </c>
      <c r="N3088" t="n">
        <v>0</v>
      </c>
      <c r="O3088" t="n">
        <v>8</v>
      </c>
      <c r="P3088">
        <f>HYPERLINK("http://g1.globo.com/rs/rio-grande-do-sul/noticia/2014/02/universidade-de-santa-rosa-oferece-cursos-para-estudantes-haitianos.html", "URL")</f>
        <v/>
      </c>
      <c r="Q3088">
        <f>HYPERLINK("https://raw.githubusercontent.com/marcosmapl/dataset_imigrantes/main/materias_filtered/g1/haitianos/2014/01_fev/html/g1_e778eab8-22f9-11ed-b24f-6dbe51e79fca_2190.html", "HTML")</f>
        <v/>
      </c>
      <c r="R3088">
        <f>HYPERLINK("https://raw.githubusercontent.com/marcosmapl/dataset_imigrantes/main/materias_filtered/g1/haitianos/2014/01_fev/txt/g1_e778eab8-22f9-11ed-b24f-6dbe51e79fca_2190.txt", "TXT")</f>
        <v/>
      </c>
    </row>
    <row r="3089">
      <c r="A3089" s="1" t="n">
        <v>3087</v>
      </c>
      <c r="B3089" t="n">
        <v>2014</v>
      </c>
      <c r="C3089" s="2" t="n">
        <v>41680.35416666666</v>
      </c>
      <c r="D3089" t="inlineStr">
        <is>
          <t>G1</t>
        </is>
      </c>
      <c r="E3089" t="inlineStr">
        <is>
          <t>HAITIANOS</t>
        </is>
      </c>
      <c r="F3089" t="inlineStr"/>
      <c r="G3089" t="inlineStr">
        <is>
          <t>M NETODO G1 RO</t>
        </is>
      </c>
      <c r="H3089" t="inlineStr">
        <is>
          <t>HAITIANO PASSA A GERENCIAR TRABALHO DE COLEGAS NA EMPRESA ONDE FOI GARI</t>
        </is>
      </c>
      <c r="I3089" t="inlineStr"/>
      <c r="J3089" t="inlineStr">
        <is>
          <t>RONDÔNIA, PORTO VELHO</t>
        </is>
      </c>
      <c r="K3089" t="n">
        <v>2</v>
      </c>
      <c r="L3089" t="n">
        <v>5</v>
      </c>
      <c r="M3089" t="n">
        <v>0</v>
      </c>
      <c r="N3089" t="n">
        <v>0</v>
      </c>
      <c r="O3089" t="n">
        <v>10</v>
      </c>
      <c r="P3089">
        <f>HYPERLINK("http://g1.globo.com/ro/rondonia/noticia/2014/02/haitiano-passa-gerenciar-trabalho-de-colegas-na-empresa-onde-foi-gari.html", "URL")</f>
        <v/>
      </c>
      <c r="Q3089">
        <f>HYPERLINK("https://raw.githubusercontent.com/marcosmapl/dataset_imigrantes/main/materias_filtered/g1/haitianos/2014/01_fev/html/g1_8348f89c-230f-11ed-b24f-6dbe51e79fca_2800.html", "HTML")</f>
        <v/>
      </c>
      <c r="R3089">
        <f>HYPERLINK("https://raw.githubusercontent.com/marcosmapl/dataset_imigrantes/main/materias_filtered/g1/haitianos/2014/01_fev/txt/g1_8348f89c-230f-11ed-b24f-6dbe51e79fca_2800.txt", "TXT")</f>
        <v/>
      </c>
    </row>
    <row r="3090">
      <c r="A3090" s="1" t="n">
        <v>3088</v>
      </c>
      <c r="B3090" t="n">
        <v>2014</v>
      </c>
      <c r="C3090" s="2" t="n">
        <v>41678.51736111111</v>
      </c>
      <c r="D3090" t="inlineStr">
        <is>
          <t>G1</t>
        </is>
      </c>
      <c r="E3090" t="inlineStr">
        <is>
          <t>VENEZUELANOS</t>
        </is>
      </c>
      <c r="F3090" t="inlineStr"/>
      <c r="G3090" t="inlineStr">
        <is>
          <t>IANA OLIVEIRADO G1 RR</t>
        </is>
      </c>
      <c r="H3090" t="inlineStr">
        <is>
          <t>PRF EM RR DESARTICULA QUADRILHA DE CONTRABANDO DE GASOLINA VENEZUELANA</t>
        </is>
      </c>
      <c r="I3090" t="inlineStr"/>
      <c r="J3090" t="inlineStr">
        <is>
          <t>BOA VISTA</t>
        </is>
      </c>
      <c r="K3090" t="n">
        <v>1</v>
      </c>
      <c r="L3090" t="n">
        <v>8</v>
      </c>
      <c r="M3090" t="n">
        <v>0</v>
      </c>
      <c r="N3090" t="n">
        <v>0</v>
      </c>
      <c r="O3090" t="n">
        <v>16</v>
      </c>
      <c r="P3090">
        <f>HYPERLINK("http://g1.globo.com/rr/roraima/noticia/2014/02/prf-em-rr-desarticula-quadrilha-de-contrabando-de-gasolina-venezuelana.html", "URL")</f>
        <v/>
      </c>
      <c r="Q3090">
        <f>HYPERLINK("https://raw.githubusercontent.com/marcosmapl/dataset_imigrantes/main/materias_filtered/g1/venezuelanos/2014/01_fev/html/g1_6919a52c-230d-11ed-b24f-6dbe51e79fca_2685.html", "HTML")</f>
        <v/>
      </c>
      <c r="R3090">
        <f>HYPERLINK("https://raw.githubusercontent.com/marcosmapl/dataset_imigrantes/main/materias_filtered/g1/venezuelanos/2014/01_fev/txt/g1_6919a52c-230d-11ed-b24f-6dbe51e79fca_2685.txt", "TXT")</f>
        <v/>
      </c>
    </row>
    <row r="3091">
      <c r="A3091" s="1" t="n">
        <v>3089</v>
      </c>
      <c r="B3091" t="n">
        <v>2014</v>
      </c>
      <c r="C3091" s="2" t="n">
        <v>41677.39722222222</v>
      </c>
      <c r="D3091" t="inlineStr">
        <is>
          <t>G1</t>
        </is>
      </c>
      <c r="E3091" t="inlineStr">
        <is>
          <t>HAITIANOS</t>
        </is>
      </c>
      <c r="F3091" t="inlineStr"/>
      <c r="G3091" t="inlineStr">
        <is>
          <t>ANA RIBEIRODO G1 AC</t>
        </is>
      </c>
      <c r="H3091" t="inlineStr">
        <is>
          <t>OPERAÇÃO EMITE 900 CPFS  PARA HAITIANOS EM BRASILÉIA</t>
        </is>
      </c>
      <c r="I3091" t="inlineStr"/>
      <c r="J3091" t="inlineStr">
        <is>
          <t>BRASILÉIA, RIO BRANCO</t>
        </is>
      </c>
      <c r="K3091" t="n">
        <v>2</v>
      </c>
      <c r="L3091" t="n">
        <v>3</v>
      </c>
      <c r="M3091" t="n">
        <v>0</v>
      </c>
      <c r="N3091" t="n">
        <v>0</v>
      </c>
      <c r="O3091" t="n">
        <v>13</v>
      </c>
      <c r="P3091">
        <f>HYPERLINK("http://g1.globo.com/ac/acre/noticia/2014/02/operacao-emite-900-cpfs-para-haitianos-em-brasileia.html", "URL")</f>
        <v/>
      </c>
      <c r="Q3091">
        <f>HYPERLINK("https://raw.githubusercontent.com/marcosmapl/dataset_imigrantes/main/materias_filtered/g1/haitianos/2014/01_fev/html/g1_ea3ae102-22f9-11ed-b24f-6dbe51e79fca_2191.html", "HTML")</f>
        <v/>
      </c>
      <c r="R3091">
        <f>HYPERLINK("https://raw.githubusercontent.com/marcosmapl/dataset_imigrantes/main/materias_filtered/g1/haitianos/2014/01_fev/txt/g1_ea3ae102-22f9-11ed-b24f-6dbe51e79fca_2191.txt", "TXT")</f>
        <v/>
      </c>
    </row>
    <row r="3092">
      <c r="A3092" s="1" t="n">
        <v>3090</v>
      </c>
      <c r="B3092" t="n">
        <v>2014</v>
      </c>
      <c r="C3092" s="2" t="n">
        <v>41676.59027777778</v>
      </c>
      <c r="D3092" t="inlineStr">
        <is>
          <t>G1</t>
        </is>
      </c>
      <c r="E3092" t="inlineStr">
        <is>
          <t>HAITIANOS</t>
        </is>
      </c>
      <c r="F3092" t="inlineStr"/>
      <c r="G3092" t="inlineStr">
        <is>
          <t>PE NÉRIDO G1, EM BRASÍLIA</t>
        </is>
      </c>
      <c r="H3092" t="inlineStr">
        <is>
          <t>BRASIL QUER REDUZIR PRAZO DE EMISSÃO DE VISTO PARA HAITIANO, DIZ FIGUEIREDO</t>
        </is>
      </c>
      <c r="I3092" t="inlineStr"/>
      <c r="J3092" t="inlineStr">
        <is>
          <t>ACRE, LUIZ ALBERTO FIGUEIREDO, POLÍCIA FEDERAL</t>
        </is>
      </c>
      <c r="K3092" t="n">
        <v>3</v>
      </c>
      <c r="L3092" t="n">
        <v>4</v>
      </c>
      <c r="M3092" t="n">
        <v>0</v>
      </c>
      <c r="N3092" t="n">
        <v>0</v>
      </c>
      <c r="O3092" t="n">
        <v>15</v>
      </c>
      <c r="P3092">
        <f>HYPERLINK("http://g1.globo.com/politica/noticia/2014/02/brasil-quer-reduzir-prazo-de-emissao-de-visto-para-haitiano-diz-figueiredo.html", "URL")</f>
        <v/>
      </c>
      <c r="Q3092">
        <f>HYPERLINK("https://raw.githubusercontent.com/marcosmapl/dataset_imigrantes/main/materias_filtered/g1/haitianos/2014/01_fev/html/g1_1bed473e-2314-11ed-b24f-6dbe51e79fca_3046.html", "HTML")</f>
        <v/>
      </c>
      <c r="R3092">
        <f>HYPERLINK("https://raw.githubusercontent.com/marcosmapl/dataset_imigrantes/main/materias_filtered/g1/haitianos/2014/01_fev/txt/g1_1bed473e-2314-11ed-b24f-6dbe51e79fca_3046.txt", "TXT")</f>
        <v/>
      </c>
    </row>
    <row r="3093">
      <c r="A3093" s="1" t="n">
        <v>3091</v>
      </c>
      <c r="B3093" t="n">
        <v>2014</v>
      </c>
      <c r="C3093" s="2" t="n">
        <v>41674.85902777778</v>
      </c>
      <c r="D3093" t="inlineStr">
        <is>
          <t>G1</t>
        </is>
      </c>
      <c r="E3093" t="inlineStr">
        <is>
          <t>HAITIANOS</t>
        </is>
      </c>
      <c r="F3093" t="inlineStr"/>
      <c r="G3093" t="inlineStr"/>
      <c r="H3093" t="inlineStr">
        <is>
          <t>DOCUMENTÁRIO MOSTRA AS MOTIVAÇÕES DA MIGRAÇÃO DE HAITIANOS</t>
        </is>
      </c>
      <c r="I3093" t="inlineStr"/>
      <c r="J3093" t="inlineStr">
        <is>
          <t>HAITI</t>
        </is>
      </c>
      <c r="K3093" t="n">
        <v>1</v>
      </c>
      <c r="L3093" t="n">
        <v>6</v>
      </c>
      <c r="M3093" t="n">
        <v>0</v>
      </c>
      <c r="N3093" t="n">
        <v>0</v>
      </c>
      <c r="O3093" t="n">
        <v>9</v>
      </c>
      <c r="P3093">
        <f>HYPERLINK("http://g1.globo.com/globo-news/noticia/2014/02/documentario-mostra-motivacoes-e-consequencias-da-migracao-dos-haitianos.html", "URL")</f>
        <v/>
      </c>
      <c r="Q3093">
        <f>HYPERLINK("https://raw.githubusercontent.com/marcosmapl/dataset_imigrantes/main/materias_filtered/g1/haitianos/2014/01_fev/html/g1_c61162de-22f8-11ed-b24f-6dbe51e79fca_2156.html", "HTML")</f>
        <v/>
      </c>
      <c r="R3093">
        <f>HYPERLINK("https://raw.githubusercontent.com/marcosmapl/dataset_imigrantes/main/materias_filtered/g1/haitianos/2014/01_fev/txt/g1_c61162de-22f8-11ed-b24f-6dbe51e79fca_2156.txt", "TXT")</f>
        <v/>
      </c>
    </row>
    <row r="3094">
      <c r="A3094" s="1" t="n">
        <v>3092</v>
      </c>
      <c r="B3094" t="n">
        <v>2014</v>
      </c>
      <c r="C3094" s="2" t="n">
        <v>41674.71111111111</v>
      </c>
      <c r="D3094" t="inlineStr">
        <is>
          <t>G1</t>
        </is>
      </c>
      <c r="E3094" t="inlineStr">
        <is>
          <t>HAITIANOS</t>
        </is>
      </c>
      <c r="F3094" t="inlineStr"/>
      <c r="G3094" t="inlineStr">
        <is>
          <t xml:space="preserve"> FULGÊNCIODO G1 AC</t>
        </is>
      </c>
      <c r="H3094" t="inlineStr">
        <is>
          <t>Nº DE HAITIANOS QUE SOLICITOU REFÚGIO NO AC CRESCE 123% EM DOIS ANOS</t>
        </is>
      </c>
      <c r="I3094" t="inlineStr"/>
      <c r="J3094" t="inlineStr">
        <is>
          <t>BRASILÉIA, EPITACIOLÂNDIA, RIO BRANCO</t>
        </is>
      </c>
      <c r="K3094" t="n">
        <v>3</v>
      </c>
      <c r="L3094" t="n">
        <v>5</v>
      </c>
      <c r="M3094" t="n">
        <v>0</v>
      </c>
      <c r="N3094" t="n">
        <v>0</v>
      </c>
      <c r="O3094" t="n">
        <v>13</v>
      </c>
      <c r="P3094">
        <f>HYPERLINK("http://g1.globo.com/ac/acre/noticia/2014/02/em-2-anos-mais-de-14-mil-haitianos-solicitaram-refugio-no-ac-diz-pf.html", "URL")</f>
        <v/>
      </c>
      <c r="Q3094">
        <f>HYPERLINK("https://raw.githubusercontent.com/marcosmapl/dataset_imigrantes/main/materias_filtered/g1/haitianos/2014/01_fev/html/g1_b19d7f40-22f8-11ed-b24f-6dbe51e79fca_2151.html", "HTML")</f>
        <v/>
      </c>
      <c r="R3094">
        <f>HYPERLINK("https://raw.githubusercontent.com/marcosmapl/dataset_imigrantes/main/materias_filtered/g1/haitianos/2014/01_fev/txt/g1_b19d7f40-22f8-11ed-b24f-6dbe51e79fca_2151.txt", "TXT")</f>
        <v/>
      </c>
    </row>
    <row r="3095">
      <c r="A3095" s="1" t="n">
        <v>3093</v>
      </c>
      <c r="B3095" t="n">
        <v>2014</v>
      </c>
      <c r="C3095" s="2" t="n">
        <v>41674.64027777778</v>
      </c>
      <c r="D3095" t="inlineStr">
        <is>
          <t>G1</t>
        </is>
      </c>
      <c r="E3095" t="inlineStr">
        <is>
          <t>HAITIANOS</t>
        </is>
      </c>
      <c r="F3095" t="inlineStr"/>
      <c r="G3095" t="inlineStr">
        <is>
          <t>1 SC</t>
        </is>
      </c>
      <c r="H3095" t="inlineStr">
        <is>
          <t>DEZESSEIS POLICIAIS HAITIANOS PARTICIPAM DE OPERAÇÃO DA PRF SC</t>
        </is>
      </c>
      <c r="I3095" t="inlineStr"/>
      <c r="J3095" t="inlineStr">
        <is>
          <t>FLORIANÓPOLIS</t>
        </is>
      </c>
      <c r="K3095" t="n">
        <v>1</v>
      </c>
      <c r="L3095" t="n">
        <v>4</v>
      </c>
      <c r="M3095" t="n">
        <v>0</v>
      </c>
      <c r="N3095" t="n">
        <v>0</v>
      </c>
      <c r="O3095" t="n">
        <v>10</v>
      </c>
      <c r="P3095">
        <f>HYPERLINK("http://g1.globo.com/sc/santa-catarina/noticia/2014/02/dezesseis-policiais-haitianos-participam-de-operacao-da-prf-sc.html", "URL")</f>
        <v/>
      </c>
      <c r="Q3095">
        <f>HYPERLINK("https://raw.githubusercontent.com/marcosmapl/dataset_imigrantes/main/materias_filtered/g1/haitianos/2014/01_fev/html/g1_85dc92a0-22f9-11ed-b24f-6dbe51e79fca_2167.html", "HTML")</f>
        <v/>
      </c>
      <c r="R3095">
        <f>HYPERLINK("https://raw.githubusercontent.com/marcosmapl/dataset_imigrantes/main/materias_filtered/g1/haitianos/2014/01_fev/txt/g1_85dc92a0-22f9-11ed-b24f-6dbe51e79fca_2167.txt", "TXT")</f>
        <v/>
      </c>
    </row>
    <row r="3096">
      <c r="A3096" s="1" t="n">
        <v>3094</v>
      </c>
      <c r="B3096" t="n">
        <v>2014</v>
      </c>
      <c r="C3096" s="2" t="n">
        <v>41674.29166666666</v>
      </c>
      <c r="D3096" t="inlineStr">
        <is>
          <t>G1</t>
        </is>
      </c>
      <c r="E3096" t="inlineStr">
        <is>
          <t>HAITIANOS</t>
        </is>
      </c>
      <c r="F3096" t="inlineStr"/>
      <c r="G3096" t="inlineStr">
        <is>
          <t>M NETODO G1 RO</t>
        </is>
      </c>
      <c r="H3096" t="inlineStr">
        <is>
          <t>RONDÔNIA EMITIRÁ 10 MIL CARTEIRAS DE TRABALHO A HAITIANOS ALOJADOS NO ACRE</t>
        </is>
      </c>
      <c r="I3096" t="inlineStr"/>
      <c r="J3096" t="inlineStr">
        <is>
          <t>PORTO VELHO</t>
        </is>
      </c>
      <c r="K3096" t="n">
        <v>1</v>
      </c>
      <c r="L3096" t="n">
        <v>5</v>
      </c>
      <c r="M3096" t="n">
        <v>0</v>
      </c>
      <c r="N3096" t="n">
        <v>0</v>
      </c>
      <c r="O3096" t="n">
        <v>9</v>
      </c>
      <c r="P3096">
        <f>HYPERLINK("http://g1.globo.com/ro/rondonia/noticia/2014/02/rondonia-emitira-10-mil-carteiras-de-trabalho-haitianos-alojados-no-acre.html", "URL")</f>
        <v/>
      </c>
      <c r="Q3096">
        <f>HYPERLINK("https://raw.githubusercontent.com/marcosmapl/dataset_imigrantes/main/materias_filtered/g1/haitianos/2014/01_fev/html/g1_ac7433d2-22f4-11ed-b24f-6dbe51e79fca_1904.html", "HTML")</f>
        <v/>
      </c>
      <c r="R3096">
        <f>HYPERLINK("https://raw.githubusercontent.com/marcosmapl/dataset_imigrantes/main/materias_filtered/g1/haitianos/2014/01_fev/txt/g1_ac7433d2-22f4-11ed-b24f-6dbe51e79fca_1904.txt", "TXT")</f>
        <v/>
      </c>
    </row>
    <row r="3097">
      <c r="A3097" s="1" t="n">
        <v>3095</v>
      </c>
      <c r="B3097" t="n">
        <v>2014</v>
      </c>
      <c r="C3097" s="2" t="n">
        <v>41670.80138888889</v>
      </c>
      <c r="D3097" t="inlineStr">
        <is>
          <t>G1</t>
        </is>
      </c>
      <c r="E3097" t="inlineStr">
        <is>
          <t>HAITIANOS</t>
        </is>
      </c>
      <c r="F3097" t="inlineStr"/>
      <c r="G3097" t="inlineStr">
        <is>
          <t xml:space="preserve"> MARCELDO G1 AC</t>
        </is>
      </c>
      <c r="H3097" t="inlineStr">
        <is>
          <t>MPF PEDE INFORMAÇÕES SOBRE SITUAÇÃO DE HAITIANOS</t>
        </is>
      </c>
      <c r="I3097" t="inlineStr"/>
      <c r="J3097" t="inlineStr">
        <is>
          <t>BRASILÉIA</t>
        </is>
      </c>
      <c r="K3097" t="n">
        <v>1</v>
      </c>
      <c r="L3097" t="n">
        <v>4</v>
      </c>
      <c r="M3097" t="n">
        <v>0</v>
      </c>
      <c r="N3097" t="n">
        <v>0</v>
      </c>
      <c r="O3097" t="n">
        <v>13</v>
      </c>
      <c r="P3097">
        <f>HYPERLINK("http://g1.globo.com/ac/acre/noticia/2014/01/mpf-pede-informacoes-sobre-situacao-de-haitianos.html", "URL")</f>
        <v/>
      </c>
      <c r="Q3097">
        <f>HYPERLINK("https://raw.githubusercontent.com/marcosmapl/dataset_imigrantes/main/materias_filtered/g1/haitianos/2014/00_jan/html/g1_6458400e-22f2-11ed-b24f-6dbe51e79fca_1794.html", "HTML")</f>
        <v/>
      </c>
      <c r="R3097">
        <f>HYPERLINK("https://raw.githubusercontent.com/marcosmapl/dataset_imigrantes/main/materias_filtered/g1/haitianos/2014/00_jan/txt/g1_6458400e-22f2-11ed-b24f-6dbe51e79fca_1794.txt", "TXT")</f>
        <v/>
      </c>
    </row>
    <row r="3098">
      <c r="A3098" s="1" t="n">
        <v>3096</v>
      </c>
      <c r="B3098" t="n">
        <v>2014</v>
      </c>
      <c r="C3098" s="2" t="n">
        <v>41670.76041666666</v>
      </c>
      <c r="D3098" t="inlineStr">
        <is>
          <t>G1</t>
        </is>
      </c>
      <c r="E3098" t="inlineStr">
        <is>
          <t>HAITIANOS</t>
        </is>
      </c>
      <c r="F3098" t="inlineStr"/>
      <c r="G3098" t="inlineStr">
        <is>
          <t>DA BORGESDO G1 AC</t>
        </is>
      </c>
      <c r="H3098" t="inlineStr">
        <is>
          <t>HAITIANOS CAUSAM TUMULTO EM FRENTE A PRÉDIO DA RECEITA FEDERAL EM BRASILÉIA</t>
        </is>
      </c>
      <c r="I3098" t="inlineStr"/>
      <c r="J3098" t="inlineStr">
        <is>
          <t>BRASILÉIA</t>
        </is>
      </c>
      <c r="K3098" t="n">
        <v>1</v>
      </c>
      <c r="L3098" t="n">
        <v>4</v>
      </c>
      <c r="M3098" t="n">
        <v>0</v>
      </c>
      <c r="N3098" t="n">
        <v>0</v>
      </c>
      <c r="O3098" t="n">
        <v>10</v>
      </c>
      <c r="P3098">
        <f>HYPERLINK("http://g1.globo.com/ac/acre/noticia/2014/01/haitianos-causam-tumulto-em-frente-predio-da-receita-federal-em-brasileia.html", "URL")</f>
        <v/>
      </c>
      <c r="Q3098">
        <f>HYPERLINK("https://raw.githubusercontent.com/marcosmapl/dataset_imigrantes/main/materias_filtered/g1/haitianos/2014/00_jan/html/g1_e1e33dc8-22f5-11ed-b24f-6dbe51e79fca_1978.html", "HTML")</f>
        <v/>
      </c>
      <c r="R3098">
        <f>HYPERLINK("https://raw.githubusercontent.com/marcosmapl/dataset_imigrantes/main/materias_filtered/g1/haitianos/2014/00_jan/txt/g1_e1e33dc8-22f5-11ed-b24f-6dbe51e79fca_1978.txt", "TXT")</f>
        <v/>
      </c>
    </row>
    <row r="3099">
      <c r="A3099" s="1" t="n">
        <v>3097</v>
      </c>
      <c r="B3099" t="n">
        <v>2014</v>
      </c>
      <c r="C3099" s="2" t="n">
        <v>41665.57986111111</v>
      </c>
      <c r="D3099" t="inlineStr">
        <is>
          <t>G1</t>
        </is>
      </c>
      <c r="E3099" t="inlineStr">
        <is>
          <t>HAITIANOS</t>
        </is>
      </c>
      <c r="F3099" t="inlineStr"/>
      <c r="G3099" t="inlineStr">
        <is>
          <t>1 AC</t>
        </is>
      </c>
      <c r="H3099" t="inlineStr">
        <is>
          <t>VOCÊ VIU? IRMÃS HAITIANAS ESPERAM POR MÃE EM ACAMPAMENTO E MAIS</t>
        </is>
      </c>
      <c r="I3099" t="inlineStr"/>
      <c r="J3099" t="inlineStr">
        <is>
          <t>RIO BRANCO</t>
        </is>
      </c>
      <c r="K3099" t="n">
        <v>1</v>
      </c>
      <c r="L3099" t="n">
        <v>11</v>
      </c>
      <c r="M3099" t="n">
        <v>0</v>
      </c>
      <c r="N3099" t="n">
        <v>0</v>
      </c>
      <c r="O3099" t="n">
        <v>41</v>
      </c>
      <c r="P3099">
        <f>HYPERLINK("http://g1.globo.com/ac/acre/noticia/2014/01/voce-viu-irmas-haitianas-esperam-por-mae-em-acampamento-e-mais.html", "URL")</f>
        <v/>
      </c>
      <c r="Q3099">
        <f>HYPERLINK("https://raw.githubusercontent.com/marcosmapl/dataset_imigrantes/main/materias_filtered/g1/haitianos/2014/00_jan/html/g1_4c665f26-230b-11ed-b24f-6dbe51e79fca_2557.html", "HTML")</f>
        <v/>
      </c>
      <c r="R3099">
        <f>HYPERLINK("https://raw.githubusercontent.com/marcosmapl/dataset_imigrantes/main/materias_filtered/g1/haitianos/2014/00_jan/txt/g1_4c665f26-230b-11ed-b24f-6dbe51e79fca_2557.txt", "TXT")</f>
        <v/>
      </c>
    </row>
    <row r="3100">
      <c r="A3100" s="1" t="n">
        <v>3098</v>
      </c>
      <c r="B3100" t="n">
        <v>2014</v>
      </c>
      <c r="C3100" s="2" t="n">
        <v>41662.68888888889</v>
      </c>
      <c r="D3100" t="inlineStr">
        <is>
          <t>G1</t>
        </is>
      </c>
      <c r="E3100" t="inlineStr">
        <is>
          <t>HAITIANOS</t>
        </is>
      </c>
      <c r="F3100" t="inlineStr"/>
      <c r="G3100" t="inlineStr">
        <is>
          <t xml:space="preserve"> FULGÊNCIODO G1 AC</t>
        </is>
      </c>
      <c r="H3100" t="inlineStr">
        <is>
          <t>CAMPANHA VAI VACINAR IMIGRANTES QUE ESTÃO EM ABRIGO NO INTERIOR DO ACRE</t>
        </is>
      </c>
      <c r="I3100" t="inlineStr"/>
      <c r="J3100" t="inlineStr">
        <is>
          <t>BRASILÉIA, RIO BRANCO</t>
        </is>
      </c>
      <c r="K3100" t="n">
        <v>2</v>
      </c>
      <c r="L3100" t="n">
        <v>3</v>
      </c>
      <c r="M3100" t="n">
        <v>0</v>
      </c>
      <c r="N3100" t="n">
        <v>0</v>
      </c>
      <c r="O3100" t="n">
        <v>13</v>
      </c>
      <c r="P3100">
        <f>HYPERLINK("http://g1.globo.com/ac/acre/noticia/2014/01/campanha-vai-vacinar-imigrantes-que-estao-em-abrigo-no-interior-do-acre.html", "URL")</f>
        <v/>
      </c>
      <c r="Q3100">
        <f>HYPERLINK("https://raw.githubusercontent.com/marcosmapl/dataset_imigrantes/main/materias_filtered/g1/haitianos/2014/00_jan/html/g1_16d68b88-2324-11ed-b24f-6dbe51e79fca_3848.html", "HTML")</f>
        <v/>
      </c>
      <c r="R3100">
        <f>HYPERLINK("https://raw.githubusercontent.com/marcosmapl/dataset_imigrantes/main/materias_filtered/g1/haitianos/2014/00_jan/txt/g1_16d68b88-2324-11ed-b24f-6dbe51e79fca_3848.txt", "TXT")</f>
        <v/>
      </c>
    </row>
    <row r="3101">
      <c r="A3101" s="1" t="n">
        <v>3099</v>
      </c>
      <c r="B3101" t="n">
        <v>2014</v>
      </c>
      <c r="C3101" s="2" t="n">
        <v>41660.98680555556</v>
      </c>
      <c r="D3101" t="inlineStr">
        <is>
          <t>G1</t>
        </is>
      </c>
      <c r="E3101" t="inlineStr">
        <is>
          <t>HAITIANOS</t>
        </is>
      </c>
      <c r="F3101" t="inlineStr"/>
      <c r="G3101" t="inlineStr">
        <is>
          <t>CILLA MENDES E VERIANA RIBEIRODO G1, EM BRASÍLIA E DO G1 AC</t>
        </is>
      </c>
      <c r="H3101" t="inlineStr">
        <is>
          <t>COMITIVA ACREANA DEBATE SITUAÇÃO DE HAITIANOS EM BRASÍLIA</t>
        </is>
      </c>
      <c r="I3101" t="inlineStr"/>
      <c r="J3101" t="inlineStr">
        <is>
          <t>BRASILÉIA, BRASÍLIA, MINISTÉRIO DA JUSTIÇA</t>
        </is>
      </c>
      <c r="K3101" t="n">
        <v>3</v>
      </c>
      <c r="L3101" t="n">
        <v>5</v>
      </c>
      <c r="M3101" t="n">
        <v>0</v>
      </c>
      <c r="N3101" t="n">
        <v>0</v>
      </c>
      <c r="O3101" t="n">
        <v>16</v>
      </c>
      <c r="P3101">
        <f>HYPERLINK("http://g1.globo.com/ac/acre/noticia/2014/01/comitiva-acreana-debate-situacao-de-haitianos-em-brasilia.html", "URL")</f>
        <v/>
      </c>
      <c r="Q3101">
        <f>HYPERLINK("https://raw.githubusercontent.com/marcosmapl/dataset_imigrantes/main/materias_filtered/g1/haitianos/2014/00_jan/html/g1_e6c54d32-22f4-11ed-b24f-6dbe51e79fca_1918.html", "HTML")</f>
        <v/>
      </c>
      <c r="R3101">
        <f>HYPERLINK("https://raw.githubusercontent.com/marcosmapl/dataset_imigrantes/main/materias_filtered/g1/haitianos/2014/00_jan/txt/g1_e6c54d32-22f4-11ed-b24f-6dbe51e79fca_1918.txt", "TXT")</f>
        <v/>
      </c>
    </row>
    <row r="3102">
      <c r="A3102" s="1" t="n">
        <v>3100</v>
      </c>
      <c r="B3102" t="n">
        <v>2014</v>
      </c>
      <c r="C3102" s="2" t="n">
        <v>41659.40347222222</v>
      </c>
      <c r="D3102" t="inlineStr">
        <is>
          <t>G1</t>
        </is>
      </c>
      <c r="E3102" t="inlineStr">
        <is>
          <t>HAITIANOS</t>
        </is>
      </c>
      <c r="F3102" t="inlineStr"/>
      <c r="G3102" t="inlineStr"/>
      <c r="H3102" t="inlineStr">
        <is>
          <t>ABRIGO PARA RECEBER IMIGRANTES HAITIANOS NO ACRE ESTÁ SUPERLOTADO</t>
        </is>
      </c>
      <c r="I3102" t="inlineStr"/>
      <c r="J3102" t="inlineStr">
        <is>
          <t>ASSIS BRASIL, BRASILÉIA, ACRE</t>
        </is>
      </c>
      <c r="K3102" t="n">
        <v>3</v>
      </c>
      <c r="L3102" t="n">
        <v>4</v>
      </c>
      <c r="M3102" t="n">
        <v>0</v>
      </c>
      <c r="N3102" t="n">
        <v>0</v>
      </c>
      <c r="O3102" t="n">
        <v>12</v>
      </c>
      <c r="P3102">
        <f>HYPERLINK("http://g1.globo.com/bom-dia-brasil/noticia/2014/01/abrigo-para-receber-imigrantes-haitianos-no-acre-esta-superlotado.html", "URL")</f>
        <v/>
      </c>
      <c r="Q3102">
        <f>HYPERLINK("https://raw.githubusercontent.com/marcosmapl/dataset_imigrantes/main/materias_filtered/g1/haitianos/2014/00_jan/html/g1_fcff38c6-22f7-11ed-b24f-6dbe51e79fca_2110.html", "HTML")</f>
        <v/>
      </c>
      <c r="R3102">
        <f>HYPERLINK("https://raw.githubusercontent.com/marcosmapl/dataset_imigrantes/main/materias_filtered/g1/haitianos/2014/00_jan/txt/g1_fcff38c6-22f7-11ed-b24f-6dbe51e79fca_2110.txt", "TXT")</f>
        <v/>
      </c>
    </row>
    <row r="3103">
      <c r="A3103" s="1" t="n">
        <v>3101</v>
      </c>
      <c r="B3103" t="n">
        <v>2014</v>
      </c>
      <c r="C3103" s="2" t="n">
        <v>41658.56180555555</v>
      </c>
      <c r="D3103" t="inlineStr">
        <is>
          <t>G1</t>
        </is>
      </c>
      <c r="E3103" t="inlineStr">
        <is>
          <t>HAITIANOS</t>
        </is>
      </c>
      <c r="F3103" t="inlineStr"/>
      <c r="G3103" t="inlineStr">
        <is>
          <t>ANA RIBEIRODO G1 AC</t>
        </is>
      </c>
      <c r="H3103" t="inlineStr">
        <is>
          <t>IRMÃS HAITIANAS ESPERAM POR MÃE EM ACAMPAMENTO DE IMIGRANTES, NO AC</t>
        </is>
      </c>
      <c r="I3103" t="inlineStr"/>
      <c r="J3103" t="inlineStr">
        <is>
          <t>BRASILÉIA</t>
        </is>
      </c>
      <c r="K3103" t="n">
        <v>1</v>
      </c>
      <c r="L3103" t="n">
        <v>5</v>
      </c>
      <c r="M3103" t="n">
        <v>0</v>
      </c>
      <c r="N3103" t="n">
        <v>0</v>
      </c>
      <c r="O3103" t="n">
        <v>12</v>
      </c>
      <c r="P3103">
        <f>HYPERLINK("http://g1.globo.com/ac/acre/noticia/2014/01/irmas-haitianas-esperam-por-mae-em-acampamento-de-imigrantes-no-ac.html", "URL")</f>
        <v/>
      </c>
      <c r="Q3103">
        <f>HYPERLINK("https://raw.githubusercontent.com/marcosmapl/dataset_imigrantes/main/materias_filtered/g1/haitianos/2014/00_jan/html/g1_2d1150e4-2316-11ed-b24f-6dbe51e79fca_3130.html", "HTML")</f>
        <v/>
      </c>
      <c r="R3103">
        <f>HYPERLINK("https://raw.githubusercontent.com/marcosmapl/dataset_imigrantes/main/materias_filtered/g1/haitianos/2014/00_jan/txt/g1_2d1150e4-2316-11ed-b24f-6dbe51e79fca_3130.txt", "TXT")</f>
        <v/>
      </c>
    </row>
    <row r="3104">
      <c r="A3104" s="1" t="n">
        <v>3102</v>
      </c>
      <c r="B3104" t="n">
        <v>2014</v>
      </c>
      <c r="C3104" s="2" t="n">
        <v>41658.53819444445</v>
      </c>
      <c r="D3104" t="inlineStr">
        <is>
          <t>G1</t>
        </is>
      </c>
      <c r="E3104" t="inlineStr">
        <is>
          <t>HAITIANOS</t>
        </is>
      </c>
      <c r="F3104" t="inlineStr"/>
      <c r="G3104" t="inlineStr">
        <is>
          <t>1 AC</t>
        </is>
      </c>
      <c r="H3104" t="inlineStr">
        <is>
          <t>VOCÊ VIU? DIVULGADOR DA TELEXFREE ACORRENTADO, HAITIANOS E MAIS NOTÍCIAS</t>
        </is>
      </c>
      <c r="I3104" t="inlineStr"/>
      <c r="J3104" t="inlineStr">
        <is>
          <t>RIO BRANCO</t>
        </is>
      </c>
      <c r="K3104" t="n">
        <v>1</v>
      </c>
      <c r="L3104" t="n">
        <v>11</v>
      </c>
      <c r="M3104" t="n">
        <v>0</v>
      </c>
      <c r="N3104" t="n">
        <v>0</v>
      </c>
      <c r="O3104" t="n">
        <v>40</v>
      </c>
      <c r="P3104">
        <f>HYPERLINK("http://g1.globo.com/ac/acre/noticia/2014/01/voce-viu-divulgador-da-telexfree-acorrentado-haitianos-e-mais-noticias.html", "URL")</f>
        <v/>
      </c>
      <c r="Q3104">
        <f>HYPERLINK("https://raw.githubusercontent.com/marcosmapl/dataset_imigrantes/main/materias_filtered/g1/haitianos/2014/00_jan/html/g1_fff07716-22f2-11ed-b24f-6dbe51e79fca_1820.html", "HTML")</f>
        <v/>
      </c>
      <c r="R3104">
        <f>HYPERLINK("https://raw.githubusercontent.com/marcosmapl/dataset_imigrantes/main/materias_filtered/g1/haitianos/2014/00_jan/txt/g1_fff07716-22f2-11ed-b24f-6dbe51e79fca_1820.txt", "TXT")</f>
        <v/>
      </c>
    </row>
    <row r="3105">
      <c r="A3105" s="1" t="n">
        <v>3103</v>
      </c>
      <c r="B3105" t="n">
        <v>2014</v>
      </c>
      <c r="C3105" s="2" t="n">
        <v>41655.77916666667</v>
      </c>
      <c r="D3105" t="inlineStr">
        <is>
          <t>G1</t>
        </is>
      </c>
      <c r="E3105" t="inlineStr">
        <is>
          <t>HAITIANOS</t>
        </is>
      </c>
      <c r="F3105" t="inlineStr"/>
      <c r="G3105" t="inlineStr">
        <is>
          <t>PE MATOSODO G1, EM BRASÍLIA</t>
        </is>
      </c>
      <c r="H3105" t="inlineStr">
        <is>
          <t>REUNIÃO INTERMINISTERIAL DISCUTIRÁ SITUAÇÃO DE HAITIANOS NO ACRE</t>
        </is>
      </c>
      <c r="I3105" t="inlineStr"/>
      <c r="J3105" t="inlineStr"/>
      <c r="K3105" t="n">
        <v>0</v>
      </c>
      <c r="L3105" t="n">
        <v>0</v>
      </c>
      <c r="M3105" t="n">
        <v>0</v>
      </c>
      <c r="N3105" t="n">
        <v>0</v>
      </c>
      <c r="O3105" t="n">
        <v>7</v>
      </c>
      <c r="P3105">
        <f>HYPERLINK("http://g1.globo.com/ac/acre/noticia/2014/01/reuniao-interministerial-discutira-situacao-de-haitianos-no-acre.html", "URL")</f>
        <v/>
      </c>
      <c r="Q3105">
        <f>HYPERLINK("https://raw.githubusercontent.com/marcosmapl/dataset_imigrantes/main/materias_filtered/g1/haitianos/2014/00_jan/html/g1_4b333f40-22fa-11ed-b24f-6dbe51e79fca_2210.html", "HTML")</f>
        <v/>
      </c>
      <c r="R3105">
        <f>HYPERLINK("https://raw.githubusercontent.com/marcosmapl/dataset_imigrantes/main/materias_filtered/g1/haitianos/2014/00_jan/txt/g1_4b333f40-22fa-11ed-b24f-6dbe51e79fca_2210.txt", "TXT")</f>
        <v/>
      </c>
    </row>
    <row r="3106">
      <c r="A3106" s="1" t="n">
        <v>3104</v>
      </c>
      <c r="B3106" t="n">
        <v>2014</v>
      </c>
      <c r="C3106" s="2" t="n">
        <v>41654.62986111111</v>
      </c>
      <c r="D3106" t="inlineStr">
        <is>
          <t>G1</t>
        </is>
      </c>
      <c r="E3106" t="inlineStr">
        <is>
          <t>HAITIANOS</t>
        </is>
      </c>
      <c r="F3106" t="inlineStr"/>
      <c r="G3106" t="inlineStr">
        <is>
          <t>ANE STOCHERO DO G1, EM SÃO PAULO</t>
        </is>
      </c>
      <c r="H3106" t="inlineStr">
        <is>
          <t>ENTRADA DIÁRIA DE HAITIANOS TRIPLICA E QUADRO PREOCUPA, DIZ GOVERNO DO ACRE</t>
        </is>
      </c>
      <c r="I3106" t="inlineStr"/>
      <c r="J3106" t="inlineStr">
        <is>
          <t>BRASILÉIA, TABATINGA, HAITI</t>
        </is>
      </c>
      <c r="K3106" t="n">
        <v>3</v>
      </c>
      <c r="L3106" t="n">
        <v>5</v>
      </c>
      <c r="M3106" t="n">
        <v>0</v>
      </c>
      <c r="N3106" t="n">
        <v>0</v>
      </c>
      <c r="O3106" t="n">
        <v>13</v>
      </c>
      <c r="P3106">
        <f>HYPERLINK("http://g1.globo.com/ac/acre/noticia/2014/01/em-7-dias-entrada-de-haitianos-triplica-e-acre-teme-tragedia.html", "URL")</f>
        <v/>
      </c>
      <c r="Q3106">
        <f>HYPERLINK("https://raw.githubusercontent.com/marcosmapl/dataset_imigrantes/main/materias_filtered/g1/haitianos/2014/00_jan/html/g1_95667c18-22f4-11ed-b24f-6dbe51e79fca_1899.html", "HTML")</f>
        <v/>
      </c>
      <c r="R3106">
        <f>HYPERLINK("https://raw.githubusercontent.com/marcosmapl/dataset_imigrantes/main/materias_filtered/g1/haitianos/2014/00_jan/txt/g1_95667c18-22f4-11ed-b24f-6dbe51e79fca_1899.txt", "TXT")</f>
        <v/>
      </c>
    </row>
    <row r="3107">
      <c r="A3107" s="1" t="n">
        <v>3105</v>
      </c>
      <c r="B3107" t="n">
        <v>2014</v>
      </c>
      <c r="C3107" s="2" t="n">
        <v>41650.51041666666</v>
      </c>
      <c r="D3107" t="inlineStr">
        <is>
          <t>G1</t>
        </is>
      </c>
      <c r="E3107" t="inlineStr">
        <is>
          <t>VENEZUELANOS</t>
        </is>
      </c>
      <c r="F3107" t="inlineStr"/>
      <c r="G3107" t="inlineStr">
        <is>
          <t>RANCE PRESSE</t>
        </is>
      </c>
      <c r="H3107" t="inlineStr">
        <is>
          <t>EX-MISS VENEZUELANA E MARIDO SÃO ENTERRADOS EM CARACAS</t>
        </is>
      </c>
      <c r="I3107" t="inlineStr"/>
      <c r="J3107" t="inlineStr">
        <is>
          <t>VENEZUELA</t>
        </is>
      </c>
      <c r="K3107" t="n">
        <v>1</v>
      </c>
      <c r="L3107" t="n">
        <v>6</v>
      </c>
      <c r="M3107" t="n">
        <v>0</v>
      </c>
      <c r="N3107" t="n">
        <v>0</v>
      </c>
      <c r="O3107" t="n">
        <v>13</v>
      </c>
      <c r="P3107">
        <f>HYPERLINK("http://g1.globo.com/mundo/noticia/2014/01/miss-venezuelana-e-marido-sao-enterrados-na-venezuela.html", "URL")</f>
        <v/>
      </c>
      <c r="Q3107">
        <f>HYPERLINK("https://raw.githubusercontent.com/marcosmapl/dataset_imigrantes/main/materias_filtered/g1/venezuelanos/2014/00_jan/html/g1_d272fc7a-2318-11ed-b24f-6dbe51e79fca_3282.html", "HTML")</f>
        <v/>
      </c>
      <c r="R3107">
        <f>HYPERLINK("https://raw.githubusercontent.com/marcosmapl/dataset_imigrantes/main/materias_filtered/g1/venezuelanos/2014/00_jan/txt/g1_d272fc7a-2318-11ed-b24f-6dbe51e79fca_3282.txt", "TXT")</f>
        <v/>
      </c>
    </row>
    <row r="3108">
      <c r="A3108" s="1" t="n">
        <v>3106</v>
      </c>
      <c r="B3108" t="n">
        <v>2014</v>
      </c>
      <c r="C3108" s="2" t="n">
        <v>41640.86805555555</v>
      </c>
      <c r="D3108" t="inlineStr">
        <is>
          <t>G1</t>
        </is>
      </c>
      <c r="E3108" t="inlineStr">
        <is>
          <t>HAITIANOS</t>
        </is>
      </c>
      <c r="F3108" t="inlineStr"/>
      <c r="G3108" t="inlineStr">
        <is>
          <t>1 RO COM INFORMAÇÕES DA TV RO</t>
        </is>
      </c>
      <c r="H3108" t="inlineStr">
        <is>
          <t>HAITIANOS CELEBRAM ANO NOVO E LIBERDADE COM SOPA TRADICIONAL EM RO</t>
        </is>
      </c>
      <c r="I3108" t="inlineStr"/>
      <c r="J3108" t="inlineStr">
        <is>
          <t>PORTO VELHO</t>
        </is>
      </c>
      <c r="K3108" t="n">
        <v>1</v>
      </c>
      <c r="L3108" t="n">
        <v>3</v>
      </c>
      <c r="M3108" t="n">
        <v>0</v>
      </c>
      <c r="N3108" t="n">
        <v>0</v>
      </c>
      <c r="O3108" t="n">
        <v>9</v>
      </c>
      <c r="P3108">
        <f>HYPERLINK("http://g1.globo.com/ro/rondonia/noticia/2014/01/haitianos-celebram-ano-novo-e-liberdade-com-sopa-tradicional-em-ro.html", "URL")</f>
        <v/>
      </c>
      <c r="Q3108">
        <f>HYPERLINK("https://raw.githubusercontent.com/marcosmapl/dataset_imigrantes/main/materias_filtered/g1/haitianos/2014/00_jan/html/g1_5d28edf8-22fa-11ed-b24f-6dbe51e79fca_2214.html", "HTML")</f>
        <v/>
      </c>
      <c r="R3108">
        <f>HYPERLINK("https://raw.githubusercontent.com/marcosmapl/dataset_imigrantes/main/materias_filtered/g1/haitianos/2014/00_jan/txt/g1_5d28edf8-22fa-11ed-b24f-6dbe51e79fca_2214.txt", "TXT")</f>
        <v/>
      </c>
    </row>
    <row r="3109">
      <c r="A3109" s="1" t="n">
        <v>3107</v>
      </c>
      <c r="B3109" t="n">
        <v>2013</v>
      </c>
      <c r="C3109" s="2" t="n">
        <v>41634.28194444445</v>
      </c>
      <c r="D3109" t="inlineStr">
        <is>
          <t>G1</t>
        </is>
      </c>
      <c r="E3109" t="inlineStr">
        <is>
          <t>HAITIANOS</t>
        </is>
      </c>
      <c r="F3109" t="inlineStr"/>
      <c r="G3109" t="inlineStr">
        <is>
          <t>LOBO RURAL</t>
        </is>
      </c>
      <c r="H3109" t="inlineStr">
        <is>
          <t>SALADA RUSSE É UM PRATO QUE NÃO PODE FALTAR NAS FESTAS DOS HAITIANOS</t>
        </is>
      </c>
      <c r="I3109" t="inlineStr"/>
      <c r="J3109" t="inlineStr">
        <is>
          <t>ENCANTADO</t>
        </is>
      </c>
      <c r="K3109" t="n">
        <v>1</v>
      </c>
      <c r="L3109" t="n">
        <v>4</v>
      </c>
      <c r="M3109" t="n">
        <v>0</v>
      </c>
      <c r="N3109" t="n">
        <v>0</v>
      </c>
      <c r="O3109" t="n">
        <v>12</v>
      </c>
      <c r="P3109">
        <f>HYPERLINK("http://g1.globo.com/economia/agronegocios/vida-rural/noticia/2013/12/salada-russe-e-um-prato-que-nao-pode-faltar-nas-festas-dos-haitianos.html", "URL")</f>
        <v/>
      </c>
      <c r="Q3109">
        <f>HYPERLINK("https://raw.githubusercontent.com/marcosmapl/dataset_imigrantes/main/materias_filtered/g1/haitianos/2013/11_dez/html/g1_d60790be-22f3-11ed-b24f-6dbe51e79fca_1860.html", "HTML")</f>
        <v/>
      </c>
      <c r="R3109">
        <f>HYPERLINK("https://raw.githubusercontent.com/marcosmapl/dataset_imigrantes/main/materias_filtered/g1/haitianos/2013/11_dez/txt/g1_d60790be-22f3-11ed-b24f-6dbe51e79fca_1860.txt", "TXT")</f>
        <v/>
      </c>
    </row>
    <row r="3110">
      <c r="A3110" s="1" t="n">
        <v>3108</v>
      </c>
      <c r="B3110" t="n">
        <v>2013</v>
      </c>
      <c r="C3110" s="2" t="n">
        <v>41633.92013888889</v>
      </c>
      <c r="D3110" t="inlineStr">
        <is>
          <t>G1</t>
        </is>
      </c>
      <c r="E3110" t="inlineStr">
        <is>
          <t>HAITIANOS</t>
        </is>
      </c>
      <c r="F3110" t="inlineStr"/>
      <c r="G3110" t="inlineStr">
        <is>
          <t>RANCE PRESSE</t>
        </is>
      </c>
      <c r="H3110" t="inlineStr">
        <is>
          <t>NAUFRÁGIO NO CARIBE MATA 17 IMIGRANTES HAITIANOS</t>
        </is>
      </c>
      <c r="I3110" t="inlineStr"/>
      <c r="J3110" t="inlineStr">
        <is>
          <t>ESTADOS UNIDOS, HAITI</t>
        </is>
      </c>
      <c r="K3110" t="n">
        <v>2</v>
      </c>
      <c r="L3110" t="n">
        <v>2</v>
      </c>
      <c r="M3110" t="n">
        <v>0</v>
      </c>
      <c r="N3110" t="n">
        <v>0</v>
      </c>
      <c r="O3110" t="n">
        <v>11</v>
      </c>
      <c r="P3110">
        <f>HYPERLINK("http://g1.globo.com/mundo/noticia/2013/12/naufragio-no-caribe-mata-17-imigrantes-haitianos.html", "URL")</f>
        <v/>
      </c>
      <c r="Q3110">
        <f>HYPERLINK("https://raw.githubusercontent.com/marcosmapl/dataset_imigrantes/main/materias_filtered/g1/haitianos/2013/11_dez/html/g1_91b093ba-22f4-11ed-b24f-6dbe51e79fca_1898.html", "HTML")</f>
        <v/>
      </c>
      <c r="R3110">
        <f>HYPERLINK("https://raw.githubusercontent.com/marcosmapl/dataset_imigrantes/main/materias_filtered/g1/haitianos/2013/11_dez/txt/g1_91b093ba-22f4-11ed-b24f-6dbe51e79fca_1898.txt", "TXT")</f>
        <v/>
      </c>
    </row>
    <row r="3111">
      <c r="A3111" s="1" t="n">
        <v>3109</v>
      </c>
      <c r="B3111" t="n">
        <v>2013</v>
      </c>
      <c r="C3111" s="2" t="n">
        <v>41633.76041666666</v>
      </c>
      <c r="D3111" t="inlineStr">
        <is>
          <t>G1</t>
        </is>
      </c>
      <c r="E3111" t="inlineStr">
        <is>
          <t>HAITIANOS</t>
        </is>
      </c>
      <c r="F3111" t="inlineStr"/>
      <c r="G3111" t="inlineStr">
        <is>
          <t>EUTERS</t>
        </is>
      </c>
      <c r="H3111" t="inlineStr">
        <is>
          <t>DEZOITO HAITIANOS MORREM APÓS NAUFRÁGIO EM TURKS E CAICOS</t>
        </is>
      </c>
      <c r="I3111" t="inlineStr"/>
      <c r="J3111" t="inlineStr"/>
      <c r="K3111" t="n">
        <v>0</v>
      </c>
      <c r="L3111" t="n">
        <v>1</v>
      </c>
      <c r="M3111" t="n">
        <v>0</v>
      </c>
      <c r="N3111" t="n">
        <v>0</v>
      </c>
      <c r="O3111" t="n">
        <v>4</v>
      </c>
      <c r="P3111">
        <f>HYPERLINK("http://g1.globo.com/mundo/noticia/2013/12/dezoito-haitianos-morrem-apos-naufragio-em-turks-e-caicos.html", "URL")</f>
        <v/>
      </c>
      <c r="Q3111">
        <f>HYPERLINK("https://raw.githubusercontent.com/marcosmapl/dataset_imigrantes/main/materias_filtered/g1/haitianos/2013/11_dez/html/g1_b1b0aab0-22f9-11ed-b24f-6dbe51e79fca_2179.html", "HTML")</f>
        <v/>
      </c>
      <c r="R3111">
        <f>HYPERLINK("https://raw.githubusercontent.com/marcosmapl/dataset_imigrantes/main/materias_filtered/g1/haitianos/2013/11_dez/txt/g1_b1b0aab0-22f9-11ed-b24f-6dbe51e79fca_2179.txt", "TXT")</f>
        <v/>
      </c>
    </row>
    <row r="3112">
      <c r="A3112" s="1" t="n">
        <v>3110</v>
      </c>
      <c r="B3112" t="n">
        <v>2013</v>
      </c>
      <c r="C3112" s="2" t="n">
        <v>41626.78958333333</v>
      </c>
      <c r="D3112" t="inlineStr">
        <is>
          <t>G1</t>
        </is>
      </c>
      <c r="E3112" t="inlineStr">
        <is>
          <t>HAITIANOS</t>
        </is>
      </c>
      <c r="F3112" t="inlineStr"/>
      <c r="G3112" t="inlineStr">
        <is>
          <t>1 TO, COM INFORMAÇÕES DA TV ANHANGUERA</t>
        </is>
      </c>
      <c r="H3112" t="inlineStr">
        <is>
          <t>HAITIANOS E SENEGALESES CHEGAM PARA TRABALHAR EM FRIGORÍFICO DO TOCANTINS</t>
        </is>
      </c>
      <c r="I3112" t="inlineStr"/>
      <c r="J3112" t="inlineStr">
        <is>
          <t>BRASILÉIA, ACRE, HAITI, SENEGAL, TOCANTINS, ALVORADA</t>
        </is>
      </c>
      <c r="K3112" t="n">
        <v>6</v>
      </c>
      <c r="L3112" t="n">
        <v>6</v>
      </c>
      <c r="M3112" t="n">
        <v>0</v>
      </c>
      <c r="N3112" t="n">
        <v>0</v>
      </c>
      <c r="O3112" t="n">
        <v>16</v>
      </c>
      <c r="P3112">
        <f>HYPERLINK("http://g1.globo.com/to/tocantins/noticia/2013/12/haitianos-e-senegaleses-chegam-para-trabalhar-em-frigorifico-do-tocantins.html", "URL")</f>
        <v/>
      </c>
      <c r="Q3112">
        <f>HYPERLINK("https://raw.githubusercontent.com/marcosmapl/dataset_imigrantes/main/materias_filtered/g1/haitianos/2013/11_dez/html/g1_6e2e2d32-22f2-11ed-b24f-6dbe51e79fca_1797.html", "HTML")</f>
        <v/>
      </c>
      <c r="R3112">
        <f>HYPERLINK("https://raw.githubusercontent.com/marcosmapl/dataset_imigrantes/main/materias_filtered/g1/haitianos/2013/11_dez/txt/g1_6e2e2d32-22f2-11ed-b24f-6dbe51e79fca_1797.txt", "TXT")</f>
        <v/>
      </c>
    </row>
    <row r="3113">
      <c r="A3113" s="1" t="n">
        <v>3111</v>
      </c>
      <c r="B3113" t="n">
        <v>2013</v>
      </c>
      <c r="C3113" s="2" t="n">
        <v>41618.53263888889</v>
      </c>
      <c r="D3113" t="inlineStr">
        <is>
          <t>G1</t>
        </is>
      </c>
      <c r="E3113" t="inlineStr">
        <is>
          <t>HAITIANOS</t>
        </is>
      </c>
      <c r="F3113" t="inlineStr"/>
      <c r="G3113" t="inlineStr">
        <is>
          <t>1 AC</t>
        </is>
      </c>
      <c r="H3113" t="inlineStr">
        <is>
          <t>ACRE COMPRA MAIS DE R$ 1,2 MILHÃO EM COMIDA PARA HAITIANOS</t>
        </is>
      </c>
      <c r="I3113" t="inlineStr"/>
      <c r="J3113" t="inlineStr">
        <is>
          <t>RIO BRANCO</t>
        </is>
      </c>
      <c r="K3113" t="n">
        <v>1</v>
      </c>
      <c r="L3113" t="n">
        <v>5</v>
      </c>
      <c r="M3113" t="n">
        <v>0</v>
      </c>
      <c r="N3113" t="n">
        <v>0</v>
      </c>
      <c r="O3113" t="n">
        <v>13</v>
      </c>
      <c r="P3113">
        <f>HYPERLINK("http://g1.globo.com/ac/acre/noticia/2013/12/acre-compra-mais-de-r-12-milhao-em-comida-para-haitianos.html", "URL")</f>
        <v/>
      </c>
      <c r="Q3113">
        <f>HYPERLINK("https://raw.githubusercontent.com/marcosmapl/dataset_imigrantes/main/materias_filtered/g1/haitianos/2013/11_dez/html/g1_f9f4f526-22f7-11ed-b24f-6dbe51e79fca_2109.html", "HTML")</f>
        <v/>
      </c>
      <c r="R3113">
        <f>HYPERLINK("https://raw.githubusercontent.com/marcosmapl/dataset_imigrantes/main/materias_filtered/g1/haitianos/2013/11_dez/txt/g1_f9f4f526-22f7-11ed-b24f-6dbe51e79fca_2109.txt", "TXT")</f>
        <v/>
      </c>
    </row>
    <row r="3114">
      <c r="A3114" s="1" t="n">
        <v>3112</v>
      </c>
      <c r="B3114" t="n">
        <v>2013</v>
      </c>
      <c r="C3114" s="2" t="n">
        <v>41612.57291666666</v>
      </c>
      <c r="D3114" t="inlineStr">
        <is>
          <t>G1</t>
        </is>
      </c>
      <c r="E3114" t="inlineStr">
        <is>
          <t>VENEZUELANOS</t>
        </is>
      </c>
      <c r="F3114" t="inlineStr"/>
      <c r="G3114" t="inlineStr">
        <is>
          <t>FP</t>
        </is>
      </c>
      <c r="H3114" t="inlineStr">
        <is>
          <t>EMBAIXADA VENEZUELANA NO QUÊNIA TRAFICAVA DROGAS, DIZ TESTEMUNHA</t>
        </is>
      </c>
      <c r="I3114" t="inlineStr"/>
      <c r="J3114" t="inlineStr">
        <is>
          <t>QUÊNIA, VENEZUELA</t>
        </is>
      </c>
      <c r="K3114" t="n">
        <v>2</v>
      </c>
      <c r="L3114" t="n">
        <v>2</v>
      </c>
      <c r="M3114" t="n">
        <v>0</v>
      </c>
      <c r="N3114" t="n">
        <v>0</v>
      </c>
      <c r="O3114" t="n">
        <v>10</v>
      </c>
      <c r="P3114">
        <f>HYPERLINK("http://g1.globo.com/mundo/noticia/2013/12/embaixada-venezuelana-no-quenia-traficava-drogas-diz-testemunha.html", "URL")</f>
        <v/>
      </c>
      <c r="Q3114">
        <f>HYPERLINK("https://raw.githubusercontent.com/marcosmapl/dataset_imigrantes/main/materias_filtered/g1/venezuelanos/2013/11_dez/html/g1_bf0f0b9e-2307-11ed-b24f-6dbe51e79fca_2339.html", "HTML")</f>
        <v/>
      </c>
      <c r="R3114">
        <f>HYPERLINK("https://raw.githubusercontent.com/marcosmapl/dataset_imigrantes/main/materias_filtered/g1/venezuelanos/2013/11_dez/txt/g1_bf0f0b9e-2307-11ed-b24f-6dbe51e79fca_2339.txt", "TXT")</f>
        <v/>
      </c>
    </row>
    <row r="3115">
      <c r="A3115" s="1" t="n">
        <v>3113</v>
      </c>
      <c r="B3115" t="n">
        <v>2013</v>
      </c>
      <c r="C3115" s="2" t="n">
        <v>41605.70833333334</v>
      </c>
      <c r="D3115" t="inlineStr">
        <is>
          <t>G1</t>
        </is>
      </c>
      <c r="E3115" t="inlineStr">
        <is>
          <t>HAITIANOS</t>
        </is>
      </c>
      <c r="F3115" t="inlineStr"/>
      <c r="G3115" t="inlineStr">
        <is>
          <t>EUTERS</t>
        </is>
      </c>
      <c r="H3115" t="inlineStr">
        <is>
          <t>IMIGRANTE HAITIANO SE AGARRA A PEDAÇO DE TRONCO E É SALVO APÓS NAUFRÁGIO</t>
        </is>
      </c>
      <c r="I3115" t="inlineStr"/>
      <c r="J3115" t="inlineStr">
        <is>
          <t>BAHAMAS, HAITI</t>
        </is>
      </c>
      <c r="K3115" t="n">
        <v>2</v>
      </c>
      <c r="L3115" t="n">
        <v>6</v>
      </c>
      <c r="M3115" t="n">
        <v>0</v>
      </c>
      <c r="N3115" t="n">
        <v>0</v>
      </c>
      <c r="O3115" t="n">
        <v>10</v>
      </c>
      <c r="P3115">
        <f>HYPERLINK("http://g1.globo.com/mundo/noticia/2013/11/imigrante-haitiano-se-agarra-a-pedaco-de-tronco-e-e-salvo-nas-bahamas.html", "URL")</f>
        <v/>
      </c>
      <c r="Q3115">
        <f>HYPERLINK("https://raw.githubusercontent.com/marcosmapl/dataset_imigrantes/main/materias_filtered/g1/haitianos/2013/10_nov/html/g1_8c4abf6e-231b-11ed-b24f-6dbe51e79fca_3391.html", "HTML")</f>
        <v/>
      </c>
      <c r="R3115">
        <f>HYPERLINK("https://raw.githubusercontent.com/marcosmapl/dataset_imigrantes/main/materias_filtered/g1/haitianos/2013/10_nov/txt/g1_8c4abf6e-231b-11ed-b24f-6dbe51e79fca_3391.txt", "TXT")</f>
        <v/>
      </c>
    </row>
    <row r="3116">
      <c r="A3116" s="1" t="n">
        <v>3114</v>
      </c>
      <c r="B3116" t="n">
        <v>2013</v>
      </c>
      <c r="C3116" s="2" t="n">
        <v>41605.34027777778</v>
      </c>
      <c r="D3116" t="inlineStr">
        <is>
          <t>G1</t>
        </is>
      </c>
      <c r="E3116" t="inlineStr">
        <is>
          <t>HAITIANOS</t>
        </is>
      </c>
      <c r="F3116" t="inlineStr"/>
      <c r="G3116" t="inlineStr">
        <is>
          <t>BC</t>
        </is>
      </c>
      <c r="H3116" t="inlineStr">
        <is>
          <t>BARCO SUPERLOTADO DE IMIGRANTES HAITIANOS VIRA NAS BAHAMAS</t>
        </is>
      </c>
      <c r="I3116" t="inlineStr"/>
      <c r="J3116" t="inlineStr">
        <is>
          <t>BAHAMAS, ESTADOS UNIDOS, HAITI</t>
        </is>
      </c>
      <c r="K3116" t="n">
        <v>3</v>
      </c>
      <c r="L3116" t="n">
        <v>6</v>
      </c>
      <c r="M3116" t="n">
        <v>0</v>
      </c>
      <c r="N3116" t="n">
        <v>0</v>
      </c>
      <c r="O3116" t="n">
        <v>13</v>
      </c>
      <c r="P3116">
        <f>HYPERLINK("http://g1.globo.com/mundo/noticia/2013/11/barco-superlotado-de-imigrantes-haitianos-vira-nas-bahamas.html", "URL")</f>
        <v/>
      </c>
      <c r="Q3116">
        <f>HYPERLINK("https://raw.githubusercontent.com/marcosmapl/dataset_imigrantes/main/materias_filtered/g1/haitianos/2013/10_nov/html/g1_7bb1ff14-22f8-11ed-b24f-6dbe51e79fca_2138.html", "HTML")</f>
        <v/>
      </c>
      <c r="R3116">
        <f>HYPERLINK("https://raw.githubusercontent.com/marcosmapl/dataset_imigrantes/main/materias_filtered/g1/haitianos/2013/10_nov/txt/g1_7bb1ff14-22f8-11ed-b24f-6dbe51e79fca_2138.txt", "TXT")</f>
        <v/>
      </c>
    </row>
    <row r="3117">
      <c r="A3117" s="1" t="n">
        <v>3115</v>
      </c>
      <c r="B3117" t="n">
        <v>2013</v>
      </c>
      <c r="C3117" s="2" t="n">
        <v>41604.62152777778</v>
      </c>
      <c r="D3117" t="inlineStr">
        <is>
          <t>G1</t>
        </is>
      </c>
      <c r="E3117" t="inlineStr">
        <is>
          <t>HAITIANOS</t>
        </is>
      </c>
      <c r="F3117" t="inlineStr"/>
      <c r="G3117" t="inlineStr">
        <is>
          <t>1, EM SÃO PAULO</t>
        </is>
      </c>
      <c r="H3117" t="inlineStr">
        <is>
          <t>IMIGRANTES HAITIANOS MORREM EM NAUFRÁGIO NAS BAHAMAS</t>
        </is>
      </c>
      <c r="I3117" t="inlineStr"/>
      <c r="J3117" t="inlineStr">
        <is>
          <t>BAHAMAS, ESTADOS UNIDOS, HAITI</t>
        </is>
      </c>
      <c r="K3117" t="n">
        <v>3</v>
      </c>
      <c r="L3117" t="n">
        <v>6</v>
      </c>
      <c r="M3117" t="n">
        <v>0</v>
      </c>
      <c r="N3117" t="n">
        <v>0</v>
      </c>
      <c r="O3117" t="n">
        <v>12</v>
      </c>
      <c r="P3117">
        <f>HYPERLINK("http://g1.globo.com/mundo/noticia/2013/11/imigrantes-haitianos-morrem-em-naufragio-nas-bahamas.html", "URL")</f>
        <v/>
      </c>
      <c r="Q3117">
        <f>HYPERLINK("https://raw.githubusercontent.com/marcosmapl/dataset_imigrantes/main/materias_filtered/g1/haitianos/2013/10_nov/html/g1_31c0a7c8-22fa-11ed-b24f-6dbe51e79fca_2205.html", "HTML")</f>
        <v/>
      </c>
      <c r="R3117">
        <f>HYPERLINK("https://raw.githubusercontent.com/marcosmapl/dataset_imigrantes/main/materias_filtered/g1/haitianos/2013/10_nov/txt/g1_31c0a7c8-22fa-11ed-b24f-6dbe51e79fca_2205.txt", "TXT")</f>
        <v/>
      </c>
    </row>
    <row r="3118">
      <c r="A3118" s="1" t="n">
        <v>3116</v>
      </c>
      <c r="B3118" t="n">
        <v>2013</v>
      </c>
      <c r="C3118" s="2" t="n">
        <v>41602.51875</v>
      </c>
      <c r="D3118" t="inlineStr">
        <is>
          <t>G1</t>
        </is>
      </c>
      <c r="E3118" t="inlineStr">
        <is>
          <t>HAITIANOS</t>
        </is>
      </c>
      <c r="F3118" t="inlineStr"/>
      <c r="G3118" t="inlineStr">
        <is>
          <t>1 MT</t>
        </is>
      </c>
      <c r="H3118" t="inlineStr">
        <is>
          <t>HAITIANOS CONCLUEM CURSO NA ÁREA DE CONSTRUÇÃO CIVIL EM MT PARA A COPA</t>
        </is>
      </c>
      <c r="I3118" t="inlineStr"/>
      <c r="J3118" t="inlineStr">
        <is>
          <t>CUIABÁ</t>
        </is>
      </c>
      <c r="K3118" t="n">
        <v>1</v>
      </c>
      <c r="L3118" t="n">
        <v>4</v>
      </c>
      <c r="M3118" t="n">
        <v>0</v>
      </c>
      <c r="N3118" t="n">
        <v>0</v>
      </c>
      <c r="O3118" t="n">
        <v>11</v>
      </c>
      <c r="P3118">
        <f>HYPERLINK("http://g1.globo.com/mato-grosso/noticia/2013/11/haitianos-concluem-curso-na-area-de-construcao-civil-em-mt-para-copa.html", "URL")</f>
        <v/>
      </c>
      <c r="Q3118">
        <f>HYPERLINK("https://raw.githubusercontent.com/marcosmapl/dataset_imigrantes/main/materias_filtered/g1/haitianos/2013/10_nov/html/g1_6fd445f8-22f8-11ed-b24f-6dbe51e79fca_2134.html", "HTML")</f>
        <v/>
      </c>
      <c r="R3118">
        <f>HYPERLINK("https://raw.githubusercontent.com/marcosmapl/dataset_imigrantes/main/materias_filtered/g1/haitianos/2013/10_nov/txt/g1_6fd445f8-22f8-11ed-b24f-6dbe51e79fca_2134.txt", "TXT")</f>
        <v/>
      </c>
    </row>
    <row r="3119">
      <c r="A3119" s="1" t="n">
        <v>3117</v>
      </c>
      <c r="B3119" t="n">
        <v>2013</v>
      </c>
      <c r="C3119" s="2" t="n">
        <v>41598.54583333333</v>
      </c>
      <c r="D3119" t="inlineStr">
        <is>
          <t>G1</t>
        </is>
      </c>
      <c r="E3119" t="inlineStr">
        <is>
          <t>HAITIANOS</t>
        </is>
      </c>
      <c r="F3119" t="inlineStr"/>
      <c r="G3119" t="inlineStr">
        <is>
          <t>1 SOROCABA E JUNDIAÍ</t>
        </is>
      </c>
      <c r="H3119" t="inlineStr">
        <is>
          <t>HAITIANO QUE SE ACIDENTOU NA RODOVIA DOS BANDEIRANTES MORRE EM JUNDIAÍ</t>
        </is>
      </c>
      <c r="I3119" t="inlineStr"/>
      <c r="J3119" t="inlineStr">
        <is>
          <t>CAJAMAR, JUNDIAÍ</t>
        </is>
      </c>
      <c r="K3119" t="n">
        <v>2</v>
      </c>
      <c r="L3119" t="n">
        <v>4</v>
      </c>
      <c r="M3119" t="n">
        <v>0</v>
      </c>
      <c r="N3119" t="n">
        <v>0</v>
      </c>
      <c r="O3119" t="n">
        <v>10</v>
      </c>
      <c r="P3119">
        <f>HYPERLINK("http://g1.globo.com/sao-paulo/sorocaba-jundiai/noticia/2013/11/haitiano-que-se-acidentou-na-rodovia-dos-bandeirantes-morre-em-jundiai.html", "URL")</f>
        <v/>
      </c>
      <c r="Q3119">
        <f>HYPERLINK("https://raw.githubusercontent.com/marcosmapl/dataset_imigrantes/main/materias_filtered/g1/haitianos/2013/10_nov/html/g1_17a00b9a-2327-11ed-b24f-6dbe51e79fca_4017.html", "HTML")</f>
        <v/>
      </c>
      <c r="R3119">
        <f>HYPERLINK("https://raw.githubusercontent.com/marcosmapl/dataset_imigrantes/main/materias_filtered/g1/haitianos/2013/10_nov/txt/g1_17a00b9a-2327-11ed-b24f-6dbe51e79fca_4017.txt", "TXT")</f>
        <v/>
      </c>
    </row>
    <row r="3120">
      <c r="A3120" s="1" t="n">
        <v>3118</v>
      </c>
      <c r="B3120" t="n">
        <v>2013</v>
      </c>
      <c r="C3120" s="2" t="n">
        <v>41584.88958333333</v>
      </c>
      <c r="D3120" t="inlineStr">
        <is>
          <t>G1</t>
        </is>
      </c>
      <c r="E3120" t="inlineStr">
        <is>
          <t>HAITIANOS</t>
        </is>
      </c>
      <c r="F3120" t="inlineStr"/>
      <c r="G3120" t="inlineStr">
        <is>
          <t>1 GO, COM INFORMAÇÕES DA TV ANHAGUERA</t>
        </is>
      </c>
      <c r="H3120" t="inlineStr">
        <is>
          <t>HAITIANOS QUE RECUSARAM ACORDO COM EMPRESA SÃO ABRIGADOS EM GOIÂNIA</t>
        </is>
      </c>
      <c r="I3120" t="inlineStr"/>
      <c r="J3120" t="inlineStr">
        <is>
          <t>GOIÂNIA, TRINDADE</t>
        </is>
      </c>
      <c r="K3120" t="n">
        <v>2</v>
      </c>
      <c r="L3120" t="n">
        <v>5</v>
      </c>
      <c r="M3120" t="n">
        <v>0</v>
      </c>
      <c r="N3120" t="n">
        <v>0</v>
      </c>
      <c r="O3120" t="n">
        <v>13</v>
      </c>
      <c r="P3120">
        <f>HYPERLINK("http://g1.globo.com/goias/noticia/2013/11/haitianos-que-recusaram-acordo-com-empresa-sao-abrigados-em-goiania.html", "URL")</f>
        <v/>
      </c>
      <c r="Q3120">
        <f>HYPERLINK("https://raw.githubusercontent.com/marcosmapl/dataset_imigrantes/main/materias_filtered/g1/haitianos/2013/10_nov/html/g1_e035f166-22f3-11ed-b24f-6dbe51e79fca_1863.html", "HTML")</f>
        <v/>
      </c>
      <c r="R3120">
        <f>HYPERLINK("https://raw.githubusercontent.com/marcosmapl/dataset_imigrantes/main/materias_filtered/g1/haitianos/2013/10_nov/txt/g1_e035f166-22f3-11ed-b24f-6dbe51e79fca_1863.txt", "TXT")</f>
        <v/>
      </c>
    </row>
    <row r="3121">
      <c r="A3121" s="1" t="n">
        <v>3119</v>
      </c>
      <c r="B3121" t="n">
        <v>2013</v>
      </c>
      <c r="C3121" s="2" t="n">
        <v>41583.92083333333</v>
      </c>
      <c r="D3121" t="inlineStr">
        <is>
          <t>G1</t>
        </is>
      </c>
      <c r="E3121" t="inlineStr">
        <is>
          <t>HAITIANOS</t>
        </is>
      </c>
      <c r="F3121" t="inlineStr"/>
      <c r="G3121" t="inlineStr">
        <is>
          <t>1 GO, COM INFORMAÇÕES DA TV ANHANGUERA</t>
        </is>
      </c>
      <c r="H3121" t="inlineStr">
        <is>
          <t>HAITIANOS ALEGAM QUE FORAM ILUDIDOS POR PROMESSA DE TRABALHO EM GOIÁS</t>
        </is>
      </c>
      <c r="I3121" t="inlineStr"/>
      <c r="J3121" t="inlineStr">
        <is>
          <t>GOIÂNIA, TRINDADE</t>
        </is>
      </c>
      <c r="K3121" t="n">
        <v>2</v>
      </c>
      <c r="L3121" t="n">
        <v>5</v>
      </c>
      <c r="M3121" t="n">
        <v>0</v>
      </c>
      <c r="N3121" t="n">
        <v>0</v>
      </c>
      <c r="O3121" t="n">
        <v>12</v>
      </c>
      <c r="P3121">
        <f>HYPERLINK("http://g1.globo.com/goias/noticia/2013/11/haitianos-alegam-que-foram-iludidos-por-promessa-de-trabalho-em-goias.html", "URL")</f>
        <v/>
      </c>
      <c r="Q3121">
        <f>HYPERLINK("https://raw.githubusercontent.com/marcosmapl/dataset_imigrantes/main/materias_filtered/g1/haitianos/2013/10_nov/html/g1_a2e08d10-22fa-11ed-b24f-6dbe51e79fca_2233.html", "HTML")</f>
        <v/>
      </c>
      <c r="R3121">
        <f>HYPERLINK("https://raw.githubusercontent.com/marcosmapl/dataset_imigrantes/main/materias_filtered/g1/haitianos/2013/10_nov/txt/g1_a2e08d10-22fa-11ed-b24f-6dbe51e79fca_2233.txt", "TXT")</f>
        <v/>
      </c>
    </row>
    <row r="3122">
      <c r="A3122" s="1" t="n">
        <v>3120</v>
      </c>
      <c r="B3122" t="n">
        <v>2013</v>
      </c>
      <c r="C3122" s="2" t="n">
        <v>41582.64861111111</v>
      </c>
      <c r="D3122" t="inlineStr">
        <is>
          <t>G1</t>
        </is>
      </c>
      <c r="E3122" t="inlineStr">
        <is>
          <t>HAITIANOS</t>
        </is>
      </c>
      <c r="F3122" t="inlineStr"/>
      <c r="G3122" t="inlineStr">
        <is>
          <t>1 AC</t>
        </is>
      </c>
      <c r="H3122" t="inlineStr">
        <is>
          <t>UFAC REALIZA SIMPÓSIO SOBRE LINGUAGENS E IDENTIDADES</t>
        </is>
      </c>
      <c r="I3122" t="inlineStr"/>
      <c r="J3122" t="inlineStr">
        <is>
          <t>RIO BRANCO</t>
        </is>
      </c>
      <c r="K3122" t="n">
        <v>1</v>
      </c>
      <c r="L3122" t="n">
        <v>5</v>
      </c>
      <c r="M3122" t="n">
        <v>0</v>
      </c>
      <c r="N3122" t="n">
        <v>0</v>
      </c>
      <c r="O3122" t="n">
        <v>11</v>
      </c>
      <c r="P3122">
        <f>HYPERLINK("http://g1.globo.com/ac/acre/noticia/2013/11/ufac-realiza-simposio-sobre-linguagens-e-identidades.html", "URL")</f>
        <v/>
      </c>
      <c r="Q3122">
        <f>HYPERLINK("https://raw.githubusercontent.com/marcosmapl/dataset_imigrantes/main/materias_filtered/g1/haitianos/2013/10_nov/html/g1_8f1524e0-231c-11ed-b24f-6dbe51e79fca_3452.html", "HTML")</f>
        <v/>
      </c>
      <c r="R3122">
        <f>HYPERLINK("https://raw.githubusercontent.com/marcosmapl/dataset_imigrantes/main/materias_filtered/g1/haitianos/2013/10_nov/txt/g1_8f1524e0-231c-11ed-b24f-6dbe51e79fca_3452.txt", "TXT")</f>
        <v/>
      </c>
    </row>
    <row r="3123">
      <c r="A3123" s="1" t="n">
        <v>3121</v>
      </c>
      <c r="B3123" t="n">
        <v>2013</v>
      </c>
      <c r="C3123" s="2" t="n">
        <v>41581.68055555555</v>
      </c>
      <c r="D3123" t="inlineStr">
        <is>
          <t>G1</t>
        </is>
      </c>
      <c r="E3123" t="inlineStr">
        <is>
          <t>HAITIANOS</t>
        </is>
      </c>
      <c r="F3123" t="inlineStr"/>
      <c r="G3123" t="inlineStr">
        <is>
          <t>1 RO</t>
        </is>
      </c>
      <c r="H3123" t="inlineStr">
        <is>
          <t>VOCÊ VIU? HAITIANO NO ENEM, CADELA ADOTA LEITÃO E MAIS NOTÍCIAS DE RO</t>
        </is>
      </c>
      <c r="I3123" t="inlineStr"/>
      <c r="J3123" t="inlineStr">
        <is>
          <t>RONDÔNIA</t>
        </is>
      </c>
      <c r="K3123" t="n">
        <v>1</v>
      </c>
      <c r="L3123" t="n">
        <v>11</v>
      </c>
      <c r="M3123" t="n">
        <v>0</v>
      </c>
      <c r="N3123" t="n">
        <v>0</v>
      </c>
      <c r="O3123" t="n">
        <v>31</v>
      </c>
      <c r="P3123">
        <f>HYPERLINK("http://g1.globo.com/ro/rondonia/noticia/2013/11/voce-viu-haitiano-no-enem-cadela-adota-leitao-e-mais-noticias-de-ro.html", "URL")</f>
        <v/>
      </c>
      <c r="Q3123">
        <f>HYPERLINK("https://raw.githubusercontent.com/marcosmapl/dataset_imigrantes/main/materias_filtered/g1/haitianos/2013/10_nov/html/g1_fb13dee2-2309-11ed-b24f-6dbe51e79fca_2478.html", "HTML")</f>
        <v/>
      </c>
      <c r="R3123">
        <f>HYPERLINK("https://raw.githubusercontent.com/marcosmapl/dataset_imigrantes/main/materias_filtered/g1/haitianos/2013/10_nov/txt/g1_fb13dee2-2309-11ed-b24f-6dbe51e79fca_2478.txt", "TXT")</f>
        <v/>
      </c>
    </row>
    <row r="3124">
      <c r="A3124" s="1" t="n">
        <v>3122</v>
      </c>
      <c r="B3124" t="n">
        <v>2013</v>
      </c>
      <c r="C3124" s="2" t="n">
        <v>41574.82430555556</v>
      </c>
      <c r="D3124" t="inlineStr">
        <is>
          <t>G1</t>
        </is>
      </c>
      <c r="E3124" t="inlineStr">
        <is>
          <t>VENEZUELANOS</t>
        </is>
      </c>
      <c r="F3124" t="inlineStr"/>
      <c r="G3124" t="inlineStr">
        <is>
          <t>OS DANTASDO G1 AM</t>
        </is>
      </c>
      <c r="H3124" t="inlineStr">
        <is>
          <t>'TRABALHAR COM INDÍGENAS É DESAFIO', AVALIA MÉDICA VENEZUELANA, NO AM</t>
        </is>
      </c>
      <c r="I3124" t="inlineStr"/>
      <c r="J3124" t="inlineStr">
        <is>
          <t>MANAUS, SAÚDE, AMAZONAS, GOVERNO FEDERAL, MINISTÉRIO DA SAÚDE</t>
        </is>
      </c>
      <c r="K3124" t="n">
        <v>5</v>
      </c>
      <c r="L3124" t="n">
        <v>5</v>
      </c>
      <c r="M3124" t="n">
        <v>0</v>
      </c>
      <c r="N3124" t="n">
        <v>0</v>
      </c>
      <c r="O3124" t="n">
        <v>18</v>
      </c>
      <c r="P3124">
        <f>HYPERLINK("http://g1.globo.com/am/amazonas/noticia/2013/10/trabalhar-com-indigenas-e-desafio-avalia-medica-venezuelana-no-am.html", "URL")</f>
        <v/>
      </c>
      <c r="Q3124">
        <f>HYPERLINK("https://raw.githubusercontent.com/marcosmapl/dataset_imigrantes/main/materias_filtered/g1/venezuelanos/2013/09_out/html/g1_9cb87a60-2322-11ed-b24f-6dbe51e79fca_3761.html", "HTML")</f>
        <v/>
      </c>
      <c r="R3124">
        <f>HYPERLINK("https://raw.githubusercontent.com/marcosmapl/dataset_imigrantes/main/materias_filtered/g1/venezuelanos/2013/09_out/txt/g1_9cb87a60-2322-11ed-b24f-6dbe51e79fca_3761.txt", "TXT")</f>
        <v/>
      </c>
    </row>
    <row r="3125">
      <c r="A3125" s="1" t="n">
        <v>3123</v>
      </c>
      <c r="B3125" t="n">
        <v>2013</v>
      </c>
      <c r="C3125" s="2" t="n">
        <v>41574.54097222222</v>
      </c>
      <c r="D3125" t="inlineStr">
        <is>
          <t>G1</t>
        </is>
      </c>
      <c r="E3125" t="inlineStr">
        <is>
          <t>HAITIANOS</t>
        </is>
      </c>
      <c r="F3125" t="inlineStr"/>
      <c r="G3125" t="inlineStr">
        <is>
          <t>1 RO</t>
        </is>
      </c>
      <c r="H3125" t="inlineStr">
        <is>
          <t>EM RO, HAITIANO VÊ NO ENEM UMA CHANCE PARA MUDAR DE VIDA</t>
        </is>
      </c>
      <c r="I3125" t="inlineStr"/>
      <c r="J3125" t="inlineStr">
        <is>
          <t>PORTO VELHO</t>
        </is>
      </c>
      <c r="K3125" t="n">
        <v>1</v>
      </c>
      <c r="L3125" t="n">
        <v>6</v>
      </c>
      <c r="M3125" t="n">
        <v>0</v>
      </c>
      <c r="N3125" t="n">
        <v>0</v>
      </c>
      <c r="O3125" t="n">
        <v>16</v>
      </c>
      <c r="P3125">
        <f>HYPERLINK("http://g1.globo.com/ro/rondonia/noticia/2013/10/em-ro-haitiano-ve-no-enem-uma-chance-de-mudar-de-vida.html", "URL")</f>
        <v/>
      </c>
      <c r="Q3125">
        <f>HYPERLINK("https://raw.githubusercontent.com/marcosmapl/dataset_imigrantes/main/materias_filtered/g1/haitianos/2013/09_out/html/g1_9cd347f8-230b-11ed-b24f-6dbe51e79fca_2575.html", "HTML")</f>
        <v/>
      </c>
      <c r="R3125">
        <f>HYPERLINK("https://raw.githubusercontent.com/marcosmapl/dataset_imigrantes/main/materias_filtered/g1/haitianos/2013/09_out/txt/g1_9cd347f8-230b-11ed-b24f-6dbe51e79fca_2575.txt", "TXT")</f>
        <v/>
      </c>
    </row>
    <row r="3126">
      <c r="A3126" s="1" t="n">
        <v>3124</v>
      </c>
      <c r="B3126" t="n">
        <v>2013</v>
      </c>
      <c r="C3126" s="2" t="n">
        <v>41566.34027777778</v>
      </c>
      <c r="D3126" t="inlineStr">
        <is>
          <t>G1</t>
        </is>
      </c>
      <c r="E3126" t="inlineStr">
        <is>
          <t>HAITIANOS</t>
        </is>
      </c>
      <c r="F3126" t="inlineStr"/>
      <c r="G3126" t="inlineStr">
        <is>
          <t>ANE STOCHERODO G1, EM PORTO PRÍNCIPE - A REPÓRTER VIAJOU A CONVITE DO MINISTÉRIO DA DEFESA</t>
        </is>
      </c>
      <c r="H3126" t="inlineStr">
        <is>
          <t>IMIGRAÇÃO ILEGAL AO BRASIL MOVIMENTA ECONOMIA HAITIANA PÓS TERREMOTO</t>
        </is>
      </c>
      <c r="I3126" t="inlineStr"/>
      <c r="J3126" t="inlineStr"/>
      <c r="K3126" t="n">
        <v>0</v>
      </c>
      <c r="L3126" t="n">
        <v>6</v>
      </c>
      <c r="M3126" t="n">
        <v>0</v>
      </c>
      <c r="N3126" t="n">
        <v>0</v>
      </c>
      <c r="O3126" t="n">
        <v>4</v>
      </c>
      <c r="P3126">
        <f>HYPERLINK("http://g1.globo.com/mundo/noticia/2013/10/imigracao-ilegal-ao-brasil-movimenta-economia-haitiana-pos-terremoto.html", "URL")</f>
        <v/>
      </c>
      <c r="Q3126">
        <f>HYPERLINK("https://raw.githubusercontent.com/marcosmapl/dataset_imigrantes/main/materias_filtered/g1/haitianos/2013/09_out/html/g1_2e6a4010-232d-11ed-b24f-6dbe51e79fca_4346.html", "HTML")</f>
        <v/>
      </c>
      <c r="R3126">
        <f>HYPERLINK("https://raw.githubusercontent.com/marcosmapl/dataset_imigrantes/main/materias_filtered/g1/haitianos/2013/09_out/txt/g1_2e6a4010-232d-11ed-b24f-6dbe51e79fca_4346.txt", "TXT")</f>
        <v/>
      </c>
    </row>
    <row r="3127">
      <c r="A3127" s="1" t="n">
        <v>3125</v>
      </c>
      <c r="B3127" t="n">
        <v>2013</v>
      </c>
      <c r="C3127" s="2" t="n">
        <v>41565.29305555556</v>
      </c>
      <c r="D3127" t="inlineStr">
        <is>
          <t>G1</t>
        </is>
      </c>
      <c r="E3127" t="inlineStr">
        <is>
          <t>HAITIANOS</t>
        </is>
      </c>
      <c r="F3127" t="inlineStr"/>
      <c r="G3127" t="inlineStr">
        <is>
          <t>ANE STOCHERODO G1, EM PORTO PRÍNCIPE - A REPÓRTER VIAJOU A CONVITE DO MINISTÉRIO DA DEFESA</t>
        </is>
      </c>
      <c r="H3127" t="inlineStr">
        <is>
          <t>ACOSTUMADOS A MILITARES BRASILEIROS, HAITIANOS BUSCAM TERRA DE 'GENTE BOA'</t>
        </is>
      </c>
      <c r="I3127" t="inlineStr"/>
      <c r="J3127" t="inlineStr"/>
      <c r="K3127" t="n">
        <v>0</v>
      </c>
      <c r="L3127" t="n">
        <v>6</v>
      </c>
      <c r="M3127" t="n">
        <v>0</v>
      </c>
      <c r="N3127" t="n">
        <v>0</v>
      </c>
      <c r="O3127" t="n">
        <v>6</v>
      </c>
      <c r="P3127">
        <f>HYPERLINK("http://g1.globo.com/mundo/noticia/2013/10/acostumados-militares-brasileiros-haitianos-buscam-terra-de-gente-boa.html", "URL")</f>
        <v/>
      </c>
      <c r="Q3127">
        <f>HYPERLINK("https://raw.githubusercontent.com/marcosmapl/dataset_imigrantes/main/materias_filtered/g1/haitianos/2013/09_out/html/g1_54f424b0-22f8-11ed-b24f-6dbe51e79fca_2128.html", "HTML")</f>
        <v/>
      </c>
      <c r="R3127">
        <f>HYPERLINK("https://raw.githubusercontent.com/marcosmapl/dataset_imigrantes/main/materias_filtered/g1/haitianos/2013/09_out/txt/g1_54f424b0-22f8-11ed-b24f-6dbe51e79fca_2128.txt", "TXT")</f>
        <v/>
      </c>
    </row>
    <row r="3128">
      <c r="A3128" s="1" t="n">
        <v>3126</v>
      </c>
      <c r="B3128" t="n">
        <v>2013</v>
      </c>
      <c r="C3128" s="2" t="n">
        <v>41564.67361111111</v>
      </c>
      <c r="D3128" t="inlineStr">
        <is>
          <t>G1</t>
        </is>
      </c>
      <c r="E3128" t="inlineStr">
        <is>
          <t>HAITIANOS</t>
        </is>
      </c>
      <c r="F3128" t="inlineStr"/>
      <c r="G3128" t="inlineStr">
        <is>
          <t>FP</t>
        </is>
      </c>
      <c r="H3128" t="inlineStr">
        <is>
          <t>MILHARES DE PESSOAS PROTESTAM CONTRA GOVERNO HAITIANO</t>
        </is>
      </c>
      <c r="I3128" t="inlineStr"/>
      <c r="J3128" t="inlineStr">
        <is>
          <t>HAITI</t>
        </is>
      </c>
      <c r="K3128" t="n">
        <v>1</v>
      </c>
      <c r="L3128" t="n">
        <v>7</v>
      </c>
      <c r="M3128" t="n">
        <v>0</v>
      </c>
      <c r="N3128" t="n">
        <v>0</v>
      </c>
      <c r="O3128" t="n">
        <v>10</v>
      </c>
      <c r="P3128">
        <f>HYPERLINK("http://g1.globo.com/mundo/noticia/2013/10/milhares-de-pessoas-protestam-contra-governo-haitiano.html", "URL")</f>
        <v/>
      </c>
      <c r="Q3128">
        <f>HYPERLINK("https://raw.githubusercontent.com/marcosmapl/dataset_imigrantes/main/materias_filtered/g1/haitianos/2013/09_out/html/g1_586a166a-2328-11ed-b24f-6dbe51e79fca_4074.html", "HTML")</f>
        <v/>
      </c>
      <c r="R3128">
        <f>HYPERLINK("https://raw.githubusercontent.com/marcosmapl/dataset_imigrantes/main/materias_filtered/g1/haitianos/2013/09_out/txt/g1_586a166a-2328-11ed-b24f-6dbe51e79fca_4074.txt", "TXT")</f>
        <v/>
      </c>
    </row>
    <row r="3129">
      <c r="A3129" s="1" t="n">
        <v>3127</v>
      </c>
      <c r="B3129" t="n">
        <v>2013</v>
      </c>
      <c r="C3129" s="2" t="n">
        <v>41548.66944444444</v>
      </c>
      <c r="D3129" t="inlineStr">
        <is>
          <t>G1</t>
        </is>
      </c>
      <c r="E3129" t="inlineStr">
        <is>
          <t>VENEZUELANOS</t>
        </is>
      </c>
      <c r="F3129" t="inlineStr"/>
      <c r="G3129" t="inlineStr"/>
      <c r="H3129" t="inlineStr">
        <is>
          <t>ORGANIZAÇÃO VENEZUELANA PRETENDE CLONAR HUGO CHÁVEZ</t>
        </is>
      </c>
      <c r="I3129" t="inlineStr"/>
      <c r="J3129" t="inlineStr">
        <is>
          <t>HUGO CHÁVEZ, NICOLÁS MADURO</t>
        </is>
      </c>
      <c r="K3129" t="n">
        <v>2</v>
      </c>
      <c r="L3129" t="n">
        <v>3</v>
      </c>
      <c r="M3129" t="n">
        <v>0</v>
      </c>
      <c r="N3129" t="n">
        <v>0</v>
      </c>
      <c r="O3129" t="n">
        <v>13</v>
      </c>
      <c r="P3129">
        <f>HYPERLINK("http://g1.globo.com/globo-news/noticia/2013/10/organizacao-venezuelana-pretende-clonar-hugo-chavez.html", "URL")</f>
        <v/>
      </c>
      <c r="Q3129">
        <f>HYPERLINK("https://raw.githubusercontent.com/marcosmapl/dataset_imigrantes/main/materias_filtered/g1/venezuelanos/2013/09_out/html/g1_507ed616-230a-11ed-b24f-6dbe51e79fca_2497.html", "HTML")</f>
        <v/>
      </c>
      <c r="R3129">
        <f>HYPERLINK("https://raw.githubusercontent.com/marcosmapl/dataset_imigrantes/main/materias_filtered/g1/venezuelanos/2013/09_out/txt/g1_507ed616-230a-11ed-b24f-6dbe51e79fca_2497.txt", "TXT")</f>
        <v/>
      </c>
    </row>
    <row r="3130">
      <c r="A3130" s="1" t="n">
        <v>3128</v>
      </c>
      <c r="B3130" t="n">
        <v>2013</v>
      </c>
      <c r="C3130" s="2" t="n">
        <v>41547.25902777778</v>
      </c>
      <c r="D3130" t="inlineStr">
        <is>
          <t>G1</t>
        </is>
      </c>
      <c r="E3130" t="inlineStr">
        <is>
          <t>HAITIANOS</t>
        </is>
      </c>
      <c r="F3130" t="inlineStr"/>
      <c r="G3130" t="inlineStr">
        <is>
          <t>ANE STOCHERO E YURI MARCELDO G1, EM SÃO PAULO E DO G1 AC</t>
        </is>
      </c>
      <c r="H3130" t="inlineStr">
        <is>
          <t>TRIPLICA EM 2013 NÚMERO DE HAITIANOS ILEGAIS QUE ENTRAM PELO ACRE</t>
        </is>
      </c>
      <c r="I3130" t="inlineStr"/>
      <c r="J3130" t="inlineStr">
        <is>
          <t>BRASILÉIA, TABATINGA, HAITI</t>
        </is>
      </c>
      <c r="K3130" t="n">
        <v>3</v>
      </c>
      <c r="L3130" t="n">
        <v>7</v>
      </c>
      <c r="M3130" t="n">
        <v>0</v>
      </c>
      <c r="N3130" t="n">
        <v>0</v>
      </c>
      <c r="O3130" t="n">
        <v>16</v>
      </c>
      <c r="P3130">
        <f>HYPERLINK("http://g1.globo.com/ac/acre/noticia/2013/09/triplica-em-2013-numero-de-haitianos-ilegais-que-entram-pelo-acre.html", "URL")</f>
        <v/>
      </c>
      <c r="Q3130">
        <f>HYPERLINK("https://raw.githubusercontent.com/marcosmapl/dataset_imigrantes/main/materias_filtered/g1/haitianos/2013/08_set/html/g1_263a5b96-22f6-11ed-b24f-6dbe51e79fca_1996.html", "HTML")</f>
        <v/>
      </c>
      <c r="R3130">
        <f>HYPERLINK("https://raw.githubusercontent.com/marcosmapl/dataset_imigrantes/main/materias_filtered/g1/haitianos/2013/08_set/txt/g1_263a5b96-22f6-11ed-b24f-6dbe51e79fca_1996.txt", "TXT")</f>
        <v/>
      </c>
    </row>
    <row r="3131">
      <c r="A3131" s="1" t="n">
        <v>3129</v>
      </c>
      <c r="B3131" t="n">
        <v>2013</v>
      </c>
      <c r="C3131" s="2" t="n">
        <v>41546.375</v>
      </c>
      <c r="D3131" t="inlineStr">
        <is>
          <t>G1</t>
        </is>
      </c>
      <c r="E3131" t="inlineStr">
        <is>
          <t>HAITIANOS</t>
        </is>
      </c>
      <c r="F3131" t="inlineStr"/>
      <c r="G3131" t="inlineStr">
        <is>
          <t>ANE CORDEIRODO G1 PR, EM PARANAVAÍ</t>
        </is>
      </c>
      <c r="H3131" t="inlineStr">
        <is>
          <t>HAITIANOS USAM MÚSICAS E LIVROS PARA SE ADAPTAR À CULTURA BRASILEIRA</t>
        </is>
      </c>
      <c r="I3131" t="inlineStr"/>
      <c r="J3131" t="inlineStr">
        <is>
          <t>HAITI, PARANÁ, PARANAVAÍ</t>
        </is>
      </c>
      <c r="K3131" t="n">
        <v>3</v>
      </c>
      <c r="L3131" t="n">
        <v>5</v>
      </c>
      <c r="M3131" t="n">
        <v>0</v>
      </c>
      <c r="N3131" t="n">
        <v>0</v>
      </c>
      <c r="O3131" t="n">
        <v>14</v>
      </c>
      <c r="P3131">
        <f>HYPERLINK("http://g1.globo.com/pr/norte-noroeste/noticia/2013/09/haitianos-usam-musicas-e-livros-para-se-adaptar-cultura-brasileira.html", "URL")</f>
        <v/>
      </c>
      <c r="Q3131">
        <f>HYPERLINK("https://raw.githubusercontent.com/marcosmapl/dataset_imigrantes/main/materias_filtered/g1/haitianos/2013/08_set/html/g1_d268a2c4-22f6-11ed-b24f-6dbe51e79fca_2040.html", "HTML")</f>
        <v/>
      </c>
      <c r="R3131">
        <f>HYPERLINK("https://raw.githubusercontent.com/marcosmapl/dataset_imigrantes/main/materias_filtered/g1/haitianos/2013/08_set/txt/g1_d268a2c4-22f6-11ed-b24f-6dbe51e79fca_2040.txt", "TXT")</f>
        <v/>
      </c>
    </row>
    <row r="3132">
      <c r="A3132" s="1" t="n">
        <v>3130</v>
      </c>
      <c r="B3132" t="n">
        <v>2013</v>
      </c>
      <c r="C3132" s="2" t="n">
        <v>41544.6875</v>
      </c>
      <c r="D3132" t="inlineStr">
        <is>
          <t>G1</t>
        </is>
      </c>
      <c r="E3132" t="inlineStr">
        <is>
          <t>VENEZUELANOS</t>
        </is>
      </c>
      <c r="F3132" t="inlineStr"/>
      <c r="G3132" t="inlineStr">
        <is>
          <t>CIA EFE</t>
        </is>
      </c>
      <c r="H3132" t="inlineStr">
        <is>
          <t>BRASILEIRAS E VENEZUELANAS IMPULSIONAM SEDUTOR MERCADO DE COSMÉTICOS</t>
        </is>
      </c>
      <c r="I3132" t="inlineStr"/>
      <c r="J3132" t="inlineStr"/>
      <c r="K3132" t="n">
        <v>0</v>
      </c>
      <c r="L3132" t="n">
        <v>1</v>
      </c>
      <c r="M3132" t="n">
        <v>0</v>
      </c>
      <c r="N3132" t="n">
        <v>0</v>
      </c>
      <c r="O3132" t="n">
        <v>4</v>
      </c>
      <c r="P3132">
        <f>HYPERLINK("http://g1.globo.com/mundo/noticia/2013/09/brasileiras-e-venezuelanas-impulsionam-sedutor-mercado-de-cosmeticos.html", "URL")</f>
        <v/>
      </c>
      <c r="Q3132">
        <f>HYPERLINK("https://raw.githubusercontent.com/marcosmapl/dataset_imigrantes/main/materias_filtered/g1/venezuelanos/2013/08_set/html/g1_cf612a70-2313-11ed-b24f-6dbe51e79fca_3028.html", "HTML")</f>
        <v/>
      </c>
      <c r="R3132">
        <f>HYPERLINK("https://raw.githubusercontent.com/marcosmapl/dataset_imigrantes/main/materias_filtered/g1/venezuelanos/2013/08_set/txt/g1_cf612a70-2313-11ed-b24f-6dbe51e79fca_3028.txt", "TXT")</f>
        <v/>
      </c>
    </row>
    <row r="3133">
      <c r="A3133" s="1" t="n">
        <v>3131</v>
      </c>
      <c r="B3133" t="n">
        <v>2013</v>
      </c>
      <c r="C3133" s="2" t="n">
        <v>41544.65208333333</v>
      </c>
      <c r="D3133" t="inlineStr">
        <is>
          <t>G1</t>
        </is>
      </c>
      <c r="E3133" t="inlineStr">
        <is>
          <t>VENEZUELANOS</t>
        </is>
      </c>
      <c r="F3133" t="inlineStr"/>
      <c r="G3133" t="inlineStr">
        <is>
          <t>1, EM SÃO PAULO</t>
        </is>
      </c>
      <c r="H3133" t="inlineStr">
        <is>
          <t>CRIATURA MISTERIOSA ASSUSTA MORADORES DE CIDADE VENEZUELANA</t>
        </is>
      </c>
      <c r="I3133" t="inlineStr"/>
      <c r="J3133" t="inlineStr">
        <is>
          <t>VENEZUELA</t>
        </is>
      </c>
      <c r="K3133" t="n">
        <v>1</v>
      </c>
      <c r="L3133" t="n">
        <v>4</v>
      </c>
      <c r="M3133" t="n">
        <v>0</v>
      </c>
      <c r="N3133" t="n">
        <v>0</v>
      </c>
      <c r="O3133" t="n">
        <v>27</v>
      </c>
      <c r="P3133">
        <f>HYPERLINK("http://g1.globo.com/planeta-bizarro/noticia/2013/09/criatura-misteriosa-assusta-moradores-de-cidade-venezuelana.html", "URL")</f>
        <v/>
      </c>
      <c r="Q3133">
        <f>HYPERLINK("https://raw.githubusercontent.com/marcosmapl/dataset_imigrantes/main/materias_filtered/g1/venezuelanos/2013/08_set/html/g1_e0675898-2323-11ed-b24f-6dbe51e79fca_3834.html", "HTML")</f>
        <v/>
      </c>
      <c r="R3133">
        <f>HYPERLINK("https://raw.githubusercontent.com/marcosmapl/dataset_imigrantes/main/materias_filtered/g1/venezuelanos/2013/08_set/txt/g1_e0675898-2323-11ed-b24f-6dbe51e79fca_3834.txt", "TXT")</f>
        <v/>
      </c>
    </row>
    <row r="3134">
      <c r="A3134" s="1" t="n">
        <v>3132</v>
      </c>
      <c r="B3134" t="n">
        <v>2013</v>
      </c>
      <c r="C3134" s="2" t="n">
        <v>41537.26041666666</v>
      </c>
      <c r="D3134" t="inlineStr">
        <is>
          <t>G1</t>
        </is>
      </c>
      <c r="E3134" t="inlineStr">
        <is>
          <t>HAITIANOS</t>
        </is>
      </c>
      <c r="F3134" t="inlineStr"/>
      <c r="G3134" t="inlineStr">
        <is>
          <t>CIA EFE</t>
        </is>
      </c>
      <c r="H3134" t="inlineStr">
        <is>
          <t>HAITI FASHION WEEK: A MODA DEVOLVE A ESPERANÇA AO PAÍS</t>
        </is>
      </c>
      <c r="I3134" t="inlineStr"/>
      <c r="J3134" t="inlineStr"/>
      <c r="K3134" t="n">
        <v>0</v>
      </c>
      <c r="L3134" t="n">
        <v>1</v>
      </c>
      <c r="M3134" t="n">
        <v>0</v>
      </c>
      <c r="N3134" t="n">
        <v>0</v>
      </c>
      <c r="O3134" t="n">
        <v>4</v>
      </c>
      <c r="P3134">
        <f>HYPERLINK("http://g1.globo.com/pop-arte/noticia/2013/09/haiti-fashion-week-a-moda-devolve-a-esperanca-ao-pais.html", "URL")</f>
        <v/>
      </c>
      <c r="Q3134">
        <f>HYPERLINK("https://raw.githubusercontent.com/marcosmapl/dataset_imigrantes/main/materias_filtered/g1/haitianos/2013/08_set/html/g1_f22805b2-2307-11ed-b24f-6dbe51e79fca_2354.html", "HTML")</f>
        <v/>
      </c>
      <c r="R3134">
        <f>HYPERLINK("https://raw.githubusercontent.com/marcosmapl/dataset_imigrantes/main/materias_filtered/g1/haitianos/2013/08_set/txt/g1_f22805b2-2307-11ed-b24f-6dbe51e79fca_2354.txt", "TXT")</f>
        <v/>
      </c>
    </row>
    <row r="3135">
      <c r="A3135" s="1" t="n">
        <v>3133</v>
      </c>
      <c r="B3135" t="n">
        <v>2013</v>
      </c>
      <c r="C3135" s="2" t="n">
        <v>41528.76388888889</v>
      </c>
      <c r="D3135" t="inlineStr">
        <is>
          <t>G1</t>
        </is>
      </c>
      <c r="E3135" t="inlineStr">
        <is>
          <t>VENEZUELANOS</t>
        </is>
      </c>
      <c r="F3135" t="inlineStr"/>
      <c r="G3135" t="inlineStr">
        <is>
          <t>ERS</t>
        </is>
      </c>
      <c r="H3135" t="inlineStr">
        <is>
          <t>PETROLEIRA CHEVRON FIRMA PARCERIA COM VENEZUELANA PDVSA</t>
        </is>
      </c>
      <c r="I3135" t="inlineStr"/>
      <c r="J3135" t="inlineStr"/>
      <c r="K3135" t="n">
        <v>0</v>
      </c>
      <c r="L3135" t="n">
        <v>1</v>
      </c>
      <c r="M3135" t="n">
        <v>0</v>
      </c>
      <c r="N3135" t="n">
        <v>0</v>
      </c>
      <c r="O3135" t="n">
        <v>4</v>
      </c>
      <c r="P3135">
        <f>HYPERLINK("http://g1.globo.com/economia/noticia/2013/09/petroleira-chevron-firma-parceria-com-venezuelana-pdvsa.html", "URL")</f>
        <v/>
      </c>
      <c r="Q3135">
        <f>HYPERLINK("https://raw.githubusercontent.com/marcosmapl/dataset_imigrantes/main/materias_filtered/g1/venezuelanos/2013/08_set/html/g1_34870318-2308-11ed-b24f-6dbe51e79fca_2372.html", "HTML")</f>
        <v/>
      </c>
      <c r="R3135">
        <f>HYPERLINK("https://raw.githubusercontent.com/marcosmapl/dataset_imigrantes/main/materias_filtered/g1/venezuelanos/2013/08_set/txt/g1_34870318-2308-11ed-b24f-6dbe51e79fca_2372.txt", "TXT")</f>
        <v/>
      </c>
    </row>
    <row r="3136">
      <c r="A3136" s="1" t="n">
        <v>3134</v>
      </c>
      <c r="B3136" t="n">
        <v>2013</v>
      </c>
      <c r="C3136" s="2" t="n">
        <v>41519.49930555555</v>
      </c>
      <c r="D3136" t="inlineStr">
        <is>
          <t>G1</t>
        </is>
      </c>
      <c r="E3136" t="inlineStr">
        <is>
          <t>HAITIANOS</t>
        </is>
      </c>
      <c r="F3136" t="inlineStr"/>
      <c r="G3136" t="inlineStr">
        <is>
          <t>1 AC</t>
        </is>
      </c>
      <c r="H3136" t="inlineStr">
        <is>
          <t>ACRE CONTINUA RECEBENDO MÉDIA DE 20 HAITIANOS POR DIA</t>
        </is>
      </c>
      <c r="I3136" t="inlineStr"/>
      <c r="J3136" t="inlineStr">
        <is>
          <t>BRASILÉIA, HAITI</t>
        </is>
      </c>
      <c r="K3136" t="n">
        <v>2</v>
      </c>
      <c r="L3136" t="n">
        <v>7</v>
      </c>
      <c r="M3136" t="n">
        <v>0</v>
      </c>
      <c r="N3136" t="n">
        <v>0</v>
      </c>
      <c r="O3136" t="n">
        <v>13</v>
      </c>
      <c r="P3136">
        <f>HYPERLINK("http://g1.globo.com/ac/acre/noticia/2013/09/acre-continua-recebendo-media-de-20-haitianos-por-dia.html", "URL")</f>
        <v/>
      </c>
      <c r="Q3136">
        <f>HYPERLINK("https://raw.githubusercontent.com/marcosmapl/dataset_imigrantes/main/materias_filtered/g1/haitianos/2013/08_set/html/g1_6ff80294-22f4-11ed-b24f-6dbe51e79fca_1889.html", "HTML")</f>
        <v/>
      </c>
      <c r="R3136">
        <f>HYPERLINK("https://raw.githubusercontent.com/marcosmapl/dataset_imigrantes/main/materias_filtered/g1/haitianos/2013/08_set/txt/g1_6ff80294-22f4-11ed-b24f-6dbe51e79fca_1889.txt", "TXT")</f>
        <v/>
      </c>
    </row>
    <row r="3137">
      <c r="A3137" s="1" t="n">
        <v>3135</v>
      </c>
      <c r="B3137" t="n">
        <v>2013</v>
      </c>
      <c r="C3137" s="2" t="n">
        <v>41518.47361111111</v>
      </c>
      <c r="D3137" t="inlineStr">
        <is>
          <t>G1</t>
        </is>
      </c>
      <c r="E3137" t="inlineStr">
        <is>
          <t>HAITIANOS</t>
        </is>
      </c>
      <c r="F3137" t="inlineStr"/>
      <c r="G3137" t="inlineStr">
        <is>
          <t>1 AC</t>
        </is>
      </c>
      <c r="H3137" t="inlineStr">
        <is>
          <t>VOCÊ VIU? VEREADOR PRESO, CASO OSMIR NETO, HAITIANOS E MAIS NOTÍCIAS</t>
        </is>
      </c>
      <c r="I3137" t="inlineStr"/>
      <c r="J3137" t="inlineStr">
        <is>
          <t>CRUZEIRO DO SUL, RIO BRANCO</t>
        </is>
      </c>
      <c r="K3137" t="n">
        <v>2</v>
      </c>
      <c r="L3137" t="n">
        <v>10</v>
      </c>
      <c r="M3137" t="n">
        <v>0</v>
      </c>
      <c r="N3137" t="n">
        <v>0</v>
      </c>
      <c r="O3137" t="n">
        <v>43</v>
      </c>
      <c r="P3137">
        <f>HYPERLINK("http://g1.globo.com/ac/acre/noticia/2013/09/voce-viu-vereador-preso-caso-osmir-neto-haitianos-e-mais-noticias.html", "URL")</f>
        <v/>
      </c>
      <c r="Q3137">
        <f>HYPERLINK("https://raw.githubusercontent.com/marcosmapl/dataset_imigrantes/main/materias_filtered/g1/haitianos/2013/08_set/html/g1_bf148af2-22f2-11ed-b24f-6dbe51e79fca_1812.html", "HTML")</f>
        <v/>
      </c>
      <c r="R3137">
        <f>HYPERLINK("https://raw.githubusercontent.com/marcosmapl/dataset_imigrantes/main/materias_filtered/g1/haitianos/2013/08_set/txt/g1_bf148af2-22f2-11ed-b24f-6dbe51e79fca_1812.txt", "TXT")</f>
        <v/>
      </c>
    </row>
    <row r="3138">
      <c r="A3138" s="1" t="n">
        <v>3136</v>
      </c>
      <c r="B3138" t="n">
        <v>2013</v>
      </c>
      <c r="C3138" s="2" t="n">
        <v>41514.50902777778</v>
      </c>
      <c r="D3138" t="inlineStr">
        <is>
          <t>G1</t>
        </is>
      </c>
      <c r="E3138" t="inlineStr">
        <is>
          <t>HAITIANOS</t>
        </is>
      </c>
      <c r="F3138" t="inlineStr"/>
      <c r="G3138" t="inlineStr">
        <is>
          <t>1 AC</t>
        </is>
      </c>
      <c r="H3138" t="inlineStr">
        <is>
          <t>MS LIBERA R$ 56 MIL PARA COMPENSAR GASTOS COM HAITIANOS NO ACRE</t>
        </is>
      </c>
      <c r="I3138" t="inlineStr"/>
      <c r="J3138" t="inlineStr">
        <is>
          <t>BRASILÉIA, EPITACIOLÂNDIA, HAITI, MINISTÉRIO DA SAÚDE</t>
        </is>
      </c>
      <c r="K3138" t="n">
        <v>4</v>
      </c>
      <c r="L3138" t="n">
        <v>4</v>
      </c>
      <c r="M3138" t="n">
        <v>0</v>
      </c>
      <c r="N3138" t="n">
        <v>0</v>
      </c>
      <c r="O3138" t="n">
        <v>14</v>
      </c>
      <c r="P3138">
        <f>HYPERLINK("http://g1.globo.com/ac/acre/noticia/2013/08/ms-libera-r-56-mil-para-compensar-gastos-com-haitianos-no-acre.html", "URL")</f>
        <v/>
      </c>
      <c r="Q3138">
        <f>HYPERLINK("https://raw.githubusercontent.com/marcosmapl/dataset_imigrantes/main/materias_filtered/g1/haitianos/2013/07_ago/html/g1_233d97c8-22f6-11ed-b24f-6dbe51e79fca_1995.html", "HTML")</f>
        <v/>
      </c>
      <c r="R3138">
        <f>HYPERLINK("https://raw.githubusercontent.com/marcosmapl/dataset_imigrantes/main/materias_filtered/g1/haitianos/2013/07_ago/txt/g1_233d97c8-22f6-11ed-b24f-6dbe51e79fca_1995.txt", "TXT")</f>
        <v/>
      </c>
    </row>
    <row r="3139">
      <c r="A3139" s="1" t="n">
        <v>3137</v>
      </c>
      <c r="B3139" t="n">
        <v>2013</v>
      </c>
      <c r="C3139" s="2" t="n">
        <v>41511.73888888889</v>
      </c>
      <c r="D3139" t="inlineStr">
        <is>
          <t>G1</t>
        </is>
      </c>
      <c r="E3139" t="inlineStr">
        <is>
          <t>VENEZUELANOS</t>
        </is>
      </c>
      <c r="F3139" t="inlineStr"/>
      <c r="G3139" t="inlineStr">
        <is>
          <t>FP</t>
        </is>
      </c>
      <c r="H3139" t="inlineStr">
        <is>
          <t>VENEZUELANAS DOAM CABELO PARA AJUDAR CRIANÇAS COM CÂNCER</t>
        </is>
      </c>
      <c r="I3139" t="inlineStr"/>
      <c r="J3139" t="inlineStr"/>
      <c r="K3139" t="n">
        <v>0</v>
      </c>
      <c r="L3139" t="n">
        <v>4</v>
      </c>
      <c r="M3139" t="n">
        <v>0</v>
      </c>
      <c r="N3139" t="n">
        <v>0</v>
      </c>
      <c r="O3139" t="n">
        <v>4</v>
      </c>
      <c r="P3139">
        <f>HYPERLINK("http://g1.globo.com/bemestar/noticia/2013/08/venezuelanas-doam-cabelo-para-ajudar-criancas-com-cancer.html", "URL")</f>
        <v/>
      </c>
      <c r="Q3139">
        <f>HYPERLINK("https://raw.githubusercontent.com/marcosmapl/dataset_imigrantes/main/materias_filtered/g1/venezuelanos/2013/07_ago/html/g1_8f11dca8-2309-11ed-b24f-6dbe51e79fca_2452.html", "HTML")</f>
        <v/>
      </c>
      <c r="R3139">
        <f>HYPERLINK("https://raw.githubusercontent.com/marcosmapl/dataset_imigrantes/main/materias_filtered/g1/venezuelanos/2013/07_ago/txt/g1_8f11dca8-2309-11ed-b24f-6dbe51e79fca_2452.txt", "TXT")</f>
        <v/>
      </c>
    </row>
    <row r="3140">
      <c r="A3140" s="1" t="n">
        <v>3138</v>
      </c>
      <c r="B3140" t="n">
        <v>2013</v>
      </c>
      <c r="C3140" s="2" t="n">
        <v>41509.75</v>
      </c>
      <c r="D3140" t="inlineStr">
        <is>
          <t>G1</t>
        </is>
      </c>
      <c r="E3140" t="inlineStr">
        <is>
          <t>HAITIANOS</t>
        </is>
      </c>
      <c r="F3140" t="inlineStr"/>
      <c r="G3140" t="inlineStr"/>
      <c r="H3140" t="inlineStr">
        <is>
          <t>ONG LEVA CASO DE IMIGRANTES HAITIANOS NO ACRE À OEA</t>
        </is>
      </c>
      <c r="I3140" t="inlineStr"/>
      <c r="J3140" t="inlineStr"/>
      <c r="K3140" t="n">
        <v>0</v>
      </c>
      <c r="L3140" t="n">
        <v>1</v>
      </c>
      <c r="M3140" t="n">
        <v>0</v>
      </c>
      <c r="N3140" t="n">
        <v>0</v>
      </c>
      <c r="O3140" t="n">
        <v>4</v>
      </c>
      <c r="P3140">
        <f>HYPERLINK("http://g1.globo.com/brasil/noticia/2013/08/ong-leva-caso-de-imigrantes-haitianos-no-acre-a-oea.html", "URL")</f>
        <v/>
      </c>
      <c r="Q3140">
        <f>HYPERLINK("https://raw.githubusercontent.com/marcosmapl/dataset_imigrantes/main/materias_filtered/g1/haitianos/2013/07_ago/html/g1_5e911eb2-22f1-11ed-b24f-6dbe51e79fca_1747.html", "HTML")</f>
        <v/>
      </c>
      <c r="R3140">
        <f>HYPERLINK("https://raw.githubusercontent.com/marcosmapl/dataset_imigrantes/main/materias_filtered/g1/haitianos/2013/07_ago/txt/g1_5e911eb2-22f1-11ed-b24f-6dbe51e79fca_1747.txt", "TXT")</f>
        <v/>
      </c>
    </row>
    <row r="3141">
      <c r="A3141" s="1" t="n">
        <v>3139</v>
      </c>
      <c r="B3141" t="n">
        <v>2013</v>
      </c>
      <c r="C3141" s="2" t="n">
        <v>41506.71875</v>
      </c>
      <c r="D3141" t="inlineStr">
        <is>
          <t>G1</t>
        </is>
      </c>
      <c r="E3141" t="inlineStr">
        <is>
          <t>VENEZUELANOS</t>
        </is>
      </c>
      <c r="F3141" t="inlineStr"/>
      <c r="G3141" t="inlineStr">
        <is>
          <t>CE PRESSE</t>
        </is>
      </c>
      <c r="H3141" t="inlineStr">
        <is>
          <t>SONHO DO BUMBUM AVANTAJADO VIRA PESADELO ENTRE AS VENEZUELANAS</t>
        </is>
      </c>
      <c r="I3141" t="inlineStr"/>
      <c r="J3141" t="inlineStr"/>
      <c r="K3141" t="n">
        <v>0</v>
      </c>
      <c r="L3141" t="n">
        <v>1</v>
      </c>
      <c r="M3141" t="n">
        <v>0</v>
      </c>
      <c r="N3141" t="n">
        <v>0</v>
      </c>
      <c r="O3141" t="n">
        <v>4</v>
      </c>
      <c r="P3141">
        <f>HYPERLINK("http://g1.globo.com/mundo/noticia/2013/08/sonho-do-bumbum-avantajado-vira-pesadelo-entre-as-venezuelanas.html", "URL")</f>
        <v/>
      </c>
      <c r="Q3141">
        <f>HYPERLINK("https://raw.githubusercontent.com/marcosmapl/dataset_imigrantes/main/materias_filtered/g1/venezuelanos/2013/07_ago/html/g1_3e00944c-231a-11ed-b24f-6dbe51e79fca_3324.html", "HTML")</f>
        <v/>
      </c>
      <c r="R3141">
        <f>HYPERLINK("https://raw.githubusercontent.com/marcosmapl/dataset_imigrantes/main/materias_filtered/g1/venezuelanos/2013/07_ago/txt/g1_3e00944c-231a-11ed-b24f-6dbe51e79fca_3324.txt", "TXT")</f>
        <v/>
      </c>
    </row>
    <row r="3142">
      <c r="A3142" s="1" t="n">
        <v>3140</v>
      </c>
      <c r="B3142" t="n">
        <v>2013</v>
      </c>
      <c r="C3142" s="2" t="n">
        <v>41499.63125</v>
      </c>
      <c r="D3142" t="inlineStr">
        <is>
          <t>G1</t>
        </is>
      </c>
      <c r="E3142" t="inlineStr">
        <is>
          <t>HAITIANOS</t>
        </is>
      </c>
      <c r="F3142" t="inlineStr"/>
      <c r="G3142" t="inlineStr">
        <is>
          <t xml:space="preserve"> MARCELDO G1 AC</t>
        </is>
      </c>
      <c r="H3142" t="inlineStr">
        <is>
          <t>ONG DENUNCIA CONDIÇÕES 'DESUMANAS' DE HAITIANOS NO ACRE</t>
        </is>
      </c>
      <c r="I3142" t="inlineStr"/>
      <c r="J3142" t="inlineStr">
        <is>
          <t>BRASILÉIA, GOVERNO FEDERAL, OEA, ONU, SÃO PAULO</t>
        </is>
      </c>
      <c r="K3142" t="n">
        <v>5</v>
      </c>
      <c r="L3142" t="n">
        <v>4</v>
      </c>
      <c r="M3142" t="n">
        <v>0</v>
      </c>
      <c r="N3142" t="n">
        <v>0</v>
      </c>
      <c r="O3142" t="n">
        <v>17</v>
      </c>
      <c r="P3142">
        <f>HYPERLINK("http://g1.globo.com/ac/acre/noticia/2013/08/ong-denuncia-condicoes-desumanas-de-haitianos-no-acre.html", "URL")</f>
        <v/>
      </c>
      <c r="Q3142">
        <f>HYPERLINK("https://raw.githubusercontent.com/marcosmapl/dataset_imigrantes/main/materias_filtered/g1/haitianos/2013/07_ago/html/g1_0eb853b2-22f4-11ed-b24f-6dbe51e79fca_1871.html", "HTML")</f>
        <v/>
      </c>
      <c r="R3142">
        <f>HYPERLINK("https://raw.githubusercontent.com/marcosmapl/dataset_imigrantes/main/materias_filtered/g1/haitianos/2013/07_ago/txt/g1_0eb853b2-22f4-11ed-b24f-6dbe51e79fca_1871.txt", "TXT")</f>
        <v/>
      </c>
    </row>
    <row r="3143">
      <c r="A3143" s="1" t="n">
        <v>3141</v>
      </c>
      <c r="B3143" t="n">
        <v>2013</v>
      </c>
      <c r="C3143" s="2" t="n">
        <v>41498.40972222222</v>
      </c>
      <c r="D3143" t="inlineStr">
        <is>
          <t>G1</t>
        </is>
      </c>
      <c r="E3143" t="inlineStr">
        <is>
          <t>VENEZUELANOS</t>
        </is>
      </c>
      <c r="F3143" t="inlineStr"/>
      <c r="G3143" t="inlineStr">
        <is>
          <t>ERS</t>
        </is>
      </c>
      <c r="H3143" t="inlineStr">
        <is>
          <t>BOMBEIROS APAGAM INCÊNDIO EM REFINARIA VENEZUELANA</t>
        </is>
      </c>
      <c r="I3143" t="inlineStr"/>
      <c r="J3143" t="inlineStr"/>
      <c r="K3143" t="n">
        <v>0</v>
      </c>
      <c r="L3143" t="n">
        <v>1</v>
      </c>
      <c r="M3143" t="n">
        <v>0</v>
      </c>
      <c r="N3143" t="n">
        <v>0</v>
      </c>
      <c r="O3143" t="n">
        <v>4</v>
      </c>
      <c r="P3143">
        <f>HYPERLINK("http://g1.globo.com/mundo/noticia/2013/08/bombeiros-apagam-incendio-em-refinaria-venezuelana-3.html", "URL")</f>
        <v/>
      </c>
      <c r="Q3143">
        <f>HYPERLINK("https://raw.githubusercontent.com/marcosmapl/dataset_imigrantes/main/materias_filtered/g1/venezuelanos/2013/07_ago/html/g1_def107d6-2317-11ed-b24f-6dbe51e79fca_3231.html", "HTML")</f>
        <v/>
      </c>
      <c r="R3143">
        <f>HYPERLINK("https://raw.githubusercontent.com/marcosmapl/dataset_imigrantes/main/materias_filtered/g1/venezuelanos/2013/07_ago/txt/g1_def107d6-2317-11ed-b24f-6dbe51e79fca_3231.txt", "TXT")</f>
        <v/>
      </c>
    </row>
    <row r="3144">
      <c r="A3144" s="1" t="n">
        <v>3142</v>
      </c>
      <c r="B3144" t="n">
        <v>2013</v>
      </c>
      <c r="C3144" s="2" t="n">
        <v>41498.40972222222</v>
      </c>
      <c r="D3144" t="inlineStr">
        <is>
          <t>G1</t>
        </is>
      </c>
      <c r="E3144" t="inlineStr">
        <is>
          <t>VENEZUELANOS</t>
        </is>
      </c>
      <c r="F3144" t="inlineStr"/>
      <c r="G3144" t="inlineStr">
        <is>
          <t>ERS</t>
        </is>
      </c>
      <c r="H3144" t="inlineStr">
        <is>
          <t>BOMBEIROS APAGAM INCÊNDIO EM REFINARIA VENEZUELANA</t>
        </is>
      </c>
      <c r="I3144" t="inlineStr"/>
      <c r="J3144" t="inlineStr"/>
      <c r="K3144" t="n">
        <v>0</v>
      </c>
      <c r="L3144" t="n">
        <v>1</v>
      </c>
      <c r="M3144" t="n">
        <v>0</v>
      </c>
      <c r="N3144" t="n">
        <v>0</v>
      </c>
      <c r="O3144" t="n">
        <v>4</v>
      </c>
      <c r="P3144">
        <f>HYPERLINK("http://g1.globo.com/mundo/noticia/2013/08/bombeiros-apagam-incendio-em-refinaria-venezuelana-4.html", "URL")</f>
        <v/>
      </c>
      <c r="Q3144">
        <f>HYPERLINK("https://raw.githubusercontent.com/marcosmapl/dataset_imigrantes/main/materias_filtered/g1/venezuelanos/2013/07_ago/html/g1_36f16cd4-2320-11ed-b24f-6dbe51e79fca_3670.html", "HTML")</f>
        <v/>
      </c>
      <c r="R3144">
        <f>HYPERLINK("https://raw.githubusercontent.com/marcosmapl/dataset_imigrantes/main/materias_filtered/g1/venezuelanos/2013/07_ago/txt/g1_36f16cd4-2320-11ed-b24f-6dbe51e79fca_3670.txt", "TXT")</f>
        <v/>
      </c>
    </row>
    <row r="3145">
      <c r="A3145" s="1" t="n">
        <v>3143</v>
      </c>
      <c r="B3145" t="n">
        <v>2013</v>
      </c>
      <c r="C3145" s="2" t="n">
        <v>41498.3125</v>
      </c>
      <c r="D3145" t="inlineStr">
        <is>
          <t>G1</t>
        </is>
      </c>
      <c r="E3145" t="inlineStr">
        <is>
          <t>VENEZUELANOS</t>
        </is>
      </c>
      <c r="F3145" t="inlineStr"/>
      <c r="G3145" t="inlineStr">
        <is>
          <t>ERS</t>
        </is>
      </c>
      <c r="H3145" t="inlineStr">
        <is>
          <t>BOMBEIROS APAGAM INCÊNDIO EM REFINARIA VENEZUELANA</t>
        </is>
      </c>
      <c r="I3145" t="inlineStr"/>
      <c r="J3145" t="inlineStr"/>
      <c r="K3145" t="n">
        <v>0</v>
      </c>
      <c r="L3145" t="n">
        <v>1</v>
      </c>
      <c r="M3145" t="n">
        <v>0</v>
      </c>
      <c r="N3145" t="n">
        <v>0</v>
      </c>
      <c r="O3145" t="n">
        <v>4</v>
      </c>
      <c r="P3145">
        <f>HYPERLINK("http://g1.globo.com/mundo/noticia/2013/08/bombeiros-apagam-incendio-em-refinaria-venezuelana-1.html", "URL")</f>
        <v/>
      </c>
      <c r="Q3145">
        <f>HYPERLINK("https://raw.githubusercontent.com/marcosmapl/dataset_imigrantes/main/materias_filtered/g1/venezuelanos/2013/07_ago/html/g1_1ec956d8-232c-11ed-b24f-6dbe51e79fca_4286.html", "HTML")</f>
        <v/>
      </c>
      <c r="R3145">
        <f>HYPERLINK("https://raw.githubusercontent.com/marcosmapl/dataset_imigrantes/main/materias_filtered/g1/venezuelanos/2013/07_ago/txt/g1_1ec956d8-232c-11ed-b24f-6dbe51e79fca_4286.txt", "TXT")</f>
        <v/>
      </c>
    </row>
    <row r="3146">
      <c r="A3146" s="1" t="n">
        <v>3144</v>
      </c>
      <c r="B3146" t="n">
        <v>2013</v>
      </c>
      <c r="C3146" s="2" t="n">
        <v>41498.3125</v>
      </c>
      <c r="D3146" t="inlineStr">
        <is>
          <t>G1</t>
        </is>
      </c>
      <c r="E3146" t="inlineStr">
        <is>
          <t>VENEZUELANOS</t>
        </is>
      </c>
      <c r="F3146" t="inlineStr"/>
      <c r="G3146" t="inlineStr">
        <is>
          <t>EUTERS</t>
        </is>
      </c>
      <c r="H3146" t="inlineStr">
        <is>
          <t>BOMBEIROS APAGAM INCÊNDIO EM REFINARIA VENEZUELANA</t>
        </is>
      </c>
      <c r="I3146" t="inlineStr"/>
      <c r="J3146" t="inlineStr">
        <is>
          <t>VENEZUELA</t>
        </is>
      </c>
      <c r="K3146" t="n">
        <v>1</v>
      </c>
      <c r="L3146" t="n">
        <v>5</v>
      </c>
      <c r="M3146" t="n">
        <v>0</v>
      </c>
      <c r="N3146" t="n">
        <v>0</v>
      </c>
      <c r="O3146" t="n">
        <v>9</v>
      </c>
      <c r="P3146">
        <f>HYPERLINK("http://g1.globo.com/mundo/noticia/2013/08/bombeiros-apagam-incendio-em-refinaria-venezuelana.html", "URL")</f>
        <v/>
      </c>
      <c r="Q3146">
        <f>HYPERLINK("https://raw.githubusercontent.com/marcosmapl/dataset_imigrantes/main/materias_filtered/g1/venezuelanos/2013/07_ago/html/g1_c3dd4dde-230c-11ed-b24f-6dbe51e79fca_2645.html", "HTML")</f>
        <v/>
      </c>
      <c r="R3146">
        <f>HYPERLINK("https://raw.githubusercontent.com/marcosmapl/dataset_imigrantes/main/materias_filtered/g1/venezuelanos/2013/07_ago/txt/g1_c3dd4dde-230c-11ed-b24f-6dbe51e79fca_2645.txt", "TXT")</f>
        <v/>
      </c>
    </row>
    <row r="3147">
      <c r="A3147" s="1" t="n">
        <v>3145</v>
      </c>
      <c r="B3147" t="n">
        <v>2013</v>
      </c>
      <c r="C3147" s="2" t="n">
        <v>41498.3125</v>
      </c>
      <c r="D3147" t="inlineStr">
        <is>
          <t>G1</t>
        </is>
      </c>
      <c r="E3147" t="inlineStr">
        <is>
          <t>VENEZUELANOS</t>
        </is>
      </c>
      <c r="F3147" t="inlineStr"/>
      <c r="G3147" t="inlineStr">
        <is>
          <t>EUTERS</t>
        </is>
      </c>
      <c r="H3147" t="inlineStr">
        <is>
          <t>BOMBEIROS APAGAM INCÊNDIO EM REFINARIA VENEZUELANA</t>
        </is>
      </c>
      <c r="I3147" t="inlineStr"/>
      <c r="J3147" t="inlineStr">
        <is>
          <t>VENEZUELA, ECONOMIA</t>
        </is>
      </c>
      <c r="K3147" t="n">
        <v>2</v>
      </c>
      <c r="L3147" t="n">
        <v>4</v>
      </c>
      <c r="M3147" t="n">
        <v>0</v>
      </c>
      <c r="N3147" t="n">
        <v>0</v>
      </c>
      <c r="O3147" t="n">
        <v>10</v>
      </c>
      <c r="P3147">
        <f>HYPERLINK("http://g1.globo.com/economia/noticia/2013/08/bombeiros-apagam-incendio-em-refinaria-venezuelana-2.html", "URL")</f>
        <v/>
      </c>
      <c r="Q3147">
        <f>HYPERLINK("https://raw.githubusercontent.com/marcosmapl/dataset_imigrantes/main/materias_filtered/g1/venezuelanos/2013/07_ago/html/g1_95c3e7e8-2328-11ed-b24f-6dbe51e79fca_4087.html", "HTML")</f>
        <v/>
      </c>
      <c r="R3147">
        <f>HYPERLINK("https://raw.githubusercontent.com/marcosmapl/dataset_imigrantes/main/materias_filtered/g1/venezuelanos/2013/07_ago/txt/g1_95c3e7e8-2328-11ed-b24f-6dbe51e79fca_4087.txt", "TXT")</f>
        <v/>
      </c>
    </row>
    <row r="3148">
      <c r="A3148" s="1" t="n">
        <v>3146</v>
      </c>
      <c r="B3148" t="n">
        <v>2013</v>
      </c>
      <c r="C3148" s="2" t="n">
        <v>41497.88194444445</v>
      </c>
      <c r="D3148" t="inlineStr">
        <is>
          <t>G1</t>
        </is>
      </c>
      <c r="E3148" t="inlineStr">
        <is>
          <t>VENEZUELANOS</t>
        </is>
      </c>
      <c r="F3148" t="inlineStr"/>
      <c r="G3148" t="inlineStr">
        <is>
          <t>CE PRESSE</t>
        </is>
      </c>
      <c r="H3148" t="inlineStr">
        <is>
          <t>RAIO PROVOCA INCÊNDIO EM REFINARIA VENEZUELANA, SEM VÍTIMAS</t>
        </is>
      </c>
      <c r="I3148" t="inlineStr"/>
      <c r="J3148" t="inlineStr"/>
      <c r="K3148" t="n">
        <v>0</v>
      </c>
      <c r="L3148" t="n">
        <v>1</v>
      </c>
      <c r="M3148" t="n">
        <v>0</v>
      </c>
      <c r="N3148" t="n">
        <v>0</v>
      </c>
      <c r="O3148" t="n">
        <v>4</v>
      </c>
      <c r="P3148">
        <f>HYPERLINK("http://g1.globo.com/mundo/noticia/2013/08/raio-provoca-incendio-em-refinaria-venezuelana-sem-vitimas.html", "URL")</f>
        <v/>
      </c>
      <c r="Q3148">
        <f>HYPERLINK("https://raw.githubusercontent.com/marcosmapl/dataset_imigrantes/main/materias_filtered/g1/venezuelanos/2013/07_ago/html/g1_0f534884-231e-11ed-b24f-6dbe51e79fca_3537.html", "HTML")</f>
        <v/>
      </c>
      <c r="R3148">
        <f>HYPERLINK("https://raw.githubusercontent.com/marcosmapl/dataset_imigrantes/main/materias_filtered/g1/venezuelanos/2013/07_ago/txt/g1_0f534884-231e-11ed-b24f-6dbe51e79fca_3537.txt", "TXT")</f>
        <v/>
      </c>
    </row>
    <row r="3149">
      <c r="A3149" s="1" t="n">
        <v>3147</v>
      </c>
      <c r="B3149" t="n">
        <v>2013</v>
      </c>
      <c r="C3149" s="2" t="n">
        <v>41497.47916666666</v>
      </c>
      <c r="D3149" t="inlineStr">
        <is>
          <t>G1</t>
        </is>
      </c>
      <c r="E3149" t="inlineStr">
        <is>
          <t>VENEZUELANOS</t>
        </is>
      </c>
      <c r="F3149" t="inlineStr"/>
      <c r="G3149" t="inlineStr">
        <is>
          <t>RANCE PRESSE</t>
        </is>
      </c>
      <c r="H3149" t="inlineStr">
        <is>
          <t>ASSALTANTES CORTAM E ROUBAM CABELO DE MULHERES VENEZUELANAS</t>
        </is>
      </c>
      <c r="I3149" t="inlineStr"/>
      <c r="J3149" t="inlineStr"/>
      <c r="K3149" t="n">
        <v>0</v>
      </c>
      <c r="L3149" t="n">
        <v>1</v>
      </c>
      <c r="M3149" t="n">
        <v>0</v>
      </c>
      <c r="N3149" t="n">
        <v>0</v>
      </c>
      <c r="O3149" t="n">
        <v>4</v>
      </c>
      <c r="P3149">
        <f>HYPERLINK("http://g1.globo.com/mundo/noticia/2013/08/assaltantes-cortam-e-roubam-cabelo-de-mulheres-venezuelanas.html", "URL")</f>
        <v/>
      </c>
      <c r="Q3149">
        <f>HYPERLINK("https://raw.githubusercontent.com/marcosmapl/dataset_imigrantes/main/materias_filtered/g1/venezuelanos/2013/07_ago/html/g1_3f380a60-2316-11ed-b24f-6dbe51e79fca_3136.html", "HTML")</f>
        <v/>
      </c>
      <c r="R3149">
        <f>HYPERLINK("https://raw.githubusercontent.com/marcosmapl/dataset_imigrantes/main/materias_filtered/g1/venezuelanos/2013/07_ago/txt/g1_3f380a60-2316-11ed-b24f-6dbe51e79fca_3136.txt", "TXT")</f>
        <v/>
      </c>
    </row>
    <row r="3150">
      <c r="A3150" s="1" t="n">
        <v>3148</v>
      </c>
      <c r="B3150" t="n">
        <v>2013</v>
      </c>
      <c r="C3150" s="2" t="n">
        <v>41493.74305555555</v>
      </c>
      <c r="D3150" t="inlineStr">
        <is>
          <t>G1</t>
        </is>
      </c>
      <c r="E3150" t="inlineStr">
        <is>
          <t>VENEZUELANOS</t>
        </is>
      </c>
      <c r="F3150" t="inlineStr"/>
      <c r="G3150" t="inlineStr">
        <is>
          <t>CE PRESSE</t>
        </is>
      </c>
      <c r="H3150" t="inlineStr">
        <is>
          <t>JUSTIÇA VENEZUELANA REJEITA IMPUGNAÇÃO DE ELEIÇÕES FEITA POR CAPRILES</t>
        </is>
      </c>
      <c r="I3150" t="inlineStr"/>
      <c r="J3150" t="inlineStr"/>
      <c r="K3150" t="n">
        <v>0</v>
      </c>
      <c r="L3150" t="n">
        <v>1</v>
      </c>
      <c r="M3150" t="n">
        <v>0</v>
      </c>
      <c r="N3150" t="n">
        <v>0</v>
      </c>
      <c r="O3150" t="n">
        <v>4</v>
      </c>
      <c r="P3150">
        <f>HYPERLINK("http://g1.globo.com/mundo/noticia/2013/08/justica-venezuelana-rejeita-impugnacao-de-eleicoes-feita-por-capriles.html", "URL")</f>
        <v/>
      </c>
      <c r="Q3150">
        <f>HYPERLINK("https://raw.githubusercontent.com/marcosmapl/dataset_imigrantes/main/materias_filtered/g1/venezuelanos/2013/07_ago/html/g1_c3894ea6-231a-11ed-b24f-6dbe51e79fca_3352.html", "HTML")</f>
        <v/>
      </c>
      <c r="R3150">
        <f>HYPERLINK("https://raw.githubusercontent.com/marcosmapl/dataset_imigrantes/main/materias_filtered/g1/venezuelanos/2013/07_ago/txt/g1_c3894ea6-231a-11ed-b24f-6dbe51e79fca_3352.txt", "TXT")</f>
        <v/>
      </c>
    </row>
    <row r="3151">
      <c r="A3151" s="1" t="n">
        <v>3149</v>
      </c>
      <c r="B3151" t="n">
        <v>2013</v>
      </c>
      <c r="C3151" s="2" t="n">
        <v>41493.65625</v>
      </c>
      <c r="D3151" t="inlineStr">
        <is>
          <t>G1</t>
        </is>
      </c>
      <c r="E3151" t="inlineStr">
        <is>
          <t>VENEZUELANOS</t>
        </is>
      </c>
      <c r="F3151" t="inlineStr"/>
      <c r="G3151" t="inlineStr">
        <is>
          <t>CE PRESSE</t>
        </is>
      </c>
      <c r="H3151" t="inlineStr">
        <is>
          <t>JUSTIÇA VENEZUELANA REJEITA IMPUGNAÇÃO DAS ELEIÇÕES FEITA POR CAPRILES</t>
        </is>
      </c>
      <c r="I3151" t="inlineStr"/>
      <c r="J3151" t="inlineStr"/>
      <c r="K3151" t="n">
        <v>0</v>
      </c>
      <c r="L3151" t="n">
        <v>1</v>
      </c>
      <c r="M3151" t="n">
        <v>0</v>
      </c>
      <c r="N3151" t="n">
        <v>0</v>
      </c>
      <c r="O3151" t="n">
        <v>4</v>
      </c>
      <c r="P3151">
        <f>HYPERLINK("http://g1.globo.com/mundo/noticia/2013/08/justica-venezuelana-rejeita-impugnacao-das-eleicoes-feita-por-capriles.html", "URL")</f>
        <v/>
      </c>
      <c r="Q3151">
        <f>HYPERLINK("https://raw.githubusercontent.com/marcosmapl/dataset_imigrantes/main/materias_filtered/g1/venezuelanos/2013/07_ago/html/g1_7ccf0632-230f-11ed-b24f-6dbe51e79fca_2798.html", "HTML")</f>
        <v/>
      </c>
      <c r="R3151">
        <f>HYPERLINK("https://raw.githubusercontent.com/marcosmapl/dataset_imigrantes/main/materias_filtered/g1/venezuelanos/2013/07_ago/txt/g1_7ccf0632-230f-11ed-b24f-6dbe51e79fca_2798.txt", "TXT")</f>
        <v/>
      </c>
    </row>
    <row r="3152">
      <c r="A3152" s="1" t="n">
        <v>3150</v>
      </c>
      <c r="B3152" t="n">
        <v>2013</v>
      </c>
      <c r="C3152" s="2" t="n">
        <v>41492.50347222222</v>
      </c>
      <c r="D3152" t="inlineStr">
        <is>
          <t>G1</t>
        </is>
      </c>
      <c r="E3152" t="inlineStr">
        <is>
          <t>VENEZUELANOS</t>
        </is>
      </c>
      <c r="F3152" t="inlineStr"/>
      <c r="G3152" t="inlineStr">
        <is>
          <t>FE</t>
        </is>
      </c>
      <c r="H3152" t="inlineStr">
        <is>
          <t>ACIDENTE EM ESTRADA VENEZUELANA MATA NOVE E DEIXA 35 FERIDOS</t>
        </is>
      </c>
      <c r="I3152" t="inlineStr"/>
      <c r="J3152" t="inlineStr">
        <is>
          <t>VENEZUELA</t>
        </is>
      </c>
      <c r="K3152" t="n">
        <v>1</v>
      </c>
      <c r="L3152" t="n">
        <v>4</v>
      </c>
      <c r="M3152" t="n">
        <v>0</v>
      </c>
      <c r="N3152" t="n">
        <v>0</v>
      </c>
      <c r="O3152" t="n">
        <v>11</v>
      </c>
      <c r="P3152">
        <f>HYPERLINK("http://g1.globo.com/mundo/noticia/2013/08/acidente-em-estrada-venezuelana-mata-nove-e-deixa-35-feridos.html", "URL")</f>
        <v/>
      </c>
      <c r="Q3152">
        <f>HYPERLINK("https://raw.githubusercontent.com/marcosmapl/dataset_imigrantes/main/materias_filtered/g1/venezuelanos/2013/07_ago/html/g1_f2073ae0-2306-11ed-b24f-6dbe51e79fca_2287.html", "HTML")</f>
        <v/>
      </c>
      <c r="R3152">
        <f>HYPERLINK("https://raw.githubusercontent.com/marcosmapl/dataset_imigrantes/main/materias_filtered/g1/venezuelanos/2013/07_ago/txt/g1_f2073ae0-2306-11ed-b24f-6dbe51e79fca_2287.txt", "TXT")</f>
        <v/>
      </c>
    </row>
    <row r="3153">
      <c r="A3153" s="1" t="n">
        <v>3151</v>
      </c>
      <c r="B3153" t="n">
        <v>2013</v>
      </c>
      <c r="C3153" s="2" t="n">
        <v>41489.5362962963</v>
      </c>
      <c r="D3153" t="inlineStr">
        <is>
          <t>A CRITICA</t>
        </is>
      </c>
      <c r="E3153" t="inlineStr">
        <is>
          <t>VENEZUELANOS</t>
        </is>
      </c>
      <c r="F3153" t="inlineStr">
        <is>
          <t>MANAUS</t>
        </is>
      </c>
      <c r="G3153" t="inlineStr">
        <is>
          <t>MARIANA LIMA</t>
        </is>
      </c>
      <c r="H3153" t="inlineStr">
        <is>
          <t>CRIANÇAS SÃO ENCONTRADAS DURANTE OPERAÇÃO 'CENTRO SEGURO'</t>
        </is>
      </c>
      <c r="I3153" t="inlineStr">
        <is>
          <t>UM TOTAL DE 48 PESSOAS FORAM RETIRADAS DOS ESTABELECIMENTOS FECHADOS. OS MENORES DE IDADE FORAM PARA ABRIGOS DO GOVERNO</t>
        </is>
      </c>
      <c r="J3153" t="inlineStr"/>
      <c r="K3153" t="n">
        <v>0</v>
      </c>
      <c r="L3153" t="n">
        <v>1</v>
      </c>
      <c r="M3153" t="n">
        <v>0</v>
      </c>
      <c r="N3153" t="n">
        <v>0</v>
      </c>
      <c r="O3153" t="n">
        <v>2</v>
      </c>
      <c r="P3153">
        <f>HYPERLINK("https://www.acritica.com/manaus/criancas-s-o-encontradas-durante-operac-o-centro-seguro-1.238670", "URL")</f>
        <v/>
      </c>
      <c r="Q3153">
        <f>HYPERLINK("https://raw.githubusercontent.com/marcosmapl/dataset_imigrantes/main/materias_filtered/a_critica/venezuelanos/2013/07_ago/html/1.238670_862.html", "HTML")</f>
        <v/>
      </c>
      <c r="R3153">
        <f>HYPERLINK("https://raw.githubusercontent.com/marcosmapl/dataset_imigrantes/main/materias_filtered/a_critica/venezuelanos/2013/07_ago/txt/1.238670_862.txt", "TXT")</f>
        <v/>
      </c>
    </row>
    <row r="3154">
      <c r="A3154" s="1" t="n">
        <v>3152</v>
      </c>
      <c r="B3154" t="n">
        <v>2013</v>
      </c>
      <c r="C3154" s="2" t="n">
        <v>41488.59946759259</v>
      </c>
      <c r="D3154" t="inlineStr">
        <is>
          <t>A CRITICA</t>
        </is>
      </c>
      <c r="E3154" t="inlineStr">
        <is>
          <t>VENEZUELANOS</t>
        </is>
      </c>
      <c r="F3154" t="inlineStr">
        <is>
          <t>MANAUS</t>
        </is>
      </c>
      <c r="G3154" t="inlineStr">
        <is>
          <t>ACRÍTICA.COM</t>
        </is>
      </c>
      <c r="H3154" t="inlineStr">
        <is>
          <t>OPERAÇÃO ‘CENTRO SEGURO’ É REALIZADA NESTA SEXTA-FEIRA (2) EM MANAUS</t>
        </is>
      </c>
      <c r="I3154" t="inlineStr">
        <is>
          <t>DE ACORDO COM A DELEGACIA DA SECCIONAL SUL, DURANTE AS INVESTIGAÇÕES ATRAVÉS DAS CÂMERAS DE MONITORAMENTO DO CIOPS, FOI POSSÍVEL VERIFICAR QUE MUITOS HOTÉIS DO CENTRO FUNCIONAM COMO PONTO DE PREPARO E VENDA DE DROGAS E LOCAL DE PROSTITUIÇÃO</t>
        </is>
      </c>
      <c r="J3154" t="inlineStr"/>
      <c r="K3154" t="n">
        <v>0</v>
      </c>
      <c r="L3154" t="n">
        <v>1</v>
      </c>
      <c r="M3154" t="n">
        <v>0</v>
      </c>
      <c r="N3154" t="n">
        <v>0</v>
      </c>
      <c r="O3154" t="n">
        <v>2</v>
      </c>
      <c r="P3154">
        <f>HYPERLINK("https://www.acritica.com/manaus/operac-o-centro-seguro-e-realizada-nesta-sexta-feira-2-em-manaus-1.238686", "URL")</f>
        <v/>
      </c>
      <c r="Q3154">
        <f>HYPERLINK("https://raw.githubusercontent.com/marcosmapl/dataset_imigrantes/main/materias_filtered/a_critica/venezuelanos/2013/07_ago/html/1.238686_721.html", "HTML")</f>
        <v/>
      </c>
      <c r="R3154">
        <f>HYPERLINK("https://raw.githubusercontent.com/marcosmapl/dataset_imigrantes/main/materias_filtered/a_critica/venezuelanos/2013/07_ago/txt/1.238686_721.txt", "TXT")</f>
        <v/>
      </c>
    </row>
    <row r="3155">
      <c r="A3155" s="1" t="n">
        <v>3153</v>
      </c>
      <c r="B3155" t="n">
        <v>2013</v>
      </c>
      <c r="C3155" s="2" t="n">
        <v>41471.525</v>
      </c>
      <c r="D3155" t="inlineStr">
        <is>
          <t>G1</t>
        </is>
      </c>
      <c r="E3155" t="inlineStr">
        <is>
          <t>HAITIANOS</t>
        </is>
      </c>
      <c r="F3155" t="inlineStr"/>
      <c r="G3155" t="inlineStr">
        <is>
          <t xml:space="preserve"> MARCELDO G1 AC</t>
        </is>
      </c>
      <c r="H3155" t="inlineStr">
        <is>
          <t>ACRE CONTINUA RECEBENDO MÉDIA DE 40 HAITIANOS POR DIA</t>
        </is>
      </c>
      <c r="I3155" t="inlineStr"/>
      <c r="J3155" t="inlineStr">
        <is>
          <t>BRASILÉIA, BOLÍVIA, EQUADOR, PERU, POLÍCIA FEDERAL, REPÚBLICA DOMINICANA, COLÔMBIA</t>
        </is>
      </c>
      <c r="K3155" t="n">
        <v>7</v>
      </c>
      <c r="L3155" t="n">
        <v>4</v>
      </c>
      <c r="M3155" t="n">
        <v>0</v>
      </c>
      <c r="N3155" t="n">
        <v>0</v>
      </c>
      <c r="O3155" t="n">
        <v>19</v>
      </c>
      <c r="P3155">
        <f>HYPERLINK("http://g1.globo.com/ac/acre/noticia/2013/07/acre-continua-recebendo-media-de-40-haitianos-por-dia.html", "URL")</f>
        <v/>
      </c>
      <c r="Q3155">
        <f>HYPERLINK("https://raw.githubusercontent.com/marcosmapl/dataset_imigrantes/main/materias_filtered/g1/haitianos/2013/06_jul/html/g1_f42abc42-22f3-11ed-b24f-6dbe51e79fca_1866.html", "HTML")</f>
        <v/>
      </c>
      <c r="R3155">
        <f>HYPERLINK("https://raw.githubusercontent.com/marcosmapl/dataset_imigrantes/main/materias_filtered/g1/haitianos/2013/06_jul/txt/g1_f42abc42-22f3-11ed-b24f-6dbe51e79fca_1866.txt", "TXT")</f>
        <v/>
      </c>
    </row>
    <row r="3156">
      <c r="A3156" s="1" t="n">
        <v>3154</v>
      </c>
      <c r="B3156" t="n">
        <v>2013</v>
      </c>
      <c r="C3156" s="2" t="n">
        <v>41470.80625</v>
      </c>
      <c r="D3156" t="inlineStr">
        <is>
          <t>G1</t>
        </is>
      </c>
      <c r="E3156" t="inlineStr">
        <is>
          <t>HAITIANOS</t>
        </is>
      </c>
      <c r="F3156" t="inlineStr"/>
      <c r="G3156" t="inlineStr">
        <is>
          <t>1 CAMPINAS E REGIÃO</t>
        </is>
      </c>
      <c r="H3156" t="inlineStr">
        <is>
          <t>À ESPERA DA JMJ, PEREGRINOS CHILENOS E HAITIANOS FAZEM TOUR POR CAMPINAS</t>
        </is>
      </c>
      <c r="I3156" t="inlineStr"/>
      <c r="J3156" t="inlineStr">
        <is>
          <t>CAMPINAS</t>
        </is>
      </c>
      <c r="K3156" t="n">
        <v>1</v>
      </c>
      <c r="L3156" t="n">
        <v>7</v>
      </c>
      <c r="M3156" t="n">
        <v>0</v>
      </c>
      <c r="N3156" t="n">
        <v>0</v>
      </c>
      <c r="O3156" t="n">
        <v>10</v>
      </c>
      <c r="P3156">
        <f>HYPERLINK("http://g1.globo.com/sp/campinas-regiao/noticia/2013/07/espera-da-jmj-peregrinos-chilenos-e-haitianos-fazem-tour-por-campinas.html", "URL")</f>
        <v/>
      </c>
      <c r="Q3156">
        <f>HYPERLINK("https://raw.githubusercontent.com/marcosmapl/dataset_imigrantes/main/materias_filtered/g1/haitianos/2013/06_jul/html/g1_7c8d52ec-22f5-11ed-b24f-6dbe51e79fca_1953.html", "HTML")</f>
        <v/>
      </c>
      <c r="R3156">
        <f>HYPERLINK("https://raw.githubusercontent.com/marcosmapl/dataset_imigrantes/main/materias_filtered/g1/haitianos/2013/06_jul/txt/g1_7c8d52ec-22f5-11ed-b24f-6dbe51e79fca_1953.txt", "TXT")</f>
        <v/>
      </c>
    </row>
    <row r="3157">
      <c r="A3157" s="1" t="n">
        <v>3155</v>
      </c>
      <c r="B3157" t="n">
        <v>2013</v>
      </c>
      <c r="C3157" s="2" t="n">
        <v>41469.80208333334</v>
      </c>
      <c r="D3157" t="inlineStr">
        <is>
          <t>G1</t>
        </is>
      </c>
      <c r="E3157" t="inlineStr">
        <is>
          <t>VENEZUELANOS</t>
        </is>
      </c>
      <c r="F3157" t="inlineStr"/>
      <c r="G3157" t="inlineStr">
        <is>
          <t>CIA EFE</t>
        </is>
      </c>
      <c r="H3157" t="inlineStr">
        <is>
          <t>MADURO GARANTE QUE 2014 SERÁ 'EXTRAORDINÁRIO' PARA ECONOMIA VENEZUELANA</t>
        </is>
      </c>
      <c r="I3157" t="inlineStr"/>
      <c r="J3157" t="inlineStr"/>
      <c r="K3157" t="n">
        <v>0</v>
      </c>
      <c r="L3157" t="n">
        <v>1</v>
      </c>
      <c r="M3157" t="n">
        <v>0</v>
      </c>
      <c r="N3157" t="n">
        <v>0</v>
      </c>
      <c r="O3157" t="n">
        <v>4</v>
      </c>
      <c r="P3157">
        <f>HYPERLINK("http://g1.globo.com/mundo/noticia/2013/07/maduro-garante-que-2014-sera-extraordinario-para-economia-venezuelana.html", "URL")</f>
        <v/>
      </c>
      <c r="Q3157">
        <f>HYPERLINK("https://raw.githubusercontent.com/marcosmapl/dataset_imigrantes/main/materias_filtered/g1/venezuelanos/2013/06_jul/html/g1_234f4290-2308-11ed-b24f-6dbe51e79fca_2367.html", "HTML")</f>
        <v/>
      </c>
      <c r="R3157">
        <f>HYPERLINK("https://raw.githubusercontent.com/marcosmapl/dataset_imigrantes/main/materias_filtered/g1/venezuelanos/2013/06_jul/txt/g1_234f4290-2308-11ed-b24f-6dbe51e79fca_2367.txt", "TXT")</f>
        <v/>
      </c>
    </row>
    <row r="3158">
      <c r="A3158" s="1" t="n">
        <v>3156</v>
      </c>
      <c r="B3158" t="n">
        <v>2013</v>
      </c>
      <c r="C3158" s="2" t="n">
        <v>41465.88125</v>
      </c>
      <c r="D3158" t="inlineStr">
        <is>
          <t>G1</t>
        </is>
      </c>
      <c r="E3158" t="inlineStr">
        <is>
          <t>VENEZUELANOS</t>
        </is>
      </c>
      <c r="F3158" t="inlineStr"/>
      <c r="G3158" t="inlineStr">
        <is>
          <t>CE PRESSE</t>
        </is>
      </c>
      <c r="H3158" t="inlineStr">
        <is>
          <t>MINISTRA VENEZUELANA DEFENDE BOICOTE AO FACEBOOK</t>
        </is>
      </c>
      <c r="I3158" t="inlineStr"/>
      <c r="J3158" t="inlineStr"/>
      <c r="K3158" t="n">
        <v>0</v>
      </c>
      <c r="L3158" t="n">
        <v>1</v>
      </c>
      <c r="M3158" t="n">
        <v>0</v>
      </c>
      <c r="N3158" t="n">
        <v>0</v>
      </c>
      <c r="O3158" t="n">
        <v>4</v>
      </c>
      <c r="P3158">
        <f>HYPERLINK("http://g1.globo.com/mundo/noticia/2013/07/ministra-venezuelana-defende-boicote-ao-facebook.html", "URL")</f>
        <v/>
      </c>
      <c r="Q3158">
        <f>HYPERLINK("https://raw.githubusercontent.com/marcosmapl/dataset_imigrantes/main/materias_filtered/g1/venezuelanos/2013/06_jul/html/g1_d6e55736-230d-11ed-b24f-6dbe51e79fca_2708.html", "HTML")</f>
        <v/>
      </c>
      <c r="R3158">
        <f>HYPERLINK("https://raw.githubusercontent.com/marcosmapl/dataset_imigrantes/main/materias_filtered/g1/venezuelanos/2013/06_jul/txt/g1_d6e55736-230d-11ed-b24f-6dbe51e79fca_2708.txt", "TXT")</f>
        <v/>
      </c>
    </row>
    <row r="3159">
      <c r="A3159" s="1" t="n">
        <v>3157</v>
      </c>
      <c r="B3159" t="n">
        <v>2013</v>
      </c>
      <c r="C3159" s="2" t="n">
        <v>41464.60644675926</v>
      </c>
      <c r="D3159" t="inlineStr">
        <is>
          <t>A CRITICA</t>
        </is>
      </c>
      <c r="E3159" t="inlineStr">
        <is>
          <t>HAITIANOS</t>
        </is>
      </c>
      <c r="F3159" t="inlineStr">
        <is>
          <t>MANAUS</t>
        </is>
      </c>
      <c r="G3159" t="inlineStr">
        <is>
          <t>ACRÍTICA.COM</t>
        </is>
      </c>
      <c r="H3159" t="inlineStr">
        <is>
          <t>HAITIANO É PRESO POR ALICIAR CRIANÇA EM MANAUS</t>
        </is>
      </c>
      <c r="I3159" t="inlineStr">
        <is>
          <t>DE ACORDO COM A POLÍCIA, O ESTRANGEIRO QUE MORA NO MESMO CONJUNTO DE QUITINETES ONDE A FAMÍLIA DA VÍTIMA RESIDE CHAMOU A CRIANÇA PARA MOSTRAR UMAS IMAGENS NO CELULAR E APROVEITOU PARA PASSAR A MÃO EM SUAS PARTES ÍNTIMAS</t>
        </is>
      </c>
      <c r="J3159" t="inlineStr"/>
      <c r="K3159" t="n">
        <v>0</v>
      </c>
      <c r="L3159" t="n">
        <v>1</v>
      </c>
      <c r="M3159" t="n">
        <v>0</v>
      </c>
      <c r="N3159" t="n">
        <v>0</v>
      </c>
      <c r="O3159" t="n">
        <v>2</v>
      </c>
      <c r="P3159">
        <f>HYPERLINK("https://www.acritica.com/manaus/haitiano-e-preso-por-aliciar-crianca-em-manaus-1.240289", "URL")</f>
        <v/>
      </c>
      <c r="Q3159">
        <f>HYPERLINK("https://raw.githubusercontent.com/marcosmapl/dataset_imigrantes/main/materias_filtered/a_critica/haitianos/2013/06_jul/html/1.240289_763.html", "HTML")</f>
        <v/>
      </c>
      <c r="R3159">
        <f>HYPERLINK("https://raw.githubusercontent.com/marcosmapl/dataset_imigrantes/main/materias_filtered/a_critica/haitianos/2013/06_jul/txt/1.240289_763.txt", "TXT")</f>
        <v/>
      </c>
    </row>
    <row r="3160">
      <c r="A3160" s="1" t="n">
        <v>3158</v>
      </c>
      <c r="B3160" t="n">
        <v>2013</v>
      </c>
      <c r="C3160" s="2" t="n">
        <v>41464.50208333333</v>
      </c>
      <c r="D3160" t="inlineStr">
        <is>
          <t>G1</t>
        </is>
      </c>
      <c r="E3160" t="inlineStr">
        <is>
          <t>HAITIANOS</t>
        </is>
      </c>
      <c r="F3160" t="inlineStr"/>
      <c r="G3160" t="inlineStr">
        <is>
          <t>1 AM</t>
        </is>
      </c>
      <c r="H3160" t="inlineStr">
        <is>
          <t>HAITIANO É PRESO SUSPEITO DE VIOLENTAR MENINA DE CINCO ANOS, EM MANAUS</t>
        </is>
      </c>
      <c r="I3160" t="inlineStr"/>
      <c r="J3160" t="inlineStr">
        <is>
          <t>MANAUS, AMAZONAS</t>
        </is>
      </c>
      <c r="K3160" t="n">
        <v>2</v>
      </c>
      <c r="L3160" t="n">
        <v>4</v>
      </c>
      <c r="M3160" t="n">
        <v>0</v>
      </c>
      <c r="N3160" t="n">
        <v>0</v>
      </c>
      <c r="O3160" t="n">
        <v>14</v>
      </c>
      <c r="P3160">
        <f>HYPERLINK("http://g1.globo.com/am/amazonas/noticia/2013/07/haitiano-e-preso-suspeito-de-violentar-menina-de-cinco-anos-em-manaus.html", "URL")</f>
        <v/>
      </c>
      <c r="Q3160">
        <f>HYPERLINK("https://raw.githubusercontent.com/marcosmapl/dataset_imigrantes/main/materias_filtered/g1/haitianos/2013/06_jul/html/g1_aa8bfd32-231e-11ed-b24f-6dbe51e79fca_3576.html", "HTML")</f>
        <v/>
      </c>
      <c r="R3160">
        <f>HYPERLINK("https://raw.githubusercontent.com/marcosmapl/dataset_imigrantes/main/materias_filtered/g1/haitianos/2013/06_jul/txt/g1_aa8bfd32-231e-11ed-b24f-6dbe51e79fca_3576.txt", "TXT")</f>
        <v/>
      </c>
    </row>
    <row r="3161">
      <c r="A3161" s="1" t="n">
        <v>3159</v>
      </c>
      <c r="B3161" t="n">
        <v>2013</v>
      </c>
      <c r="C3161" s="2" t="n">
        <v>41458.60416666666</v>
      </c>
      <c r="D3161" t="inlineStr">
        <is>
          <t>G1</t>
        </is>
      </c>
      <c r="E3161" t="inlineStr">
        <is>
          <t>HAITIANOS</t>
        </is>
      </c>
      <c r="F3161" t="inlineStr"/>
      <c r="G3161" t="inlineStr"/>
      <c r="H3161" t="inlineStr">
        <is>
          <t>HAITIANOS ADEPTOS DO VODU BUSCAM NO CANDOMBLÉ ALTERNATIVA A IGREJAS</t>
        </is>
      </c>
      <c r="I3161" t="inlineStr"/>
      <c r="J3161" t="inlineStr"/>
      <c r="K3161" t="n">
        <v>0</v>
      </c>
      <c r="L3161" t="n">
        <v>1</v>
      </c>
      <c r="M3161" t="n">
        <v>0</v>
      </c>
      <c r="N3161" t="n">
        <v>0</v>
      </c>
      <c r="O3161" t="n">
        <v>4</v>
      </c>
      <c r="P3161">
        <f>HYPERLINK("http://g1.globo.com/mundo/noticia/2013/07/haitianos-adeptos-do-vodu-buscam-no-candomble-alternativa-a-igrejas.html", "URL")</f>
        <v/>
      </c>
      <c r="Q3161">
        <f>HYPERLINK("https://raw.githubusercontent.com/marcosmapl/dataset_imigrantes/main/materias_filtered/g1/haitianos/2013/06_jul/html/g1_b5ff0a48-22f0-11ed-b24f-6dbe51e79fca_1716.html", "HTML")</f>
        <v/>
      </c>
      <c r="R3161">
        <f>HYPERLINK("https://raw.githubusercontent.com/marcosmapl/dataset_imigrantes/main/materias_filtered/g1/haitianos/2013/06_jul/txt/g1_b5ff0a48-22f0-11ed-b24f-6dbe51e79fca_1716.txt", "TXT")</f>
        <v/>
      </c>
    </row>
    <row r="3162">
      <c r="A3162" s="1" t="n">
        <v>3160</v>
      </c>
      <c r="B3162" t="n">
        <v>2013</v>
      </c>
      <c r="C3162" s="2" t="n">
        <v>41458.54166666666</v>
      </c>
      <c r="D3162" t="inlineStr">
        <is>
          <t>G1</t>
        </is>
      </c>
      <c r="E3162" t="inlineStr">
        <is>
          <t>HAITIANOS</t>
        </is>
      </c>
      <c r="F3162" t="inlineStr"/>
      <c r="G3162" t="inlineStr"/>
      <c r="H3162" t="inlineStr">
        <is>
          <t>MELODIAS HAITIANAS EMBALAM CULTOS EM PORTO VELHO</t>
        </is>
      </c>
      <c r="I3162" t="inlineStr"/>
      <c r="J3162" t="inlineStr"/>
      <c r="K3162" t="n">
        <v>0</v>
      </c>
      <c r="L3162" t="n">
        <v>1</v>
      </c>
      <c r="M3162" t="n">
        <v>0</v>
      </c>
      <c r="N3162" t="n">
        <v>0</v>
      </c>
      <c r="O3162" t="n">
        <v>4</v>
      </c>
      <c r="P3162">
        <f>HYPERLINK("http://g1.globo.com/mundo/noticia/2013/07/melodias-haitianas-embalam-cultos-em-porto-velho.html", "URL")</f>
        <v/>
      </c>
      <c r="Q3162">
        <f>HYPERLINK("https://raw.githubusercontent.com/marcosmapl/dataset_imigrantes/main/materias_filtered/g1/haitianos/2013/06_jul/html/g1_890c19a8-231e-11ed-b24f-6dbe51e79fca_3568.html", "HTML")</f>
        <v/>
      </c>
      <c r="R3162">
        <f>HYPERLINK("https://raw.githubusercontent.com/marcosmapl/dataset_imigrantes/main/materias_filtered/g1/haitianos/2013/06_jul/txt/g1_890c19a8-231e-11ed-b24f-6dbe51e79fca_3568.txt", "TXT")</f>
        <v/>
      </c>
    </row>
    <row r="3163">
      <c r="A3163" s="1" t="n">
        <v>3161</v>
      </c>
      <c r="B3163" t="n">
        <v>2013</v>
      </c>
      <c r="C3163" s="2" t="n">
        <v>41458.54166666666</v>
      </c>
      <c r="D3163" t="inlineStr">
        <is>
          <t>G1</t>
        </is>
      </c>
      <c r="E3163" t="inlineStr">
        <is>
          <t>HAITIANOS</t>
        </is>
      </c>
      <c r="F3163" t="inlineStr"/>
      <c r="G3163" t="inlineStr"/>
      <c r="H3163" t="inlineStr">
        <is>
          <t>IGREJAS EVANGÉLICAS DISPUTAM IMIGRANTES HAITIANOS EM RONDÔNIA</t>
        </is>
      </c>
      <c r="I3163" t="inlineStr"/>
      <c r="J3163" t="inlineStr"/>
      <c r="K3163" t="n">
        <v>0</v>
      </c>
      <c r="L3163" t="n">
        <v>1</v>
      </c>
      <c r="M3163" t="n">
        <v>0</v>
      </c>
      <c r="N3163" t="n">
        <v>0</v>
      </c>
      <c r="O3163" t="n">
        <v>4</v>
      </c>
      <c r="P3163">
        <f>HYPERLINK("http://g1.globo.com/brasil/noticia/2013/07/igrejas-evangelicas-disputam-imigrantes-haitianos-em-rondonia.html", "URL")</f>
        <v/>
      </c>
      <c r="Q3163">
        <f>HYPERLINK("https://raw.githubusercontent.com/marcosmapl/dataset_imigrantes/main/materias_filtered/g1/haitianos/2013/06_jul/html/g1_4df764fe-22fa-11ed-b24f-6dbe51e79fca_2211.html", "HTML")</f>
        <v/>
      </c>
      <c r="R3163">
        <f>HYPERLINK("https://raw.githubusercontent.com/marcosmapl/dataset_imigrantes/main/materias_filtered/g1/haitianos/2013/06_jul/txt/g1_4df764fe-22fa-11ed-b24f-6dbe51e79fca_2211.txt", "TXT")</f>
        <v/>
      </c>
    </row>
    <row r="3164">
      <c r="A3164" s="1" t="n">
        <v>3162</v>
      </c>
      <c r="B3164" t="n">
        <v>2013</v>
      </c>
      <c r="C3164" s="2" t="n">
        <v>41455.76041666666</v>
      </c>
      <c r="D3164" t="inlineStr">
        <is>
          <t>G1</t>
        </is>
      </c>
      <c r="E3164" t="inlineStr">
        <is>
          <t>VENEZUELANOS</t>
        </is>
      </c>
      <c r="F3164" t="inlineStr"/>
      <c r="G3164" t="inlineStr">
        <is>
          <t>CE PRESSE</t>
        </is>
      </c>
      <c r="H3164" t="inlineStr">
        <is>
          <t>MADURO PEDE 'LEALDADE CHAVISTA' À FORÇA ARMADA VENEZUELANA</t>
        </is>
      </c>
      <c r="I3164" t="inlineStr"/>
      <c r="J3164" t="inlineStr"/>
      <c r="K3164" t="n">
        <v>0</v>
      </c>
      <c r="L3164" t="n">
        <v>1</v>
      </c>
      <c r="M3164" t="n">
        <v>0</v>
      </c>
      <c r="N3164" t="n">
        <v>0</v>
      </c>
      <c r="O3164" t="n">
        <v>4</v>
      </c>
      <c r="P3164">
        <f>HYPERLINK("http://g1.globo.com/mundo/noticia/2013/06/maduro-pede-lealdade-chavista-a-forca-armada-venezuelana.html", "URL")</f>
        <v/>
      </c>
      <c r="Q3164">
        <f>HYPERLINK("https://raw.githubusercontent.com/marcosmapl/dataset_imigrantes/main/materias_filtered/g1/venezuelanos/2013/05_jun/html/g1_2a770644-2311-11ed-b24f-6dbe51e79fca_2903.html", "HTML")</f>
        <v/>
      </c>
      <c r="R3164">
        <f>HYPERLINK("https://raw.githubusercontent.com/marcosmapl/dataset_imigrantes/main/materias_filtered/g1/venezuelanos/2013/05_jun/txt/g1_2a770644-2311-11ed-b24f-6dbe51e79fca_2903.txt", "TXT")</f>
        <v/>
      </c>
    </row>
    <row r="3165">
      <c r="A3165" s="1" t="n">
        <v>3163</v>
      </c>
      <c r="B3165" t="n">
        <v>2013</v>
      </c>
      <c r="C3165" s="2" t="n">
        <v>41447.38263888889</v>
      </c>
      <c r="D3165" t="inlineStr">
        <is>
          <t>G1</t>
        </is>
      </c>
      <c r="E3165" t="inlineStr">
        <is>
          <t>HAITIANOS</t>
        </is>
      </c>
      <c r="F3165" t="inlineStr"/>
      <c r="G3165" t="inlineStr">
        <is>
          <t>1 MT</t>
        </is>
      </c>
      <c r="H3165" t="inlineStr">
        <is>
          <t>MAIS DE 20 HAITIANOS SÃO RESGATADOS EM CONDIÇÕES PRECÁRIAS EM CUIABÁ</t>
        </is>
      </c>
      <c r="I3165" t="inlineStr"/>
      <c r="J3165" t="inlineStr">
        <is>
          <t>CUIABÁ</t>
        </is>
      </c>
      <c r="K3165" t="n">
        <v>1</v>
      </c>
      <c r="L3165" t="n">
        <v>2</v>
      </c>
      <c r="M3165" t="n">
        <v>0</v>
      </c>
      <c r="N3165" t="n">
        <v>0</v>
      </c>
      <c r="O3165" t="n">
        <v>11</v>
      </c>
      <c r="P3165">
        <f>HYPERLINK("http://g1.globo.com/mato-grosso/noticia/2013/06/mais-de-20-haitianos-sao-resgatados-de-alojamento-precario-em-cuiaba.html", "URL")</f>
        <v/>
      </c>
      <c r="Q3165">
        <f>HYPERLINK("https://raw.githubusercontent.com/marcosmapl/dataset_imigrantes/main/materias_filtered/g1/haitianos/2013/05_jun/html/g1_aa92b1ac-22f3-11ed-b24f-6dbe51e79fca_1852.html", "HTML")</f>
        <v/>
      </c>
      <c r="R3165">
        <f>HYPERLINK("https://raw.githubusercontent.com/marcosmapl/dataset_imigrantes/main/materias_filtered/g1/haitianos/2013/05_jun/txt/g1_aa92b1ac-22f3-11ed-b24f-6dbe51e79fca_1852.txt", "TXT")</f>
        <v/>
      </c>
    </row>
    <row r="3166">
      <c r="A3166" s="1" t="n">
        <v>3164</v>
      </c>
      <c r="B3166" t="n">
        <v>2013</v>
      </c>
      <c r="C3166" s="2" t="n">
        <v>41436.39930555555</v>
      </c>
      <c r="D3166" t="inlineStr">
        <is>
          <t>G1</t>
        </is>
      </c>
      <c r="E3166" t="inlineStr">
        <is>
          <t>HAITIANOS</t>
        </is>
      </c>
      <c r="F3166" t="inlineStr"/>
      <c r="G3166" t="inlineStr"/>
      <c r="H3166" t="inlineStr">
        <is>
          <t>ANTES DE TREINO NO ENGENHÃO, NO RIO, SELEÇÃO ITALIANA CURTE A PRAIA DA BARRA</t>
        </is>
      </c>
      <c r="I3166" t="inlineStr"/>
      <c r="J3166" t="inlineStr">
        <is>
          <t>BOTAFOGO, HAITI, ITÁLIA, JAPÃO, MÉXICO, MARACANÃ</t>
        </is>
      </c>
      <c r="K3166" t="n">
        <v>6</v>
      </c>
      <c r="L3166" t="n">
        <v>4</v>
      </c>
      <c r="M3166" t="n">
        <v>0</v>
      </c>
      <c r="N3166" t="n">
        <v>0</v>
      </c>
      <c r="O3166" t="n">
        <v>16</v>
      </c>
      <c r="P3166">
        <f>HYPERLINK("http://g1.globo.com/bom-dia-brasil/noticia/2013/06/antes-de-treino-no-engenhao-no-rio-selecao-italiana-curte-praia-da-barra.html", "URL")</f>
        <v/>
      </c>
      <c r="Q3166">
        <f>HYPERLINK("https://raw.githubusercontent.com/marcosmapl/dataset_imigrantes/main/materias_filtered/g1/haitianos/2013/05_jun/html/g1_fe8d58d6-2323-11ed-b24f-6dbe51e79fca_3841.html", "HTML")</f>
        <v/>
      </c>
      <c r="R3166">
        <f>HYPERLINK("https://raw.githubusercontent.com/marcosmapl/dataset_imigrantes/main/materias_filtered/g1/haitianos/2013/05_jun/txt/g1_fe8d58d6-2323-11ed-b24f-6dbe51e79fca_3841.txt", "TXT")</f>
        <v/>
      </c>
    </row>
    <row r="3167">
      <c r="A3167" s="1" t="n">
        <v>3165</v>
      </c>
      <c r="B3167" t="n">
        <v>2013</v>
      </c>
      <c r="C3167" s="2" t="n">
        <v>41434.5375</v>
      </c>
      <c r="D3167" t="inlineStr">
        <is>
          <t>G1</t>
        </is>
      </c>
      <c r="E3167" t="inlineStr">
        <is>
          <t>VENEZUELANOS</t>
        </is>
      </c>
      <c r="F3167" t="inlineStr"/>
      <c r="G3167" t="inlineStr">
        <is>
          <t>CIA EFE</t>
        </is>
      </c>
      <c r="H3167" t="inlineStr">
        <is>
          <t>ECONOMIA VENEZUELANA ATOLA E APRESENTA SINAIS DE RECESSÃO</t>
        </is>
      </c>
      <c r="I3167" t="inlineStr"/>
      <c r="J3167" t="inlineStr"/>
      <c r="K3167" t="n">
        <v>0</v>
      </c>
      <c r="L3167" t="n">
        <v>1</v>
      </c>
      <c r="M3167" t="n">
        <v>0</v>
      </c>
      <c r="N3167" t="n">
        <v>0</v>
      </c>
      <c r="O3167" t="n">
        <v>4</v>
      </c>
      <c r="P3167">
        <f>HYPERLINK("http://g1.globo.com/mundo/noticia/2013/06/economia-venezuelana-atola-e-apresenta-sinais-de-recessao.html", "URL")</f>
        <v/>
      </c>
      <c r="Q3167">
        <f>HYPERLINK("https://raw.githubusercontent.com/marcosmapl/dataset_imigrantes/main/materias_filtered/g1/venezuelanos/2013/05_jun/html/g1_38aef784-232b-11ed-b24f-6dbe51e79fca_4231.html", "HTML")</f>
        <v/>
      </c>
      <c r="R3167">
        <f>HYPERLINK("https://raw.githubusercontent.com/marcosmapl/dataset_imigrantes/main/materias_filtered/g1/venezuelanos/2013/05_jun/txt/g1_38aef784-232b-11ed-b24f-6dbe51e79fca_4231.txt", "TXT")</f>
        <v/>
      </c>
    </row>
    <row r="3168">
      <c r="A3168" s="1" t="n">
        <v>3166</v>
      </c>
      <c r="B3168" t="n">
        <v>2013</v>
      </c>
      <c r="C3168" s="2" t="n">
        <v>41429.510625</v>
      </c>
      <c r="D3168" t="inlineStr">
        <is>
          <t>A CRITICA</t>
        </is>
      </c>
      <c r="E3168" t="inlineStr">
        <is>
          <t>VENEZUELANOS</t>
        </is>
      </c>
      <c r="F3168" t="inlineStr">
        <is>
          <t>AMAZONIA</t>
        </is>
      </c>
      <c r="G3168" t="inlineStr">
        <is>
          <t>JONY CLAY BORGES</t>
        </is>
      </c>
      <c r="H3168" t="inlineStr">
        <is>
          <t>INSTRUMENTOS SUSTENTÁVEIS DÃO OS TONS DA AMAZÔNIA</t>
        </is>
      </c>
      <c r="I3168" t="inlineStr">
        <is>
          <t>ATELIÊ INAUGURA EXPOSIÇÃO DE INSTRUMENTOS PRODUZIDOS PELA OFICINA ESCOLA DE LUTHERIA DA AMAZÔNIA - OELA, NESTA QUINTA-FEIRA</t>
        </is>
      </c>
      <c r="J3168" t="inlineStr"/>
      <c r="K3168" t="n">
        <v>0</v>
      </c>
      <c r="L3168" t="n">
        <v>1</v>
      </c>
      <c r="M3168" t="n">
        <v>0</v>
      </c>
      <c r="N3168" t="n">
        <v>0</v>
      </c>
      <c r="O3168" t="n">
        <v>1</v>
      </c>
      <c r="P3168">
        <f>HYPERLINK("https://www.acritica.com/amazonia/instrumentos-sustentaveis-d-o-os-tons-da-amazonia-1.238220", "URL")</f>
        <v/>
      </c>
      <c r="Q3168">
        <f>HYPERLINK("https://raw.githubusercontent.com/marcosmapl/dataset_imigrantes/main/materias_filtered/a_critica/venezuelanos/2013/05_jun/html/1.238220_247.html", "HTML")</f>
        <v/>
      </c>
      <c r="R3168">
        <f>HYPERLINK("https://raw.githubusercontent.com/marcosmapl/dataset_imigrantes/main/materias_filtered/a_critica/venezuelanos/2013/05_jun/txt/1.238220_247.txt", "TXT")</f>
        <v/>
      </c>
    </row>
    <row r="3169">
      <c r="A3169" s="1" t="n">
        <v>3167</v>
      </c>
      <c r="B3169" t="n">
        <v>2013</v>
      </c>
      <c r="C3169" s="2" t="n">
        <v>41426.88125</v>
      </c>
      <c r="D3169" t="inlineStr">
        <is>
          <t>G1</t>
        </is>
      </c>
      <c r="E3169" t="inlineStr">
        <is>
          <t>VENEZUELANOS</t>
        </is>
      </c>
      <c r="F3169" t="inlineStr"/>
      <c r="G3169" t="inlineStr">
        <is>
          <t>CE PRESSE</t>
        </is>
      </c>
      <c r="H3169" t="inlineStr">
        <is>
          <t>VENEZUELANA CONVIASA RECEBE TRÊS AVIÕES DA EMBRAER</t>
        </is>
      </c>
      <c r="I3169" t="inlineStr"/>
      <c r="J3169" t="inlineStr"/>
      <c r="K3169" t="n">
        <v>0</v>
      </c>
      <c r="L3169" t="n">
        <v>1</v>
      </c>
      <c r="M3169" t="n">
        <v>0</v>
      </c>
      <c r="N3169" t="n">
        <v>0</v>
      </c>
      <c r="O3169" t="n">
        <v>4</v>
      </c>
      <c r="P3169">
        <f>HYPERLINK("http://g1.globo.com/economia/noticia/2013/06/venezuelana-conviasa-recebe-tres-avioes-da-embraer.html", "URL")</f>
        <v/>
      </c>
      <c r="Q3169">
        <f>HYPERLINK("https://raw.githubusercontent.com/marcosmapl/dataset_imigrantes/main/materias_filtered/g1/venezuelanos/2013/05_jun/html/g1_ffd9b9de-231c-11ed-b24f-6dbe51e79fca_3478.html", "HTML")</f>
        <v/>
      </c>
      <c r="R3169">
        <f>HYPERLINK("https://raw.githubusercontent.com/marcosmapl/dataset_imigrantes/main/materias_filtered/g1/venezuelanos/2013/05_jun/txt/g1_ffd9b9de-231c-11ed-b24f-6dbe51e79fca_3478.txt", "TXT")</f>
        <v/>
      </c>
    </row>
    <row r="3170">
      <c r="A3170" s="1" t="n">
        <v>3168</v>
      </c>
      <c r="B3170" t="n">
        <v>2013</v>
      </c>
      <c r="C3170" s="2" t="n">
        <v>41422.31666666667</v>
      </c>
      <c r="D3170" t="inlineStr">
        <is>
          <t>G1</t>
        </is>
      </c>
      <c r="E3170" t="inlineStr">
        <is>
          <t>VENEZUELANOS</t>
        </is>
      </c>
      <c r="F3170" t="inlineStr"/>
      <c r="G3170" t="inlineStr">
        <is>
          <t>RANCE PRESSE</t>
        </is>
      </c>
      <c r="H3170" t="inlineStr">
        <is>
          <t>APRESENTADOR PERDE PROGRAMA NA TV VENEZUELANA APÓS FALAR DE COMPLÔ</t>
        </is>
      </c>
      <c r="I3170" t="inlineStr"/>
      <c r="J3170" t="inlineStr">
        <is>
          <t>HUGO CHÁVEZ, NICOLÁS MADURO, VENEZUELA</t>
        </is>
      </c>
      <c r="K3170" t="n">
        <v>3</v>
      </c>
      <c r="L3170" t="n">
        <v>4</v>
      </c>
      <c r="M3170" t="n">
        <v>0</v>
      </c>
      <c r="N3170" t="n">
        <v>0</v>
      </c>
      <c r="O3170" t="n">
        <v>12</v>
      </c>
      <c r="P3170">
        <f>HYPERLINK("http://g1.globo.com/mundo/noticia/2013/05/apresentador-perde-programa-na-tv-venezuelana-apos-falar-de-complo.html", "URL")</f>
        <v/>
      </c>
      <c r="Q3170">
        <f>HYPERLINK("https://raw.githubusercontent.com/marcosmapl/dataset_imigrantes/main/materias_filtered/g1/venezuelanos/2013/04_mai/html/g1_4cb39914-2322-11ed-b24f-6dbe51e79fca_3745.html", "HTML")</f>
        <v/>
      </c>
      <c r="R3170">
        <f>HYPERLINK("https://raw.githubusercontent.com/marcosmapl/dataset_imigrantes/main/materias_filtered/g1/venezuelanos/2013/04_mai/txt/g1_4cb39914-2322-11ed-b24f-6dbe51e79fca_3745.txt", "TXT")</f>
        <v/>
      </c>
    </row>
    <row r="3171">
      <c r="A3171" s="1" t="n">
        <v>3169</v>
      </c>
      <c r="B3171" t="n">
        <v>2013</v>
      </c>
      <c r="C3171" s="2" t="n">
        <v>41422.26041666666</v>
      </c>
      <c r="D3171" t="inlineStr">
        <is>
          <t>G1</t>
        </is>
      </c>
      <c r="E3171" t="inlineStr">
        <is>
          <t>VENEZUELANOS</t>
        </is>
      </c>
      <c r="F3171" t="inlineStr"/>
      <c r="G3171" t="inlineStr">
        <is>
          <t>CE PRESSE</t>
        </is>
      </c>
      <c r="H3171" t="inlineStr">
        <is>
          <t>TV VENEZUELANA GLOBOVISIÓN CONFIRMA DECISÃO DE NÃO CONFRONTAR 'CHAVISMO'</t>
        </is>
      </c>
      <c r="I3171" t="inlineStr"/>
      <c r="J3171" t="inlineStr"/>
      <c r="K3171" t="n">
        <v>0</v>
      </c>
      <c r="L3171" t="n">
        <v>1</v>
      </c>
      <c r="M3171" t="n">
        <v>0</v>
      </c>
      <c r="N3171" t="n">
        <v>0</v>
      </c>
      <c r="O3171" t="n">
        <v>4</v>
      </c>
      <c r="P3171">
        <f>HYPERLINK("http://g1.globo.com/economia/noticia/2013/05/tv-venezuelana-globovision-confirma-decisao-de-nao-confrontar-chavismo-2.html", "URL")</f>
        <v/>
      </c>
      <c r="Q3171">
        <f>HYPERLINK("https://raw.githubusercontent.com/marcosmapl/dataset_imigrantes/main/materias_filtered/g1/venezuelanos/2013/04_mai/html/g1_2a9bbf80-2324-11ed-b24f-6dbe51e79fca_3853.html", "HTML")</f>
        <v/>
      </c>
      <c r="R3171">
        <f>HYPERLINK("https://raw.githubusercontent.com/marcosmapl/dataset_imigrantes/main/materias_filtered/g1/venezuelanos/2013/04_mai/txt/g1_2a9bbf80-2324-11ed-b24f-6dbe51e79fca_3853.txt", "TXT")</f>
        <v/>
      </c>
    </row>
    <row r="3172">
      <c r="A3172" s="1" t="n">
        <v>3170</v>
      </c>
      <c r="B3172" t="n">
        <v>2013</v>
      </c>
      <c r="C3172" s="2" t="n">
        <v>41422.00833333333</v>
      </c>
      <c r="D3172" t="inlineStr">
        <is>
          <t>G1</t>
        </is>
      </c>
      <c r="E3172" t="inlineStr">
        <is>
          <t>VENEZUELANOS</t>
        </is>
      </c>
      <c r="F3172" t="inlineStr"/>
      <c r="G3172" t="inlineStr">
        <is>
          <t>CE PRESSE</t>
        </is>
      </c>
      <c r="H3172" t="inlineStr">
        <is>
          <t>TV VENEZUELANA GLOBOVISIÓN CONFIRMA DECISÃO DE NÃO CONFRONTAR 'CHAVISMO'</t>
        </is>
      </c>
      <c r="I3172" t="inlineStr"/>
      <c r="J3172" t="inlineStr"/>
      <c r="K3172" t="n">
        <v>0</v>
      </c>
      <c r="L3172" t="n">
        <v>1</v>
      </c>
      <c r="M3172" t="n">
        <v>0</v>
      </c>
      <c r="N3172" t="n">
        <v>0</v>
      </c>
      <c r="O3172" t="n">
        <v>4</v>
      </c>
      <c r="P3172">
        <f>HYPERLINK("http://g1.globo.com/economia/noticia/2013/05/tv-venezuelana-globovision-confirma-decisao-de-nao-confrontar-chavismo-1.html", "URL")</f>
        <v/>
      </c>
      <c r="Q3172">
        <f>HYPERLINK("https://raw.githubusercontent.com/marcosmapl/dataset_imigrantes/main/materias_filtered/g1/venezuelanos/2013/04_mai/html/g1_682e1e4e-2318-11ed-b24f-6dbe51e79fca_3258.html", "HTML")</f>
        <v/>
      </c>
      <c r="R3172">
        <f>HYPERLINK("https://raw.githubusercontent.com/marcosmapl/dataset_imigrantes/main/materias_filtered/g1/venezuelanos/2013/04_mai/txt/g1_682e1e4e-2318-11ed-b24f-6dbe51e79fca_3258.txt", "TXT")</f>
        <v/>
      </c>
    </row>
    <row r="3173">
      <c r="A3173" s="1" t="n">
        <v>3171</v>
      </c>
      <c r="B3173" t="n">
        <v>2013</v>
      </c>
      <c r="C3173" s="2" t="n">
        <v>41419.70833333334</v>
      </c>
      <c r="D3173" t="inlineStr">
        <is>
          <t>G1</t>
        </is>
      </c>
      <c r="E3173" t="inlineStr">
        <is>
          <t>VENEZUELANOS</t>
        </is>
      </c>
      <c r="F3173" t="inlineStr"/>
      <c r="G3173" t="inlineStr">
        <is>
          <t>RANCE PRESSE</t>
        </is>
      </c>
      <c r="H3173" t="inlineStr">
        <is>
          <t>CORTE VENEZUELANA REJEITA PRIMEIRO RECURSO CONTRA CANDIDATURA DE MADURO</t>
        </is>
      </c>
      <c r="I3173" t="inlineStr"/>
      <c r="J3173" t="inlineStr">
        <is>
          <t>HENRIQUE CAPRILES, HUGO CHÁVEZ, NICOLÁS MADURO, VENEZUELA</t>
        </is>
      </c>
      <c r="K3173" t="n">
        <v>4</v>
      </c>
      <c r="L3173" t="n">
        <v>5</v>
      </c>
      <c r="M3173" t="n">
        <v>0</v>
      </c>
      <c r="N3173" t="n">
        <v>0</v>
      </c>
      <c r="O3173" t="n">
        <v>16</v>
      </c>
      <c r="P3173">
        <f>HYPERLINK("http://g1.globo.com/mundo/noticia/2013/05/corte-venezuelana-rejeita-primeiro-recurso-contra-candidatura-de-maduro.html", "URL")</f>
        <v/>
      </c>
      <c r="Q3173">
        <f>HYPERLINK("https://raw.githubusercontent.com/marcosmapl/dataset_imigrantes/main/materias_filtered/g1/venezuelanos/2013/04_mai/html/g1_3cb45260-231d-11ed-b24f-6dbe51e79fca_3491.html", "HTML")</f>
        <v/>
      </c>
      <c r="R3173">
        <f>HYPERLINK("https://raw.githubusercontent.com/marcosmapl/dataset_imigrantes/main/materias_filtered/g1/venezuelanos/2013/04_mai/txt/g1_3cb45260-231d-11ed-b24f-6dbe51e79fca_3491.txt", "TXT")</f>
        <v/>
      </c>
    </row>
    <row r="3174">
      <c r="A3174" s="1" t="n">
        <v>3172</v>
      </c>
      <c r="B3174" t="n">
        <v>2013</v>
      </c>
      <c r="C3174" s="2" t="n">
        <v>41417.53125</v>
      </c>
      <c r="D3174" t="inlineStr">
        <is>
          <t>G1</t>
        </is>
      </c>
      <c r="E3174" t="inlineStr">
        <is>
          <t>VENEZUELANOS</t>
        </is>
      </c>
      <c r="F3174" t="inlineStr"/>
      <c r="G3174" t="inlineStr">
        <is>
          <t>CE PRESSE</t>
        </is>
      </c>
      <c r="H3174" t="inlineStr">
        <is>
          <t>HELICÓPTERO DA POLÍCIA VENEZUELANA CAI DURANTE PERSEGUIÇÃO</t>
        </is>
      </c>
      <c r="I3174" t="inlineStr"/>
      <c r="J3174" t="inlineStr"/>
      <c r="K3174" t="n">
        <v>0</v>
      </c>
      <c r="L3174" t="n">
        <v>1</v>
      </c>
      <c r="M3174" t="n">
        <v>0</v>
      </c>
      <c r="N3174" t="n">
        <v>0</v>
      </c>
      <c r="O3174" t="n">
        <v>4</v>
      </c>
      <c r="P3174">
        <f>HYPERLINK("http://g1.globo.com/mundo/noticia/2013/05/helicoptero-da-policia-venezuelana-cai-durante-perseguicao.html", "URL")</f>
        <v/>
      </c>
      <c r="Q3174">
        <f>HYPERLINK("https://raw.githubusercontent.com/marcosmapl/dataset_imigrantes/main/materias_filtered/g1/venezuelanos/2013/04_mai/html/g1_7671beee-230d-11ed-b24f-6dbe51e79fca_2689.html", "HTML")</f>
        <v/>
      </c>
      <c r="R3174">
        <f>HYPERLINK("https://raw.githubusercontent.com/marcosmapl/dataset_imigrantes/main/materias_filtered/g1/venezuelanos/2013/04_mai/txt/g1_7671beee-230d-11ed-b24f-6dbe51e79fca_2689.txt", "TXT")</f>
        <v/>
      </c>
    </row>
    <row r="3175">
      <c r="A3175" s="1" t="n">
        <v>3173</v>
      </c>
      <c r="B3175" t="n">
        <v>2013</v>
      </c>
      <c r="C3175" s="2" t="n">
        <v>41416.81458333333</v>
      </c>
      <c r="D3175" t="inlineStr">
        <is>
          <t>G1</t>
        </is>
      </c>
      <c r="E3175" t="inlineStr">
        <is>
          <t>VENEZUELANOS</t>
        </is>
      </c>
      <c r="F3175" t="inlineStr"/>
      <c r="G3175" t="inlineStr">
        <is>
          <t>CIA EFE</t>
        </is>
      </c>
      <c r="H3175" t="inlineStr">
        <is>
          <t>PETROBRAS MANTÉM INTERESSE EM ASSOCIAÇÃO COM VENEZUELANA PDVSA EM REFINARIA</t>
        </is>
      </c>
      <c r="I3175" t="inlineStr"/>
      <c r="J3175" t="inlineStr"/>
      <c r="K3175" t="n">
        <v>0</v>
      </c>
      <c r="L3175" t="n">
        <v>1</v>
      </c>
      <c r="M3175" t="n">
        <v>0</v>
      </c>
      <c r="N3175" t="n">
        <v>0</v>
      </c>
      <c r="O3175" t="n">
        <v>4</v>
      </c>
      <c r="P3175">
        <f>HYPERLINK("http://g1.globo.com/mundo/noticia/2013/05/petrobras-mantem-interesse-em-associacao-com-venezuelana-pdvsa-em-refinaria.html", "URL")</f>
        <v/>
      </c>
      <c r="Q3175">
        <f>HYPERLINK("https://raw.githubusercontent.com/marcosmapl/dataset_imigrantes/main/materias_filtered/g1/venezuelanos/2013/04_mai/html/g1_f456497e-231c-11ed-b24f-6dbe51e79fca_3476.html", "HTML")</f>
        <v/>
      </c>
      <c r="R3175">
        <f>HYPERLINK("https://raw.githubusercontent.com/marcosmapl/dataset_imigrantes/main/materias_filtered/g1/venezuelanos/2013/04_mai/txt/g1_f456497e-231c-11ed-b24f-6dbe51e79fca_3476.txt", "TXT")</f>
        <v/>
      </c>
    </row>
    <row r="3176">
      <c r="A3176" s="1" t="n">
        <v>3174</v>
      </c>
      <c r="B3176" t="n">
        <v>2013</v>
      </c>
      <c r="C3176" s="2" t="n">
        <v>41415.85833333333</v>
      </c>
      <c r="D3176" t="inlineStr">
        <is>
          <t>G1</t>
        </is>
      </c>
      <c r="E3176" t="inlineStr">
        <is>
          <t>VENEZUELANOS</t>
        </is>
      </c>
      <c r="F3176" t="inlineStr"/>
      <c r="G3176" t="inlineStr">
        <is>
          <t>ERS</t>
        </is>
      </c>
      <c r="H3176" t="inlineStr">
        <is>
          <t>ASSEMBLEIA VENEZUELANA REJEITA INVESTIGAR DENÚNCIAS DE CORRUPÇÃO</t>
        </is>
      </c>
      <c r="I3176" t="inlineStr"/>
      <c r="J3176" t="inlineStr"/>
      <c r="K3176" t="n">
        <v>0</v>
      </c>
      <c r="L3176" t="n">
        <v>1</v>
      </c>
      <c r="M3176" t="n">
        <v>0</v>
      </c>
      <c r="N3176" t="n">
        <v>0</v>
      </c>
      <c r="O3176" t="n">
        <v>4</v>
      </c>
      <c r="P3176">
        <f>HYPERLINK("http://g1.globo.com/mundo/noticia/2013/05/assembleia-venezuelana-rejeita-investigar-denuncias-de-corrupcao.html", "URL")</f>
        <v/>
      </c>
      <c r="Q3176">
        <f>HYPERLINK("https://raw.githubusercontent.com/marcosmapl/dataset_imigrantes/main/materias_filtered/g1/venezuelanos/2013/04_mai/html/g1_ed83447a-2322-11ed-b24f-6dbe51e79fca_3779.html", "HTML")</f>
        <v/>
      </c>
      <c r="R3176">
        <f>HYPERLINK("https://raw.githubusercontent.com/marcosmapl/dataset_imigrantes/main/materias_filtered/g1/venezuelanos/2013/04_mai/txt/g1_ed83447a-2322-11ed-b24f-6dbe51e79fca_3779.txt", "TXT")</f>
        <v/>
      </c>
    </row>
    <row r="3177">
      <c r="A3177" s="1" t="n">
        <v>3175</v>
      </c>
      <c r="B3177" t="n">
        <v>2013</v>
      </c>
      <c r="C3177" s="2" t="n">
        <v>41409.98935185185</v>
      </c>
      <c r="D3177" t="inlineStr">
        <is>
          <t>A CRITICA</t>
        </is>
      </c>
      <c r="E3177" t="inlineStr">
        <is>
          <t>HAITIANOS</t>
        </is>
      </c>
      <c r="F3177" t="inlineStr"/>
      <c r="G3177" t="inlineStr">
        <is>
          <t>MARCELO BRANDÃO / AGÊNCIA BRASIL</t>
        </is>
      </c>
      <c r="H3177" t="inlineStr">
        <is>
          <t>BRASIL FARÁ CAMPANHA PARA MOSTRAR AOS HAITIANOS OS RISCOS DA IMIGRAÇÃO ILEGAL</t>
        </is>
      </c>
      <c r="I3177" t="inlineStr">
        <is>
          <t>OUTROS PAÍSES TAMBÉM CONCORDARAM EM TROCAR INFORMAÇÕES SOBRE AS ROTAS ALTERNATIVAS UTILIZADAS POR REDES CRIMINOSAS DE IMIGRAÇÃO</t>
        </is>
      </c>
      <c r="J3177" t="inlineStr"/>
      <c r="K3177" t="n">
        <v>0</v>
      </c>
      <c r="L3177" t="n">
        <v>1</v>
      </c>
      <c r="M3177" t="n">
        <v>0</v>
      </c>
      <c r="N3177" t="n">
        <v>0</v>
      </c>
      <c r="O3177" t="n">
        <v>0</v>
      </c>
      <c r="P3177">
        <f>HYPERLINK("https://www.acritica.com/brasil-fara-campanha-para-mostrar-aos-haitianos-os-riscos-da-imigrac-o-ilegal-1.137036", "URL")</f>
        <v/>
      </c>
      <c r="Q3177">
        <f>HYPERLINK("https://raw.githubusercontent.com/marcosmapl/dataset_imigrantes/main/materias_filtered/a_critica/haitianos/2013/04_mai/html/1.137036_552.html", "HTML")</f>
        <v/>
      </c>
      <c r="R3177">
        <f>HYPERLINK("https://raw.githubusercontent.com/marcosmapl/dataset_imigrantes/main/materias_filtered/a_critica/haitianos/2013/04_mai/txt/1.137036_552.txt", "TXT")</f>
        <v/>
      </c>
    </row>
    <row r="3178">
      <c r="A3178" s="1" t="n">
        <v>3176</v>
      </c>
      <c r="B3178" t="n">
        <v>2013</v>
      </c>
      <c r="C3178" s="2" t="n">
        <v>41409.60174768518</v>
      </c>
      <c r="D3178" t="inlineStr">
        <is>
          <t>A CRITICA</t>
        </is>
      </c>
      <c r="E3178" t="inlineStr">
        <is>
          <t>HAITIANOS</t>
        </is>
      </c>
      <c r="F3178" t="inlineStr"/>
      <c r="G3178" t="inlineStr">
        <is>
          <t>ACRÍTICA.COM</t>
        </is>
      </c>
      <c r="H3178" t="inlineStr">
        <is>
          <t>PRIMEIRA CELEBRAÇÃO DE DOM SÉRGIO ACONTECE NO PRÓXIMO DOMINGO EM MANAUS</t>
        </is>
      </c>
      <c r="I3178" t="inlineStr">
        <is>
          <t>IGREJA CATÓLICA ESPERA 100 MIL FIÉIS NA FESTA DE PENTECOSTES. A ORGANIZAÇÃO SOLICITA AINDA CONTRIBUIÇÃO DE 1 KG DE ALIMENTO NÃO PERECÍVEL PARA DOAÇÕES</t>
        </is>
      </c>
      <c r="J3178" t="inlineStr"/>
      <c r="K3178" t="n">
        <v>0</v>
      </c>
      <c r="L3178" t="n">
        <v>1</v>
      </c>
      <c r="M3178" t="n">
        <v>0</v>
      </c>
      <c r="N3178" t="n">
        <v>0</v>
      </c>
      <c r="O3178" t="n">
        <v>0</v>
      </c>
      <c r="P3178">
        <f>HYPERLINK("https://www.acritica.com/primeira-celebrac-o-de-dom-sergio-acontece-no-proximo-domingo-em-manaus-1.136896", "URL")</f>
        <v/>
      </c>
      <c r="Q3178">
        <f>HYPERLINK("https://raw.githubusercontent.com/marcosmapl/dataset_imigrantes/main/materias_filtered/a_critica/haitianos/2013/04_mai/html/1.136896_329.html", "HTML")</f>
        <v/>
      </c>
      <c r="R3178">
        <f>HYPERLINK("https://raw.githubusercontent.com/marcosmapl/dataset_imigrantes/main/materias_filtered/a_critica/haitianos/2013/04_mai/txt/1.136896_329.txt", "TXT")</f>
        <v/>
      </c>
    </row>
    <row r="3179">
      <c r="A3179" s="1" t="n">
        <v>3177</v>
      </c>
      <c r="B3179" t="n">
        <v>2013</v>
      </c>
      <c r="C3179" s="2" t="n">
        <v>41408.64857638889</v>
      </c>
      <c r="D3179" t="inlineStr">
        <is>
          <t>A CRITICA</t>
        </is>
      </c>
      <c r="E3179" t="inlineStr">
        <is>
          <t>VENEZUELANOS</t>
        </is>
      </c>
      <c r="F3179" t="inlineStr"/>
      <c r="G3179" t="inlineStr">
        <is>
          <t>LEANDRA FELIPE/ CORRESPONDENTE DA AGÊNCIA BRASIL</t>
        </is>
      </c>
      <c r="H3179" t="inlineStr">
        <is>
          <t>JUSTIÇA ELEITORAL VENEZUELANA TRANSMITE AUDITORIA AO VIVO PELA INTERNET</t>
        </is>
      </c>
      <c r="I3179" t="inlineStr">
        <is>
          <t>TÉCNICOS DO CNE E DAS ORGANIZAÇÕES POLÍTICAS JÁ AUDITARAM 355 MESAS DE VOTAÇÃO, COM UM TOTAL DE 147.216 COMPROVANTES VERIFICADOS. A SOLICITAÇÃO PARA VERIFICAR TODAS AS URNAS FOI FEITA PELA OPOSIÇÃO, LIDERADA PELO CANDIDATO DERROTADO NAS ELEIÇÕES, O GOVERNADOR DO ESTADO DE MIRANDA, HENRIQUE CAPRILES</t>
        </is>
      </c>
      <c r="J3179" t="inlineStr"/>
      <c r="K3179" t="n">
        <v>0</v>
      </c>
      <c r="L3179" t="n">
        <v>1</v>
      </c>
      <c r="M3179" t="n">
        <v>0</v>
      </c>
      <c r="N3179" t="n">
        <v>0</v>
      </c>
      <c r="O3179" t="n">
        <v>2</v>
      </c>
      <c r="P3179">
        <f>HYPERLINK("https://www.acritica.com/justica-eleitoral-venezuelana-transmite-auditoria-ao-vivo-pela-internet-1.114318", "URL")</f>
        <v/>
      </c>
      <c r="Q3179">
        <f>HYPERLINK("https://raw.githubusercontent.com/marcosmapl/dataset_imigrantes/main/materias_filtered/a_critica/venezuelanos/2013/04_mai/html/1.114318_272.html", "HTML")</f>
        <v/>
      </c>
      <c r="R3179">
        <f>HYPERLINK("https://raw.githubusercontent.com/marcosmapl/dataset_imigrantes/main/materias_filtered/a_critica/venezuelanos/2013/04_mai/txt/1.114318_272.txt", "TXT")</f>
        <v/>
      </c>
    </row>
    <row r="3180">
      <c r="A3180" s="1" t="n">
        <v>3178</v>
      </c>
      <c r="B3180" t="n">
        <v>2013</v>
      </c>
      <c r="C3180" s="2" t="n">
        <v>41407.7625</v>
      </c>
      <c r="D3180" t="inlineStr">
        <is>
          <t>G1</t>
        </is>
      </c>
      <c r="E3180" t="inlineStr">
        <is>
          <t>VENEZUELANOS</t>
        </is>
      </c>
      <c r="F3180" t="inlineStr"/>
      <c r="G3180" t="inlineStr">
        <is>
          <t>CE PRESSE</t>
        </is>
      </c>
      <c r="H3180" t="inlineStr">
        <is>
          <t>APÓS VENDA, PERFIL DA TV VENEZUELANA GLOBOVISIÓN SERÁ DE CENTRO</t>
        </is>
      </c>
      <c r="I3180" t="inlineStr"/>
      <c r="J3180" t="inlineStr"/>
      <c r="K3180" t="n">
        <v>0</v>
      </c>
      <c r="L3180" t="n">
        <v>1</v>
      </c>
      <c r="M3180" t="n">
        <v>0</v>
      </c>
      <c r="N3180" t="n">
        <v>0</v>
      </c>
      <c r="O3180" t="n">
        <v>4</v>
      </c>
      <c r="P3180">
        <f>HYPERLINK("http://g1.globo.com/economia/noticia/2013/05/apos-venda-perfil-da-tv-venezuelana-globovision-sera-de-centro.html", "URL")</f>
        <v/>
      </c>
      <c r="Q3180">
        <f>HYPERLINK("https://raw.githubusercontent.com/marcosmapl/dataset_imigrantes/main/materias_filtered/g1/venezuelanos/2013/04_mai/html/g1_2390ded4-2327-11ed-b24f-6dbe51e79fca_4020.html", "HTML")</f>
        <v/>
      </c>
      <c r="R3180">
        <f>HYPERLINK("https://raw.githubusercontent.com/marcosmapl/dataset_imigrantes/main/materias_filtered/g1/venezuelanos/2013/04_mai/txt/g1_2390ded4-2327-11ed-b24f-6dbe51e79fca_4020.txt", "TXT")</f>
        <v/>
      </c>
    </row>
    <row r="3181">
      <c r="A3181" s="1" t="n">
        <v>3179</v>
      </c>
      <c r="B3181" t="n">
        <v>2013</v>
      </c>
      <c r="C3181" s="2" t="n">
        <v>41403.53400462963</v>
      </c>
      <c r="D3181" t="inlineStr">
        <is>
          <t>A CRITICA</t>
        </is>
      </c>
      <c r="E3181" t="inlineStr">
        <is>
          <t>VENEZUELANOS</t>
        </is>
      </c>
      <c r="F3181" t="inlineStr"/>
      <c r="G3181" t="inlineStr">
        <is>
          <t>RENATA GIRALDI/ AGÊNCIA BRASIL</t>
        </is>
      </c>
      <c r="H3181" t="inlineStr">
        <is>
          <t>MADURO PASSA O DIA EM BRASÍLIA E TEM REUNIÕES COM DILMA E LULA</t>
        </is>
      </c>
      <c r="I3181" t="inlineStr">
        <is>
          <t>NICOLÁS MADURO DEVE SE REUNIR COM A PRESIDENTA DILMA ROUSSEFF APENAS NA PARTE DA TARDE, NO PALÁCIO DO PLANALTO. NÃO ESTÃO PREVISTAS ASSINATURAS DE ATOS NEM ANÚNCIOS DE PARCERIAS</t>
        </is>
      </c>
      <c r="J3181" t="inlineStr"/>
      <c r="K3181" t="n">
        <v>0</v>
      </c>
      <c r="L3181" t="n">
        <v>1</v>
      </c>
      <c r="M3181" t="n">
        <v>0</v>
      </c>
      <c r="N3181" t="n">
        <v>0</v>
      </c>
      <c r="O3181" t="n">
        <v>1</v>
      </c>
      <c r="P3181">
        <f>HYPERLINK("https://www.acritica.com/maduro-passa-o-dia-em-brasilia-e-tem-reuni-es-com-dilma-e-lula-1.212479", "URL")</f>
        <v/>
      </c>
      <c r="Q3181">
        <f>HYPERLINK("https://raw.githubusercontent.com/marcosmapl/dataset_imigrantes/main/materias_filtered/a_critica/venezuelanos/2013/04_mai/html/1.212479_677.html", "HTML")</f>
        <v/>
      </c>
      <c r="R3181">
        <f>HYPERLINK("https://raw.githubusercontent.com/marcosmapl/dataset_imigrantes/main/materias_filtered/a_critica/venezuelanos/2013/04_mai/txt/1.212479_677.txt", "TXT")</f>
        <v/>
      </c>
    </row>
    <row r="3182">
      <c r="A3182" s="1" t="n">
        <v>3180</v>
      </c>
      <c r="B3182" t="n">
        <v>2013</v>
      </c>
      <c r="C3182" s="2" t="n">
        <v>41402.95208333333</v>
      </c>
      <c r="D3182" t="inlineStr">
        <is>
          <t>G1</t>
        </is>
      </c>
      <c r="E3182" t="inlineStr">
        <is>
          <t>VENEZUELANOS</t>
        </is>
      </c>
      <c r="F3182" t="inlineStr"/>
      <c r="G3182" t="inlineStr">
        <is>
          <t>CE PRESSE</t>
        </is>
      </c>
      <c r="H3182" t="inlineStr">
        <is>
          <t>MADURO: DIREITA VENEZUELANA TENTA 'DESTRUIR' UNIDADE REGIONAL</t>
        </is>
      </c>
      <c r="I3182" t="inlineStr"/>
      <c r="J3182" t="inlineStr"/>
      <c r="K3182" t="n">
        <v>0</v>
      </c>
      <c r="L3182" t="n">
        <v>1</v>
      </c>
      <c r="M3182" t="n">
        <v>0</v>
      </c>
      <c r="N3182" t="n">
        <v>0</v>
      </c>
      <c r="O3182" t="n">
        <v>4</v>
      </c>
      <c r="P3182">
        <f>HYPERLINK("http://g1.globo.com/economia/noticia/2013/05/maduro-direita-venezuelana-tenta-destruir-unidade-regional.html", "URL")</f>
        <v/>
      </c>
      <c r="Q3182">
        <f>HYPERLINK("https://raw.githubusercontent.com/marcosmapl/dataset_imigrantes/main/materias_filtered/g1/venezuelanos/2013/04_mai/html/g1_3d327e56-2327-11ed-b24f-6dbe51e79fca_4024.html", "HTML")</f>
        <v/>
      </c>
      <c r="R3182">
        <f>HYPERLINK("https://raw.githubusercontent.com/marcosmapl/dataset_imigrantes/main/materias_filtered/g1/venezuelanos/2013/04_mai/txt/g1_3d327e56-2327-11ed-b24f-6dbe51e79fca_4024.txt", "TXT")</f>
        <v/>
      </c>
    </row>
    <row r="3183">
      <c r="A3183" s="1" t="n">
        <v>3181</v>
      </c>
      <c r="B3183" t="n">
        <v>2013</v>
      </c>
      <c r="C3183" s="2" t="n">
        <v>41402.55625</v>
      </c>
      <c r="D3183" t="inlineStr">
        <is>
          <t>G1</t>
        </is>
      </c>
      <c r="E3183" t="inlineStr">
        <is>
          <t>HAITIANOS</t>
        </is>
      </c>
      <c r="F3183" t="inlineStr"/>
      <c r="G3183" t="inlineStr">
        <is>
          <t>CE PRESSE</t>
        </is>
      </c>
      <c r="H3183" t="inlineStr">
        <is>
          <t>ARISTIDE DEPÕE POR ASSASSINATO DE JORNALISTA HAITIANO EM 2000</t>
        </is>
      </c>
      <c r="I3183" t="inlineStr"/>
      <c r="J3183" t="inlineStr"/>
      <c r="K3183" t="n">
        <v>0</v>
      </c>
      <c r="L3183" t="n">
        <v>1</v>
      </c>
      <c r="M3183" t="n">
        <v>0</v>
      </c>
      <c r="N3183" t="n">
        <v>0</v>
      </c>
      <c r="O3183" t="n">
        <v>4</v>
      </c>
      <c r="P3183">
        <f>HYPERLINK("http://g1.globo.com/mundo/noticia/2013/05/aristide-depoe-por-assassinato-de-jornalista-haitiano-em-2000.html", "URL")</f>
        <v/>
      </c>
      <c r="Q3183">
        <f>HYPERLINK("https://raw.githubusercontent.com/marcosmapl/dataset_imigrantes/main/materias_filtered/g1/haitianos/2013/04_mai/html/g1_0625d8be-231c-11ed-b24f-6dbe51e79fca_3424.html", "HTML")</f>
        <v/>
      </c>
      <c r="R3183">
        <f>HYPERLINK("https://raw.githubusercontent.com/marcosmapl/dataset_imigrantes/main/materias_filtered/g1/haitianos/2013/04_mai/txt/g1_0625d8be-231c-11ed-b24f-6dbe51e79fca_3424.txt", "TXT")</f>
        <v/>
      </c>
    </row>
    <row r="3184">
      <c r="A3184" s="1" t="n">
        <v>3182</v>
      </c>
      <c r="B3184" t="n">
        <v>2013</v>
      </c>
      <c r="C3184" s="2" t="n">
        <v>41402.50833333333</v>
      </c>
      <c r="D3184" t="inlineStr">
        <is>
          <t>G1</t>
        </is>
      </c>
      <c r="E3184" t="inlineStr">
        <is>
          <t>HAITIANOS</t>
        </is>
      </c>
      <c r="F3184" t="inlineStr"/>
      <c r="G3184" t="inlineStr">
        <is>
          <t>EUTERS</t>
        </is>
      </c>
      <c r="H3184" t="inlineStr">
        <is>
          <t>EX-PRESIDENTE HAITIANO VAI A TRIBUNAL PARA TESTEMUNHAR SOBRE ASSASSINATO</t>
        </is>
      </c>
      <c r="I3184" t="inlineStr"/>
      <c r="J3184" t="inlineStr">
        <is>
          <t>ÁFRICA DO SUL, HAITI</t>
        </is>
      </c>
      <c r="K3184" t="n">
        <v>2</v>
      </c>
      <c r="L3184" t="n">
        <v>5</v>
      </c>
      <c r="M3184" t="n">
        <v>0</v>
      </c>
      <c r="N3184" t="n">
        <v>0</v>
      </c>
      <c r="O3184" t="n">
        <v>10</v>
      </c>
      <c r="P3184">
        <f>HYPERLINK("http://g1.globo.com/mundo/noticia/2013/05/ex-presidente-haitiano-aparece-em-tribunal-para-testemunhar-em-caso-de-assassinato.html", "URL")</f>
        <v/>
      </c>
      <c r="Q3184">
        <f>HYPERLINK("https://raw.githubusercontent.com/marcosmapl/dataset_imigrantes/main/materias_filtered/g1/haitianos/2013/04_mai/html/g1_3b46706c-2308-11ed-b24f-6dbe51e79fca_2374.html", "HTML")</f>
        <v/>
      </c>
      <c r="R3184">
        <f>HYPERLINK("https://raw.githubusercontent.com/marcosmapl/dataset_imigrantes/main/materias_filtered/g1/haitianos/2013/04_mai/txt/g1_3b46706c-2308-11ed-b24f-6dbe51e79fca_2374.txt", "TXT")</f>
        <v/>
      </c>
    </row>
    <row r="3185">
      <c r="A3185" s="1" t="n">
        <v>3183</v>
      </c>
      <c r="B3185" t="n">
        <v>2013</v>
      </c>
      <c r="C3185" s="2" t="n">
        <v>41402.49739583334</v>
      </c>
      <c r="D3185" t="inlineStr">
        <is>
          <t>A CRITICA</t>
        </is>
      </c>
      <c r="E3185" t="inlineStr">
        <is>
          <t>VENEZUELANOS</t>
        </is>
      </c>
      <c r="F3185" t="inlineStr"/>
      <c r="G3185" t="inlineStr">
        <is>
          <t>RENATA GIRALDI/AGÊNCIA BRASIL</t>
        </is>
      </c>
      <c r="H3185" t="inlineStr">
        <is>
          <t>MADURO DESEMBARCA NESTA QUINTA-FEIRA (9) NO BRASIL</t>
        </is>
      </c>
      <c r="I3185" t="inlineStr">
        <is>
          <t>NESTA QUARTA (8), O PRESIDENTE DA VENEZUELA, NICOLÁS MADURO CHEGA A BUENOS AIRES (ARGENTINA) SE REÚNE COM A PRESIDENTA CRISTINA KIRCHNER</t>
        </is>
      </c>
      <c r="J3185" t="inlineStr"/>
      <c r="K3185" t="n">
        <v>0</v>
      </c>
      <c r="L3185" t="n">
        <v>1</v>
      </c>
      <c r="M3185" t="n">
        <v>0</v>
      </c>
      <c r="N3185" t="n">
        <v>0</v>
      </c>
      <c r="O3185" t="n">
        <v>0</v>
      </c>
      <c r="P3185">
        <f>HYPERLINK("https://www.acritica.com/maduro-desembarca-nesta-quinta-feira-9-no-brasil-1.136059", "URL")</f>
        <v/>
      </c>
      <c r="Q3185">
        <f>HYPERLINK("https://raw.githubusercontent.com/marcosmapl/dataset_imigrantes/main/materias_filtered/a_critica/venezuelanos/2013/04_mai/html/1.136059_225.html", "HTML")</f>
        <v/>
      </c>
      <c r="R3185">
        <f>HYPERLINK("https://raw.githubusercontent.com/marcosmapl/dataset_imigrantes/main/materias_filtered/a_critica/venezuelanos/2013/04_mai/txt/1.136059_225.txt", "TXT")</f>
        <v/>
      </c>
    </row>
    <row r="3186">
      <c r="A3186" s="1" t="n">
        <v>3184</v>
      </c>
      <c r="B3186" t="n">
        <v>2013</v>
      </c>
      <c r="C3186" s="2" t="n">
        <v>41401.55416666667</v>
      </c>
      <c r="D3186" t="inlineStr">
        <is>
          <t>G1</t>
        </is>
      </c>
      <c r="E3186" t="inlineStr">
        <is>
          <t>VENEZUELANOS</t>
        </is>
      </c>
      <c r="F3186" t="inlineStr"/>
      <c r="G3186" t="inlineStr">
        <is>
          <t>RANCE PRESSE</t>
        </is>
      </c>
      <c r="H3186" t="inlineStr">
        <is>
          <t>OPOSIÇÃO VENEZUELANA DENUNCIA GOVERNO AO MERCOSUL</t>
        </is>
      </c>
      <c r="I3186" t="inlineStr"/>
      <c r="J3186" t="inlineStr">
        <is>
          <t>MERCOSUL, NICOLÁS MADURO, VENEZUELA</t>
        </is>
      </c>
      <c r="K3186" t="n">
        <v>3</v>
      </c>
      <c r="L3186" t="n">
        <v>6</v>
      </c>
      <c r="M3186" t="n">
        <v>0</v>
      </c>
      <c r="N3186" t="n">
        <v>0</v>
      </c>
      <c r="O3186" t="n">
        <v>12</v>
      </c>
      <c r="P3186">
        <f>HYPERLINK("http://g1.globo.com/mundo/noticia/2013/05/oposicao-venezuelana-denuncia-governo-na-comissao-de-direitos-humanos-do-mercosul.html", "URL")</f>
        <v/>
      </c>
      <c r="Q3186">
        <f>HYPERLINK("https://raw.githubusercontent.com/marcosmapl/dataset_imigrantes/main/materias_filtered/g1/venezuelanos/2013/04_mai/html/g1_48e76d3c-230f-11ed-b24f-6dbe51e79fca_2788.html", "HTML")</f>
        <v/>
      </c>
      <c r="R3186">
        <f>HYPERLINK("https://raw.githubusercontent.com/marcosmapl/dataset_imigrantes/main/materias_filtered/g1/venezuelanos/2013/04_mai/txt/g1_48e76d3c-230f-11ed-b24f-6dbe51e79fca_2788.txt", "TXT")</f>
        <v/>
      </c>
    </row>
    <row r="3187">
      <c r="A3187" s="1" t="n">
        <v>3185</v>
      </c>
      <c r="B3187" t="n">
        <v>2013</v>
      </c>
      <c r="C3187" s="2" t="n">
        <v>41400.42208333333</v>
      </c>
      <c r="D3187" t="inlineStr">
        <is>
          <t>A CRITICA</t>
        </is>
      </c>
      <c r="E3187" t="inlineStr">
        <is>
          <t>HAITIANOS</t>
        </is>
      </c>
      <c r="F3187" t="inlineStr">
        <is>
          <t>MANAUS</t>
        </is>
      </c>
      <c r="G3187" t="inlineStr">
        <is>
          <t>NAFÉRSON CRUZ</t>
        </is>
      </c>
      <c r="H3187" t="inlineStr">
        <is>
          <t>POLÍCIA INVESTIGA MILÍCIAS NO CENTRO DE MANAUS</t>
        </is>
      </c>
      <c r="I3187" t="inlineStr">
        <is>
          <t>ATUAÇÃO DE GRUPOS ARMADOS QUE COBRAM ENTRE R$3 E R$5 AO DIA PODE SER PARALISADA POR CONTA DE TRANSFERÊNCIA DE DELEGADO</t>
        </is>
      </c>
      <c r="J3187" t="inlineStr"/>
      <c r="K3187" t="n">
        <v>0</v>
      </c>
      <c r="L3187" t="n">
        <v>1</v>
      </c>
      <c r="M3187" t="n">
        <v>0</v>
      </c>
      <c r="N3187" t="n">
        <v>0</v>
      </c>
      <c r="O3187" t="n">
        <v>2</v>
      </c>
      <c r="P3187">
        <f>HYPERLINK("https://www.acritica.com/manaus/policia-investiga-milicias-no-centro-de-manaus-1.120722", "URL")</f>
        <v/>
      </c>
      <c r="Q3187">
        <f>HYPERLINK("https://raw.githubusercontent.com/marcosmapl/dataset_imigrantes/main/materias_filtered/a_critica/haitianos/2013/04_mai/html/1.120722_582.html", "HTML")</f>
        <v/>
      </c>
      <c r="R3187">
        <f>HYPERLINK("https://raw.githubusercontent.com/marcosmapl/dataset_imigrantes/main/materias_filtered/a_critica/haitianos/2013/04_mai/txt/1.120722_582.txt", "TXT")</f>
        <v/>
      </c>
    </row>
    <row r="3188">
      <c r="A3188" s="1" t="n">
        <v>3186</v>
      </c>
      <c r="B3188" t="n">
        <v>2013</v>
      </c>
      <c r="C3188" s="2" t="n">
        <v>41397.46564814815</v>
      </c>
      <c r="D3188" t="inlineStr">
        <is>
          <t>A CRITICA</t>
        </is>
      </c>
      <c r="E3188" t="inlineStr">
        <is>
          <t>VENEZUELANOS</t>
        </is>
      </c>
      <c r="F3188" t="inlineStr"/>
      <c r="G3188" t="inlineStr">
        <is>
          <t>LEANDRA FELIPE</t>
        </is>
      </c>
      <c r="H3188" t="inlineStr">
        <is>
          <t>CAPRILES DIZ TER PROVAS QUE JUSTIFICAM IMPUGNAÇÃO DA ELEIÇÃO NA VENEZUELA</t>
        </is>
      </c>
      <c r="I3188" t="inlineStr">
        <is>
          <t>"NÓS TEMOS CONHECIMENTO DE QUE FORAM REGISTRADOS QUASE 200 MIL VOTOS DE PESSOAS QUE JÁ MORRERAM E MAIS DE 21 MIL VOTOS DE PESSOAS COM O MESMO NOME", DECLAROU CAPRILES</t>
        </is>
      </c>
      <c r="J3188" t="inlineStr"/>
      <c r="K3188" t="n">
        <v>0</v>
      </c>
      <c r="L3188" t="n">
        <v>1</v>
      </c>
      <c r="M3188" t="n">
        <v>0</v>
      </c>
      <c r="N3188" t="n">
        <v>0</v>
      </c>
      <c r="O3188" t="n">
        <v>0</v>
      </c>
      <c r="P3188">
        <f>HYPERLINK("https://www.acritica.com/capriles-diz-ter-provas-que-justificam-impugnac-o-da-eleic-o-na-venezuela-1.135677", "URL")</f>
        <v/>
      </c>
      <c r="Q3188">
        <f>HYPERLINK("https://raw.githubusercontent.com/marcosmapl/dataset_imigrantes/main/materias_filtered/a_critica/venezuelanos/2013/04_mai/html/1.135677_1140.html", "HTML")</f>
        <v/>
      </c>
      <c r="R3188">
        <f>HYPERLINK("https://raw.githubusercontent.com/marcosmapl/dataset_imigrantes/main/materias_filtered/a_critica/venezuelanos/2013/04_mai/txt/1.135677_1140.txt", "TXT")</f>
        <v/>
      </c>
    </row>
    <row r="3189">
      <c r="A3189" s="1" t="n">
        <v>3187</v>
      </c>
      <c r="B3189" t="n">
        <v>2013</v>
      </c>
      <c r="C3189" s="2" t="n">
        <v>41396.90416666667</v>
      </c>
      <c r="D3189" t="inlineStr">
        <is>
          <t>G1</t>
        </is>
      </c>
      <c r="E3189" t="inlineStr">
        <is>
          <t>VENEZUELANOS</t>
        </is>
      </c>
      <c r="F3189" t="inlineStr"/>
      <c r="G3189" t="inlineStr"/>
      <c r="H3189" t="inlineStr">
        <is>
          <t>OPOSIÇÃO VENEZUELANA ENTRA COM PEDIDO DE IMPUGNAÇÃO DAS ELEIÇÕES</t>
        </is>
      </c>
      <c r="I3189" t="inlineStr"/>
      <c r="J3189" t="inlineStr">
        <is>
          <t>HENRIQUE CAPRILES, NICOLÁS MADURO</t>
        </is>
      </c>
      <c r="K3189" t="n">
        <v>2</v>
      </c>
      <c r="L3189" t="n">
        <v>3</v>
      </c>
      <c r="M3189" t="n">
        <v>0</v>
      </c>
      <c r="N3189" t="n">
        <v>0</v>
      </c>
      <c r="O3189" t="n">
        <v>12</v>
      </c>
      <c r="P3189">
        <f>HYPERLINK("http://g1.globo.com/jornal-nacional/noticia/2013/05/oposicao-venezuelana-entra-com-pedido-de-impugnacao-das-eleicoes.html", "URL")</f>
        <v/>
      </c>
      <c r="Q3189">
        <f>HYPERLINK("https://raw.githubusercontent.com/marcosmapl/dataset_imigrantes/main/materias_filtered/g1/venezuelanos/2013/04_mai/html/g1_8551289a-232c-11ed-b24f-6dbe51e79fca_4310.html", "HTML")</f>
        <v/>
      </c>
      <c r="R3189">
        <f>HYPERLINK("https://raw.githubusercontent.com/marcosmapl/dataset_imigrantes/main/materias_filtered/g1/venezuelanos/2013/04_mai/txt/g1_8551289a-232c-11ed-b24f-6dbe51e79fca_4310.txt", "TXT")</f>
        <v/>
      </c>
    </row>
    <row r="3190">
      <c r="A3190" s="1" t="n">
        <v>3188</v>
      </c>
      <c r="B3190" t="n">
        <v>2013</v>
      </c>
      <c r="C3190" s="2" t="n">
        <v>41396.875</v>
      </c>
      <c r="D3190" t="inlineStr">
        <is>
          <t>G1</t>
        </is>
      </c>
      <c r="E3190" t="inlineStr">
        <is>
          <t>HAITIANOS</t>
        </is>
      </c>
      <c r="F3190" t="inlineStr"/>
      <c r="G3190" t="inlineStr">
        <is>
          <t>1 RO COM INFORMAÇÕES DA TV RO</t>
        </is>
      </c>
      <c r="H3190" t="inlineStr">
        <is>
          <t>PARA AMENIZAR DIFICULDADES, PROJETO ENSINA PORTUGUÊS A HAITIANOS, EM RO</t>
        </is>
      </c>
      <c r="I3190" t="inlineStr"/>
      <c r="J3190" t="inlineStr">
        <is>
          <t>RONDÔNIA, PORTO VELHO</t>
        </is>
      </c>
      <c r="K3190" t="n">
        <v>2</v>
      </c>
      <c r="L3190" t="n">
        <v>3</v>
      </c>
      <c r="M3190" t="n">
        <v>0</v>
      </c>
      <c r="N3190" t="n">
        <v>0</v>
      </c>
      <c r="O3190" t="n">
        <v>15</v>
      </c>
      <c r="P3190">
        <f>HYPERLINK("http://g1.globo.com/ro/rondonia/noticia/2013/05/para-amenizar-dificuldades-projeto-ensina-portugues-haitianos-em-ro.html", "URL")</f>
        <v/>
      </c>
      <c r="Q3190">
        <f>HYPERLINK("https://raw.githubusercontent.com/marcosmapl/dataset_imigrantes/main/materias_filtered/g1/haitianos/2013/04_mai/html/g1_d8888c78-22f6-11ed-b24f-6dbe51e79fca_2042.html", "HTML")</f>
        <v/>
      </c>
      <c r="R3190">
        <f>HYPERLINK("https://raw.githubusercontent.com/marcosmapl/dataset_imigrantes/main/materias_filtered/g1/haitianos/2013/04_mai/txt/g1_d8888c78-22f6-11ed-b24f-6dbe51e79fca_2042.txt", "TXT")</f>
        <v/>
      </c>
    </row>
    <row r="3191">
      <c r="A3191" s="1" t="n">
        <v>3189</v>
      </c>
      <c r="B3191" t="n">
        <v>2013</v>
      </c>
      <c r="C3191" s="2" t="n">
        <v>41396.79583333333</v>
      </c>
      <c r="D3191" t="inlineStr">
        <is>
          <t>G1</t>
        </is>
      </c>
      <c r="E3191" t="inlineStr">
        <is>
          <t>VENEZUELANOS</t>
        </is>
      </c>
      <c r="F3191" t="inlineStr"/>
      <c r="G3191" t="inlineStr">
        <is>
          <t>CIA EFE</t>
        </is>
      </c>
      <c r="H3191" t="inlineStr">
        <is>
          <t>IGREJA VENEZUELANA ESTÁ DISPOSTA A MEDIAR DIÁLOGO ENTRE GOVERNO E OPOSIÇÃO</t>
        </is>
      </c>
      <c r="I3191" t="inlineStr"/>
      <c r="J3191" t="inlineStr"/>
      <c r="K3191" t="n">
        <v>0</v>
      </c>
      <c r="L3191" t="n">
        <v>1</v>
      </c>
      <c r="M3191" t="n">
        <v>0</v>
      </c>
      <c r="N3191" t="n">
        <v>0</v>
      </c>
      <c r="O3191" t="n">
        <v>4</v>
      </c>
      <c r="P3191">
        <f>HYPERLINK("http://g1.globo.com/mundo/noticia/2013/05/igreja-venezuelana-esta-disposta-a-mediar-dialogo-entre-governo-e-oposicao.html", "URL")</f>
        <v/>
      </c>
      <c r="Q3191">
        <f>HYPERLINK("https://raw.githubusercontent.com/marcosmapl/dataset_imigrantes/main/materias_filtered/g1/venezuelanos/2013/04_mai/html/g1_1382b54e-2313-11ed-b24f-6dbe51e79fca_2991.html", "HTML")</f>
        <v/>
      </c>
      <c r="R3191">
        <f>HYPERLINK("https://raw.githubusercontent.com/marcosmapl/dataset_imigrantes/main/materias_filtered/g1/venezuelanos/2013/04_mai/txt/g1_1382b54e-2313-11ed-b24f-6dbe51e79fca_2991.txt", "TXT")</f>
        <v/>
      </c>
    </row>
    <row r="3192">
      <c r="A3192" s="1" t="n">
        <v>3190</v>
      </c>
      <c r="B3192" t="n">
        <v>2013</v>
      </c>
      <c r="C3192" s="2" t="n">
        <v>41396.73333333333</v>
      </c>
      <c r="D3192" t="inlineStr">
        <is>
          <t>G1</t>
        </is>
      </c>
      <c r="E3192" t="inlineStr">
        <is>
          <t>VENEZUELANOS</t>
        </is>
      </c>
      <c r="F3192" t="inlineStr"/>
      <c r="G3192" t="inlineStr">
        <is>
          <t>CE PRESSE</t>
        </is>
      </c>
      <c r="H3192" t="inlineStr">
        <is>
          <t>OPOSIÇÃO VENEZUELANA APRESENTA IMPUGNAÇÃO DE RESULTADOS ELEITORAIS</t>
        </is>
      </c>
      <c r="I3192" t="inlineStr"/>
      <c r="J3192" t="inlineStr"/>
      <c r="K3192" t="n">
        <v>0</v>
      </c>
      <c r="L3192" t="n">
        <v>1</v>
      </c>
      <c r="M3192" t="n">
        <v>0</v>
      </c>
      <c r="N3192" t="n">
        <v>0</v>
      </c>
      <c r="O3192" t="n">
        <v>4</v>
      </c>
      <c r="P3192">
        <f>HYPERLINK("http://g1.globo.com/mundo/noticia/2013/05/oposicao-venezuelana-apresenta-impugnacao-de-resultados-eleitorais.html", "URL")</f>
        <v/>
      </c>
      <c r="Q3192">
        <f>HYPERLINK("https://raw.githubusercontent.com/marcosmapl/dataset_imigrantes/main/materias_filtered/g1/venezuelanos/2013/04_mai/html/g1_2f5e4ff4-232b-11ed-b24f-6dbe51e79fca_4228.html", "HTML")</f>
        <v/>
      </c>
      <c r="R3192">
        <f>HYPERLINK("https://raw.githubusercontent.com/marcosmapl/dataset_imigrantes/main/materias_filtered/g1/venezuelanos/2013/04_mai/txt/g1_2f5e4ff4-232b-11ed-b24f-6dbe51e79fca_4228.txt", "TXT")</f>
        <v/>
      </c>
    </row>
    <row r="3193">
      <c r="A3193" s="1" t="n">
        <v>3191</v>
      </c>
      <c r="B3193" t="n">
        <v>2013</v>
      </c>
      <c r="C3193" s="2" t="n">
        <v>41395.70208333333</v>
      </c>
      <c r="D3193" t="inlineStr">
        <is>
          <t>G1</t>
        </is>
      </c>
      <c r="E3193" t="inlineStr">
        <is>
          <t>VENEZUELANOS</t>
        </is>
      </c>
      <c r="F3193" t="inlineStr"/>
      <c r="G3193" t="inlineStr">
        <is>
          <t>CE PRESSE</t>
        </is>
      </c>
      <c r="H3193" t="inlineStr">
        <is>
          <t>OPOSIÇÃO VENEZUELANA IMPUGNARÁ RESULTADOS ELEITORAIS NA QUINTA</t>
        </is>
      </c>
      <c r="I3193" t="inlineStr"/>
      <c r="J3193" t="inlineStr"/>
      <c r="K3193" t="n">
        <v>0</v>
      </c>
      <c r="L3193" t="n">
        <v>1</v>
      </c>
      <c r="M3193" t="n">
        <v>0</v>
      </c>
      <c r="N3193" t="n">
        <v>0</v>
      </c>
      <c r="O3193" t="n">
        <v>4</v>
      </c>
      <c r="P3193">
        <f>HYPERLINK("http://g1.globo.com/mundo/noticia/2013/05/oposicao-venezuelana-impugnara-resultados-eleitorais-na-quinta-1.html", "URL")</f>
        <v/>
      </c>
      <c r="Q3193">
        <f>HYPERLINK("https://raw.githubusercontent.com/marcosmapl/dataset_imigrantes/main/materias_filtered/g1/venezuelanos/2013/04_mai/html/g1_89ea388c-230f-11ed-b24f-6dbe51e79fca_2802.html", "HTML")</f>
        <v/>
      </c>
      <c r="R3193">
        <f>HYPERLINK("https://raw.githubusercontent.com/marcosmapl/dataset_imigrantes/main/materias_filtered/g1/venezuelanos/2013/04_mai/txt/g1_89ea388c-230f-11ed-b24f-6dbe51e79fca_2802.txt", "TXT")</f>
        <v/>
      </c>
    </row>
    <row r="3194">
      <c r="A3194" s="1" t="n">
        <v>3192</v>
      </c>
      <c r="B3194" t="n">
        <v>2013</v>
      </c>
      <c r="C3194" s="2" t="n">
        <v>41395.69791666666</v>
      </c>
      <c r="D3194" t="inlineStr">
        <is>
          <t>G1</t>
        </is>
      </c>
      <c r="E3194" t="inlineStr">
        <is>
          <t>VENEZUELANOS</t>
        </is>
      </c>
      <c r="F3194" t="inlineStr"/>
      <c r="G3194" t="inlineStr">
        <is>
          <t>CE PRESSE</t>
        </is>
      </c>
      <c r="H3194" t="inlineStr">
        <is>
          <t>OPOSIÇÃO VENEZUELANA IMPUGNARÁ RESULTADOS ELEITORAIS NA QUINTA</t>
        </is>
      </c>
      <c r="I3194" t="inlineStr"/>
      <c r="J3194" t="inlineStr"/>
      <c r="K3194" t="n">
        <v>0</v>
      </c>
      <c r="L3194" t="n">
        <v>1</v>
      </c>
      <c r="M3194" t="n">
        <v>0</v>
      </c>
      <c r="N3194" t="n">
        <v>0</v>
      </c>
      <c r="O3194" t="n">
        <v>4</v>
      </c>
      <c r="P3194">
        <f>HYPERLINK("http://g1.globo.com/mundo/noticia/2013/05/oposicao-venezuelana-impugnara-resultados-eleitorais-na-quinta.html", "URL")</f>
        <v/>
      </c>
      <c r="Q3194">
        <f>HYPERLINK("https://raw.githubusercontent.com/marcosmapl/dataset_imigrantes/main/materias_filtered/g1/venezuelanos/2013/04_mai/html/g1_26e45066-230e-11ed-b24f-6dbe51e79fca_2725.html", "HTML")</f>
        <v/>
      </c>
      <c r="R3194">
        <f>HYPERLINK("https://raw.githubusercontent.com/marcosmapl/dataset_imigrantes/main/materias_filtered/g1/venezuelanos/2013/04_mai/txt/g1_26e45066-230e-11ed-b24f-6dbe51e79fca_2725.txt", "TXT")</f>
        <v/>
      </c>
    </row>
    <row r="3195">
      <c r="A3195" s="1" t="n">
        <v>3193</v>
      </c>
      <c r="B3195" t="n">
        <v>2013</v>
      </c>
      <c r="C3195" s="2" t="n">
        <v>41395.625</v>
      </c>
      <c r="D3195" t="inlineStr">
        <is>
          <t>G1</t>
        </is>
      </c>
      <c r="E3195" t="inlineStr">
        <is>
          <t>HAITIANOS</t>
        </is>
      </c>
      <c r="F3195" t="inlineStr"/>
      <c r="G3195" t="inlineStr">
        <is>
          <t>1, COM INFORMAÇÕES DA TV RONDÔNIA</t>
        </is>
      </c>
      <c r="H3195" t="inlineStr">
        <is>
          <t>HAITIANOS VIVEM A EXPECTATIVA DE CONSEGUIR EMPREGO EM RONDÔNIA</t>
        </is>
      </c>
      <c r="I3195" t="inlineStr"/>
      <c r="J3195" t="inlineStr">
        <is>
          <t>PORTO VELHO</t>
        </is>
      </c>
      <c r="K3195" t="n">
        <v>1</v>
      </c>
      <c r="L3195" t="n">
        <v>3</v>
      </c>
      <c r="M3195" t="n">
        <v>0</v>
      </c>
      <c r="N3195" t="n">
        <v>0</v>
      </c>
      <c r="O3195" t="n">
        <v>13</v>
      </c>
      <c r="P3195">
        <f>HYPERLINK("http://g1.globo.com/ro/rondonia/noticia/2013/05/haitianos-vivem-expectativa-de-conseguir-emprego-em-rondonia.html", "URL")</f>
        <v/>
      </c>
      <c r="Q3195">
        <f>HYPERLINK("https://raw.githubusercontent.com/marcosmapl/dataset_imigrantes/main/materias_filtered/g1/haitianos/2013/04_mai/html/g1_8a6bb434-22ec-11ed-b24f-6dbe51e79fca_1660.html", "HTML")</f>
        <v/>
      </c>
      <c r="R3195">
        <f>HYPERLINK("https://raw.githubusercontent.com/marcosmapl/dataset_imigrantes/main/materias_filtered/g1/haitianos/2013/04_mai/txt/g1_8a6bb434-22ec-11ed-b24f-6dbe51e79fca_1660.txt", "TXT")</f>
        <v/>
      </c>
    </row>
    <row r="3196">
      <c r="A3196" s="1" t="n">
        <v>3194</v>
      </c>
      <c r="B3196" t="n">
        <v>2013</v>
      </c>
      <c r="C3196" s="2" t="n">
        <v>41395.61041666667</v>
      </c>
      <c r="D3196" t="inlineStr">
        <is>
          <t>G1</t>
        </is>
      </c>
      <c r="E3196" t="inlineStr">
        <is>
          <t>VENEZUELANOS</t>
        </is>
      </c>
      <c r="F3196" t="inlineStr"/>
      <c r="G3196" t="inlineStr">
        <is>
          <t>RANCE PRESSE</t>
        </is>
      </c>
      <c r="H3196" t="inlineStr">
        <is>
          <t>OPOSIÇÃO VENEZUELANA VAI PEDIR IMPUGNAÇÃO DE RESULTADOS ELEITORAIS</t>
        </is>
      </c>
      <c r="I3196" t="inlineStr"/>
      <c r="J3196" t="inlineStr">
        <is>
          <t>VENEZUELA</t>
        </is>
      </c>
      <c r="K3196" t="n">
        <v>1</v>
      </c>
      <c r="L3196" t="n">
        <v>5</v>
      </c>
      <c r="M3196" t="n">
        <v>0</v>
      </c>
      <c r="N3196" t="n">
        <v>0</v>
      </c>
      <c r="O3196" t="n">
        <v>9</v>
      </c>
      <c r="P3196">
        <f>HYPERLINK("http://g1.globo.com/mundo/noticia/2013/05/capriles-oposicao-venezuelana-impugnara-resultados-eleitorais-na-quinta.html", "URL")</f>
        <v/>
      </c>
      <c r="Q3196">
        <f>HYPERLINK("https://raw.githubusercontent.com/marcosmapl/dataset_imigrantes/main/materias_filtered/g1/venezuelanos/2013/04_mai/html/g1_f7bfa6a6-2325-11ed-b24f-6dbe51e79fca_3946.html", "HTML")</f>
        <v/>
      </c>
      <c r="R3196">
        <f>HYPERLINK("https://raw.githubusercontent.com/marcosmapl/dataset_imigrantes/main/materias_filtered/g1/venezuelanos/2013/04_mai/txt/g1_f7bfa6a6-2325-11ed-b24f-6dbe51e79fca_3946.txt", "TXT")</f>
        <v/>
      </c>
    </row>
    <row r="3197">
      <c r="A3197" s="1" t="n">
        <v>3195</v>
      </c>
      <c r="B3197" t="n">
        <v>2013</v>
      </c>
      <c r="C3197" s="2" t="n">
        <v>41395.53354166666</v>
      </c>
      <c r="D3197" t="inlineStr">
        <is>
          <t>A CRITICA</t>
        </is>
      </c>
      <c r="E3197" t="inlineStr">
        <is>
          <t>HAITIANOS</t>
        </is>
      </c>
      <c r="F3197" t="inlineStr"/>
      <c r="G3197" t="inlineStr">
        <is>
          <t>MARIANA LIMA</t>
        </is>
      </c>
      <c r="H3197" t="inlineStr">
        <is>
          <t>CÂMARA AUTORIZA ARTUR NETO A CONTRATAR ESTRANGEIROS NA PREFEITURA</t>
        </is>
      </c>
      <c r="I3197" t="inlineStr">
        <is>
          <t>O PROJETO DE LEI DE AUTORIA DO PRÓPRIO EXECUTIVO TEVE VOTAÇÃO FAVORÁVEL DOS VEREADORES DURANTE SESSÃO PLENÁRIA DE TERÇA-FEIRA (30)</t>
        </is>
      </c>
      <c r="J3197" t="inlineStr"/>
      <c r="K3197" t="n">
        <v>0</v>
      </c>
      <c r="L3197" t="n">
        <v>1</v>
      </c>
      <c r="M3197" t="n">
        <v>0</v>
      </c>
      <c r="N3197" t="n">
        <v>0</v>
      </c>
      <c r="O3197" t="n">
        <v>0</v>
      </c>
      <c r="P3197">
        <f>HYPERLINK("https://www.acritica.com/camara-autoriza-artur-neto-a-contratar-estrangeiros-na-prefeitura-1.115103", "URL")</f>
        <v/>
      </c>
      <c r="Q3197">
        <f>HYPERLINK("https://raw.githubusercontent.com/marcosmapl/dataset_imigrantes/main/materias_filtered/a_critica/haitianos/2013/04_mai/html/1.115103_412.html", "HTML")</f>
        <v/>
      </c>
      <c r="R3197">
        <f>HYPERLINK("https://raw.githubusercontent.com/marcosmapl/dataset_imigrantes/main/materias_filtered/a_critica/haitianos/2013/04_mai/txt/1.115103_412.txt", "TXT")</f>
        <v/>
      </c>
    </row>
    <row r="3198">
      <c r="A3198" s="1" t="n">
        <v>3196</v>
      </c>
      <c r="B3198" t="n">
        <v>2013</v>
      </c>
      <c r="C3198" s="2" t="n">
        <v>41394.52777777778</v>
      </c>
      <c r="D3198" t="inlineStr">
        <is>
          <t>G1</t>
        </is>
      </c>
      <c r="E3198" t="inlineStr">
        <is>
          <t>HAITIANOS</t>
        </is>
      </c>
      <c r="F3198" t="inlineStr"/>
      <c r="G3198" t="inlineStr">
        <is>
          <t>1 RO COM INFORMAÇÕES DA TV RO</t>
        </is>
      </c>
      <c r="H3198" t="inlineStr">
        <is>
          <t>HAITIANOS ENFRENTAM DIFICULDADES NA HORA DE CONSEGUIR EMPREGO, EM RO</t>
        </is>
      </c>
      <c r="I3198" t="inlineStr"/>
      <c r="J3198" t="inlineStr">
        <is>
          <t>HAITI, RONDÔNIA, PORTO VELHO</t>
        </is>
      </c>
      <c r="K3198" t="n">
        <v>3</v>
      </c>
      <c r="L3198" t="n">
        <v>3</v>
      </c>
      <c r="M3198" t="n">
        <v>0</v>
      </c>
      <c r="N3198" t="n">
        <v>0</v>
      </c>
      <c r="O3198" t="n">
        <v>16</v>
      </c>
      <c r="P3198">
        <f>HYPERLINK("http://g1.globo.com/ro/rondonia/noticia/2013/04/haitianos-enfrentam-dificuldades-na-hora-de-conseguir-emprego-em-ro.html", "URL")</f>
        <v/>
      </c>
      <c r="Q3198">
        <f>HYPERLINK("https://raw.githubusercontent.com/marcosmapl/dataset_imigrantes/main/materias_filtered/g1/haitianos/2013/03_abr/html/g1_cbdeec00-22f7-11ed-b24f-6dbe51e79fca_2096.html", "HTML")</f>
        <v/>
      </c>
      <c r="R3198">
        <f>HYPERLINK("https://raw.githubusercontent.com/marcosmapl/dataset_imigrantes/main/materias_filtered/g1/haitianos/2013/03_abr/txt/g1_cbdeec00-22f7-11ed-b24f-6dbe51e79fca_2096.txt", "TXT")</f>
        <v/>
      </c>
    </row>
    <row r="3199">
      <c r="A3199" s="1" t="n">
        <v>3197</v>
      </c>
      <c r="B3199" t="n">
        <v>2013</v>
      </c>
      <c r="C3199" s="2" t="n">
        <v>41394.40416666667</v>
      </c>
      <c r="D3199" t="inlineStr">
        <is>
          <t>G1</t>
        </is>
      </c>
      <c r="E3199" t="inlineStr">
        <is>
          <t>HAITIANOS</t>
        </is>
      </c>
      <c r="F3199" t="inlineStr"/>
      <c r="G3199" t="inlineStr">
        <is>
          <t>ANA RIBEIRODO G1 AC</t>
        </is>
      </c>
      <c r="H3199" t="inlineStr">
        <is>
          <t>RESOLUÇÃO DEVE DIMINUIR NÚMERO DE HAITIANOS NO AC, ACREDITA SECRETÁRIO</t>
        </is>
      </c>
      <c r="I3199" t="inlineStr"/>
      <c r="J3199" t="inlineStr">
        <is>
          <t>BRASILÉIA, EPITACIOLÂNDIA, ACRE, HAITI, MINISTÉRIO DA JUSTIÇA</t>
        </is>
      </c>
      <c r="K3199" t="n">
        <v>5</v>
      </c>
      <c r="L3199" t="n">
        <v>4</v>
      </c>
      <c r="M3199" t="n">
        <v>0</v>
      </c>
      <c r="N3199" t="n">
        <v>0</v>
      </c>
      <c r="O3199" t="n">
        <v>17</v>
      </c>
      <c r="P3199">
        <f>HYPERLINK("http://g1.globo.com/ac/acre/noticia/2013/04/resolucao-deve-diminuir-numero-de-haitianos-no-ac-acredita-secretario.html", "URL")</f>
        <v/>
      </c>
      <c r="Q3199">
        <f>HYPERLINK("https://raw.githubusercontent.com/marcosmapl/dataset_imigrantes/main/materias_filtered/g1/haitianos/2013/03_abr/html/g1_7d504032-22f4-11ed-b24f-6dbe51e79fca_1893.html", "HTML")</f>
        <v/>
      </c>
      <c r="R3199">
        <f>HYPERLINK("https://raw.githubusercontent.com/marcosmapl/dataset_imigrantes/main/materias_filtered/g1/haitianos/2013/03_abr/txt/g1_7d504032-22f4-11ed-b24f-6dbe51e79fca_1893.txt", "TXT")</f>
        <v/>
      </c>
    </row>
    <row r="3200">
      <c r="A3200" s="1" t="n">
        <v>3198</v>
      </c>
      <c r="B3200" t="n">
        <v>2013</v>
      </c>
      <c r="C3200" s="2" t="n">
        <v>41393.85416666666</v>
      </c>
      <c r="D3200" t="inlineStr">
        <is>
          <t>G1</t>
        </is>
      </c>
      <c r="E3200" t="inlineStr">
        <is>
          <t>VENEZUELANOS</t>
        </is>
      </c>
      <c r="F3200" t="inlineStr"/>
      <c r="G3200" t="inlineStr">
        <is>
          <t>ERS</t>
        </is>
      </c>
      <c r="H3200" t="inlineStr">
        <is>
          <t>OPOSIÇÃO VENEZUELANA PREPARA PEDIDO DE IMPUGNAÇÃO DE RESULTADO ELEITORAL</t>
        </is>
      </c>
      <c r="I3200" t="inlineStr"/>
      <c r="J3200" t="inlineStr"/>
      <c r="K3200" t="n">
        <v>0</v>
      </c>
      <c r="L3200" t="n">
        <v>1</v>
      </c>
      <c r="M3200" t="n">
        <v>0</v>
      </c>
      <c r="N3200" t="n">
        <v>0</v>
      </c>
      <c r="O3200" t="n">
        <v>4</v>
      </c>
      <c r="P3200">
        <f>HYPERLINK("http://g1.globo.com/mundo/noticia/2013/04/oposicao-venezuelana-prepara-pedido-de-impugnacao-de-resultado-eleitoral.html", "URL")</f>
        <v/>
      </c>
      <c r="Q3200">
        <f>HYPERLINK("https://raw.githubusercontent.com/marcosmapl/dataset_imigrantes/main/materias_filtered/g1/venezuelanos/2013/03_abr/html/g1_e68e9e3a-2309-11ed-b24f-6dbe51e79fca_2472.html", "HTML")</f>
        <v/>
      </c>
      <c r="R3200">
        <f>HYPERLINK("https://raw.githubusercontent.com/marcosmapl/dataset_imigrantes/main/materias_filtered/g1/venezuelanos/2013/03_abr/txt/g1_e68e9e3a-2309-11ed-b24f-6dbe51e79fca_2472.txt", "TXT")</f>
        <v/>
      </c>
    </row>
    <row r="3201">
      <c r="A3201" s="1" t="n">
        <v>3199</v>
      </c>
      <c r="B3201" t="n">
        <v>2013</v>
      </c>
      <c r="C3201" s="2" t="n">
        <v>41393.76961805556</v>
      </c>
      <c r="D3201" t="inlineStr">
        <is>
          <t>A CRITICA</t>
        </is>
      </c>
      <c r="E3201" t="inlineStr">
        <is>
          <t>HAITIANOS</t>
        </is>
      </c>
      <c r="F3201" t="inlineStr"/>
      <c r="G3201" t="inlineStr">
        <is>
          <t>MARCOS CHAGAS E RENATA GIRALDI/ AGÊNCIA BRASIL</t>
        </is>
      </c>
      <c r="H3201" t="inlineStr">
        <is>
          <t>GOVERNO FEDERAL ACABA COM LIMITE DE CONCESSÃO DE VISTOS A HAITIANOS</t>
        </is>
      </c>
      <c r="I3201" t="inlineStr">
        <is>
          <t>O TETO – UMA MÉDIA DE 100 POR MÊS – FOI INSTITUÍDO PELO GOVERNO EM 2012 PARA TENTAR CONTER A ENTRADA IRREGULAR DE IMIGRANTES HAITIANOS PELA FRONTEIRA DO ACRE COM A BOLÍVIA E O PERU</t>
        </is>
      </c>
      <c r="J3201" t="inlineStr"/>
      <c r="K3201" t="n">
        <v>0</v>
      </c>
      <c r="L3201" t="n">
        <v>1</v>
      </c>
      <c r="M3201" t="n">
        <v>0</v>
      </c>
      <c r="N3201" t="n">
        <v>0</v>
      </c>
      <c r="O3201" t="n">
        <v>5</v>
      </c>
      <c r="P3201">
        <f>HYPERLINK("https://www.acritica.com/governo-federal-acaba-com-limite-de-concess-o-de-vistos-a-haitianos-1.135233", "URL")</f>
        <v/>
      </c>
      <c r="Q3201">
        <f>HYPERLINK("https://raw.githubusercontent.com/marcosmapl/dataset_imigrantes/main/materias_filtered/a_critica/haitianos/2013/03_abr/html/1.135233_954.html", "HTML")</f>
        <v/>
      </c>
      <c r="R3201">
        <f>HYPERLINK("https://raw.githubusercontent.com/marcosmapl/dataset_imigrantes/main/materias_filtered/a_critica/haitianos/2013/03_abr/txt/1.135233_954.txt", "TXT")</f>
        <v/>
      </c>
    </row>
    <row r="3202">
      <c r="A3202" s="1" t="n">
        <v>3200</v>
      </c>
      <c r="B3202" t="n">
        <v>2013</v>
      </c>
      <c r="C3202" s="2" t="n">
        <v>41393.76875</v>
      </c>
      <c r="D3202" t="inlineStr">
        <is>
          <t>G1</t>
        </is>
      </c>
      <c r="E3202" t="inlineStr">
        <is>
          <t>HAITIANOS</t>
        </is>
      </c>
      <c r="F3202" t="inlineStr"/>
      <c r="G3202" t="inlineStr">
        <is>
          <t>1, EM BRASÍLIA</t>
        </is>
      </c>
      <c r="H3202" t="inlineStr">
        <is>
          <t>GOVERNO ACABA COM LIMITE DE VISTOS CONCEDIDOS AOS HAITIANOS</t>
        </is>
      </c>
      <c r="I3202" t="inlineStr"/>
      <c r="J3202" t="inlineStr">
        <is>
          <t>GOVERNO FEDERAL, MINISTÉRIO DO TRABALHO</t>
        </is>
      </c>
      <c r="K3202" t="n">
        <v>2</v>
      </c>
      <c r="L3202" t="n">
        <v>4</v>
      </c>
      <c r="M3202" t="n">
        <v>0</v>
      </c>
      <c r="N3202" t="n">
        <v>0</v>
      </c>
      <c r="O3202" t="n">
        <v>13</v>
      </c>
      <c r="P3202">
        <f>HYPERLINK("http://g1.globo.com/politica/noticia/2013/04/governo-acaba-com-limite-de-vistos-concedidos-aos-haitianos.html", "URL")</f>
        <v/>
      </c>
      <c r="Q3202">
        <f>HYPERLINK("https://raw.githubusercontent.com/marcosmapl/dataset_imigrantes/main/materias_filtered/g1/haitianos/2013/03_abr/html/g1_05997e8e-22f7-11ed-b24f-6dbe51e79fca_2053.html", "HTML")</f>
        <v/>
      </c>
      <c r="R3202">
        <f>HYPERLINK("https://raw.githubusercontent.com/marcosmapl/dataset_imigrantes/main/materias_filtered/g1/haitianos/2013/03_abr/txt/g1_05997e8e-22f7-11ed-b24f-6dbe51e79fca_2053.txt", "TXT")</f>
        <v/>
      </c>
    </row>
    <row r="3203">
      <c r="A3203" s="1" t="n">
        <v>3201</v>
      </c>
      <c r="B3203" t="n">
        <v>2013</v>
      </c>
      <c r="C3203" s="2" t="n">
        <v>41393.44166666667</v>
      </c>
      <c r="D3203" t="inlineStr">
        <is>
          <t>G1</t>
        </is>
      </c>
      <c r="E3203" t="inlineStr">
        <is>
          <t>HAITIANOS</t>
        </is>
      </c>
      <c r="F3203" t="inlineStr"/>
      <c r="G3203" t="inlineStr">
        <is>
          <t>1 RO COM INFORMAÇÕES DA TV RO</t>
        </is>
      </c>
      <c r="H3203" t="inlineStr">
        <is>
          <t>HAITIANOS BUSCAM EM RO MELHORES CONDIÇÕES DE VIDA, APÓS TERREMOTO</t>
        </is>
      </c>
      <c r="I3203" t="inlineStr"/>
      <c r="J3203" t="inlineStr">
        <is>
          <t>ACRE, AMAZONAS, RONDÔNIA</t>
        </is>
      </c>
      <c r="K3203" t="n">
        <v>3</v>
      </c>
      <c r="L3203" t="n">
        <v>4</v>
      </c>
      <c r="M3203" t="n">
        <v>0</v>
      </c>
      <c r="N3203" t="n">
        <v>0</v>
      </c>
      <c r="O3203" t="n">
        <v>17</v>
      </c>
      <c r="P3203">
        <f>HYPERLINK("http://g1.globo.com/ro/rondonia/noticia/2013/04/haitianos-buscam-em-ro-melhores-condicoes-de-vida-apos-terremoto.html", "URL")</f>
        <v/>
      </c>
      <c r="Q3203">
        <f>HYPERLINK("https://raw.githubusercontent.com/marcosmapl/dataset_imigrantes/main/materias_filtered/g1/haitianos/2013/03_abr/html/g1_e9c5d86c-22f4-11ed-b24f-6dbe51e79fca_1919.html", "HTML")</f>
        <v/>
      </c>
      <c r="R3203">
        <f>HYPERLINK("https://raw.githubusercontent.com/marcosmapl/dataset_imigrantes/main/materias_filtered/g1/haitianos/2013/03_abr/txt/g1_e9c5d86c-22f4-11ed-b24f-6dbe51e79fca_1919.txt", "TXT")</f>
        <v/>
      </c>
    </row>
    <row r="3204">
      <c r="A3204" s="1" t="n">
        <v>3202</v>
      </c>
      <c r="B3204" t="n">
        <v>2013</v>
      </c>
      <c r="C3204" s="2" t="n">
        <v>41390.825</v>
      </c>
      <c r="D3204" t="inlineStr">
        <is>
          <t>G1</t>
        </is>
      </c>
      <c r="E3204" t="inlineStr">
        <is>
          <t>VENEZUELANOS</t>
        </is>
      </c>
      <c r="F3204" t="inlineStr"/>
      <c r="G3204" t="inlineStr">
        <is>
          <t>CE PRESSE</t>
        </is>
      </c>
      <c r="H3204" t="inlineStr">
        <is>
          <t>OPOSIÇÃO VENEZUELANA ESPERA AUDITORIA DE ELEIÇÕES E PREPARA IMPUGNAÇÃO</t>
        </is>
      </c>
      <c r="I3204" t="inlineStr"/>
      <c r="J3204" t="inlineStr"/>
      <c r="K3204" t="n">
        <v>0</v>
      </c>
      <c r="L3204" t="n">
        <v>1</v>
      </c>
      <c r="M3204" t="n">
        <v>0</v>
      </c>
      <c r="N3204" t="n">
        <v>0</v>
      </c>
      <c r="O3204" t="n">
        <v>4</v>
      </c>
      <c r="P3204">
        <f>HYPERLINK("http://g1.globo.com/mundo/noticia/2013/04/oposicao-venezuelana-espera-auditoria-de-eleicoes-e-prepara-impugnacao-1.html", "URL")</f>
        <v/>
      </c>
      <c r="Q3204">
        <f>HYPERLINK("https://raw.githubusercontent.com/marcosmapl/dataset_imigrantes/main/materias_filtered/g1/venezuelanos/2013/03_abr/html/g1_de39496c-231b-11ed-b24f-6dbe51e79fca_3412.html", "HTML")</f>
        <v/>
      </c>
      <c r="R3204">
        <f>HYPERLINK("https://raw.githubusercontent.com/marcosmapl/dataset_imigrantes/main/materias_filtered/g1/venezuelanos/2013/03_abr/txt/g1_de39496c-231b-11ed-b24f-6dbe51e79fca_3412.txt", "TXT")</f>
        <v/>
      </c>
    </row>
    <row r="3205">
      <c r="A3205" s="1" t="n">
        <v>3203</v>
      </c>
      <c r="B3205" t="n">
        <v>2013</v>
      </c>
      <c r="C3205" s="2" t="n">
        <v>41390.72459490741</v>
      </c>
      <c r="D3205" t="inlineStr">
        <is>
          <t>A CRITICA</t>
        </is>
      </c>
      <c r="E3205" t="inlineStr">
        <is>
          <t>VENEZUELANOS</t>
        </is>
      </c>
      <c r="F3205" t="inlineStr"/>
      <c r="G3205" t="inlineStr">
        <is>
          <t>ACRÍTICA.COM</t>
        </is>
      </c>
      <c r="H3205" t="inlineStr">
        <is>
          <t>POLÍTICOS DO AM DISCUTEM EXTORSÃO DE POLICIAIS VENEZUELANOS DURANTE AUDIÊNCIA EM RORAIMA</t>
        </is>
      </c>
      <c r="I3205" t="inlineStr">
        <is>
          <t>NOVA AUDIÊNCIA PÚBLICA ENVOLVENDO DEPUTADOS FEDERAIS DOS DOIS ESTADOS E REPRESENTANTES DA VENEZUELA ESTÁ PREVISTA PARA ACONTECER AINDA ESTE ANO. EM FEVEREIRO, O JORNAL A CRÍTICA PUBLICOU UMA REPORTAGEM DENUNCIANDO O PROBLEMA VIVENCIADO POR TURISTAS BRASILEIROS</t>
        </is>
      </c>
      <c r="J3205" t="inlineStr"/>
      <c r="K3205" t="n">
        <v>0</v>
      </c>
      <c r="L3205" t="n">
        <v>1</v>
      </c>
      <c r="M3205" t="n">
        <v>0</v>
      </c>
      <c r="N3205" t="n">
        <v>0</v>
      </c>
      <c r="O3205" t="n">
        <v>1</v>
      </c>
      <c r="P3205">
        <f>HYPERLINK("https://www.acritica.com/politicos-do-am-discutem-extors-o-de-policiais-venezuelanos-durante-audiencia-em-roraima-1.133077", "URL")</f>
        <v/>
      </c>
      <c r="Q3205">
        <f>HYPERLINK("https://raw.githubusercontent.com/marcosmapl/dataset_imigrantes/main/materias_filtered/a_critica/venezuelanos/2013/03_abr/html/1.133077_1280.html", "HTML")</f>
        <v/>
      </c>
      <c r="R3205">
        <f>HYPERLINK("https://raw.githubusercontent.com/marcosmapl/dataset_imigrantes/main/materias_filtered/a_critica/venezuelanos/2013/03_abr/txt/1.133077_1280.txt", "TXT")</f>
        <v/>
      </c>
    </row>
    <row r="3206">
      <c r="A3206" s="1" t="n">
        <v>3204</v>
      </c>
      <c r="B3206" t="n">
        <v>2013</v>
      </c>
      <c r="C3206" s="2" t="n">
        <v>41390.69375</v>
      </c>
      <c r="D3206" t="inlineStr">
        <is>
          <t>G1</t>
        </is>
      </c>
      <c r="E3206" t="inlineStr">
        <is>
          <t>VENEZUELANOS</t>
        </is>
      </c>
      <c r="F3206" t="inlineStr"/>
      <c r="G3206" t="inlineStr">
        <is>
          <t>CE PRESSE</t>
        </is>
      </c>
      <c r="H3206" t="inlineStr">
        <is>
          <t>OPOSIÇÃO VENEZUELANA ESPERA AUDITORIA DE ELEIÇÕES E PREPARA IMPUGNAÇÃO</t>
        </is>
      </c>
      <c r="I3206" t="inlineStr"/>
      <c r="J3206" t="inlineStr"/>
      <c r="K3206" t="n">
        <v>0</v>
      </c>
      <c r="L3206" t="n">
        <v>1</v>
      </c>
      <c r="M3206" t="n">
        <v>0</v>
      </c>
      <c r="N3206" t="n">
        <v>0</v>
      </c>
      <c r="O3206" t="n">
        <v>4</v>
      </c>
      <c r="P3206">
        <f>HYPERLINK("http://g1.globo.com/mundo/noticia/2013/04/oposicao-venezuelana-espera-auditoria-de-eleicoes-e-prepara-impugnacao.html", "URL")</f>
        <v/>
      </c>
      <c r="Q3206">
        <f>HYPERLINK("https://raw.githubusercontent.com/marcosmapl/dataset_imigrantes/main/materias_filtered/g1/venezuelanos/2013/03_abr/html/g1_78445584-2311-11ed-b24f-6dbe51e79fca_2916.html", "HTML")</f>
        <v/>
      </c>
      <c r="R3206">
        <f>HYPERLINK("https://raw.githubusercontent.com/marcosmapl/dataset_imigrantes/main/materias_filtered/g1/venezuelanos/2013/03_abr/txt/g1_78445584-2311-11ed-b24f-6dbe51e79fca_2916.txt", "TXT")</f>
        <v/>
      </c>
    </row>
    <row r="3207">
      <c r="A3207" s="1" t="n">
        <v>3205</v>
      </c>
      <c r="B3207" t="n">
        <v>2013</v>
      </c>
      <c r="C3207" s="2" t="n">
        <v>41390.3125</v>
      </c>
      <c r="D3207" t="inlineStr">
        <is>
          <t>G1</t>
        </is>
      </c>
      <c r="E3207" t="inlineStr">
        <is>
          <t>VENEZUELANOS</t>
        </is>
      </c>
      <c r="F3207" t="inlineStr"/>
      <c r="G3207" t="inlineStr">
        <is>
          <t>ERS</t>
        </is>
      </c>
      <c r="H3207" t="inlineStr">
        <is>
          <t>CAPRILES VAI CONTESTAR NA JUSTIÇA RESULTADO DE ELEIÇÃO VENEZUELANA</t>
        </is>
      </c>
      <c r="I3207" t="inlineStr"/>
      <c r="J3207" t="inlineStr"/>
      <c r="K3207" t="n">
        <v>0</v>
      </c>
      <c r="L3207" t="n">
        <v>1</v>
      </c>
      <c r="M3207" t="n">
        <v>0</v>
      </c>
      <c r="N3207" t="n">
        <v>0</v>
      </c>
      <c r="O3207" t="n">
        <v>4</v>
      </c>
      <c r="P3207">
        <f>HYPERLINK("http://g1.globo.com/mundo/noticia/2013/04/capriles-vai-contestar-na-justica-resultado-de-eleicao-venezuelana.html", "URL")</f>
        <v/>
      </c>
      <c r="Q3207">
        <f>HYPERLINK("https://raw.githubusercontent.com/marcosmapl/dataset_imigrantes/main/materias_filtered/g1/venezuelanos/2013/03_abr/html/g1_ddc159c8-2313-11ed-b24f-6dbe51e79fca_3031.html", "HTML")</f>
        <v/>
      </c>
      <c r="R3207">
        <f>HYPERLINK("https://raw.githubusercontent.com/marcosmapl/dataset_imigrantes/main/materias_filtered/g1/venezuelanos/2013/03_abr/txt/g1_ddc159c8-2313-11ed-b24f-6dbe51e79fca_3031.txt", "TXT")</f>
        <v/>
      </c>
    </row>
    <row r="3208">
      <c r="A3208" s="1" t="n">
        <v>3206</v>
      </c>
      <c r="B3208" t="n">
        <v>2013</v>
      </c>
      <c r="C3208" s="2" t="n">
        <v>41389.4375</v>
      </c>
      <c r="D3208" t="inlineStr">
        <is>
          <t>G1</t>
        </is>
      </c>
      <c r="E3208" t="inlineStr">
        <is>
          <t>HAITIANOS</t>
        </is>
      </c>
      <c r="F3208" t="inlineStr"/>
      <c r="G3208" t="inlineStr">
        <is>
          <t>1 AC</t>
        </is>
      </c>
      <c r="H3208" t="inlineStr">
        <is>
          <t>HAITIANOS ESCOLHEM O ACRE PARA REFAZER A VIDA</t>
        </is>
      </c>
      <c r="I3208" t="inlineStr"/>
      <c r="J3208" t="inlineStr">
        <is>
          <t>RIO BRANCO</t>
        </is>
      </c>
      <c r="K3208" t="n">
        <v>1</v>
      </c>
      <c r="L3208" t="n">
        <v>3</v>
      </c>
      <c r="M3208" t="n">
        <v>0</v>
      </c>
      <c r="N3208" t="n">
        <v>0</v>
      </c>
      <c r="O3208" t="n">
        <v>11</v>
      </c>
      <c r="P3208">
        <f>HYPERLINK("http://g1.globo.com/ac/acre/noticia/2013/04/haitianos-escolhem-o-acre-para-refazer-vida.html", "URL")</f>
        <v/>
      </c>
      <c r="Q3208">
        <f>HYPERLINK("https://raw.githubusercontent.com/marcosmapl/dataset_imigrantes/main/materias_filtered/g1/haitianos/2013/03_abr/html/g1_59d8ccf2-22f2-11ed-b24f-6dbe51e79fca_1792.html", "HTML")</f>
        <v/>
      </c>
      <c r="R3208">
        <f>HYPERLINK("https://raw.githubusercontent.com/marcosmapl/dataset_imigrantes/main/materias_filtered/g1/haitianos/2013/03_abr/txt/g1_59d8ccf2-22f2-11ed-b24f-6dbe51e79fca_1792.txt", "TXT")</f>
        <v/>
      </c>
    </row>
    <row r="3209">
      <c r="A3209" s="1" t="n">
        <v>3207</v>
      </c>
      <c r="B3209" t="n">
        <v>2013</v>
      </c>
      <c r="C3209" s="2" t="n">
        <v>41388.78958333333</v>
      </c>
      <c r="D3209" t="inlineStr">
        <is>
          <t>G1</t>
        </is>
      </c>
      <c r="E3209" t="inlineStr">
        <is>
          <t>VENEZUELANOS</t>
        </is>
      </c>
      <c r="F3209" t="inlineStr"/>
      <c r="G3209" t="inlineStr">
        <is>
          <t>EUTERS</t>
        </is>
      </c>
      <c r="H3209" t="inlineStr">
        <is>
          <t>COMISSÃO PARLAMENTAR VENEZUELANA VAI INVESTIGAR HENRIQUE CAPRILES</t>
        </is>
      </c>
      <c r="I3209" t="inlineStr"/>
      <c r="J3209" t="inlineStr">
        <is>
          <t>HENRIQUE CAPRILES, NICOLÁS MADURO, VENEZUELA</t>
        </is>
      </c>
      <c r="K3209" t="n">
        <v>3</v>
      </c>
      <c r="L3209" t="n">
        <v>5</v>
      </c>
      <c r="M3209" t="n">
        <v>0</v>
      </c>
      <c r="N3209" t="n">
        <v>0</v>
      </c>
      <c r="O3209" t="n">
        <v>17</v>
      </c>
      <c r="P3209">
        <f>HYPERLINK("http://g1.globo.com/mundo/noticia/2013/04/comissao-parlamentar-venezuelana-vai-investigar-capriles.html", "URL")</f>
        <v/>
      </c>
      <c r="Q3209">
        <f>HYPERLINK("https://raw.githubusercontent.com/marcosmapl/dataset_imigrantes/main/materias_filtered/g1/venezuelanos/2013/03_abr/html/g1_d9c5b2de-230d-11ed-b24f-6dbe51e79fca_2709.html", "HTML")</f>
        <v/>
      </c>
      <c r="R3209">
        <f>HYPERLINK("https://raw.githubusercontent.com/marcosmapl/dataset_imigrantes/main/materias_filtered/g1/venezuelanos/2013/03_abr/txt/g1_d9c5b2de-230d-11ed-b24f-6dbe51e79fca_2709.txt", "TXT")</f>
        <v/>
      </c>
    </row>
    <row r="3210">
      <c r="A3210" s="1" t="n">
        <v>3208</v>
      </c>
      <c r="B3210" t="n">
        <v>2013</v>
      </c>
      <c r="C3210" s="2" t="n">
        <v>41388.78958333333</v>
      </c>
      <c r="D3210" t="inlineStr">
        <is>
          <t>G1</t>
        </is>
      </c>
      <c r="E3210" t="inlineStr">
        <is>
          <t>VENEZUELANOS</t>
        </is>
      </c>
      <c r="F3210" t="inlineStr"/>
      <c r="G3210" t="inlineStr">
        <is>
          <t>ERS</t>
        </is>
      </c>
      <c r="H3210" t="inlineStr">
        <is>
          <t>COMISSÃO PARLAMENTAR VENEZUELANA VAI INVESTIGAR CAPRILES</t>
        </is>
      </c>
      <c r="I3210" t="inlineStr"/>
      <c r="J3210" t="inlineStr"/>
      <c r="K3210" t="n">
        <v>0</v>
      </c>
      <c r="L3210" t="n">
        <v>1</v>
      </c>
      <c r="M3210" t="n">
        <v>0</v>
      </c>
      <c r="N3210" t="n">
        <v>0</v>
      </c>
      <c r="O3210" t="n">
        <v>4</v>
      </c>
      <c r="P3210">
        <f>HYPERLINK("http://g1.globo.com/mundo/noticia/2013/04/comissao-parlamentar-venezuelana-vai-investigar-capriles-1.html", "URL")</f>
        <v/>
      </c>
      <c r="Q3210">
        <f>HYPERLINK("https://raw.githubusercontent.com/marcosmapl/dataset_imigrantes/main/materias_filtered/g1/venezuelanos/2013/03_abr/html/g1_5d51a528-232b-11ed-b24f-6dbe51e79fca_4241.html", "HTML")</f>
        <v/>
      </c>
      <c r="R3210">
        <f>HYPERLINK("https://raw.githubusercontent.com/marcosmapl/dataset_imigrantes/main/materias_filtered/g1/venezuelanos/2013/03_abr/txt/g1_5d51a528-232b-11ed-b24f-6dbe51e79fca_4241.txt", "TXT")</f>
        <v/>
      </c>
    </row>
    <row r="3211">
      <c r="A3211" s="1" t="n">
        <v>3209</v>
      </c>
      <c r="B3211" t="n">
        <v>2013</v>
      </c>
      <c r="C3211" s="2" t="n">
        <v>41388.7375</v>
      </c>
      <c r="D3211" t="inlineStr">
        <is>
          <t>G1</t>
        </is>
      </c>
      <c r="E3211" t="inlineStr">
        <is>
          <t>VENEZUELANOS</t>
        </is>
      </c>
      <c r="F3211" t="inlineStr"/>
      <c r="G3211" t="inlineStr">
        <is>
          <t>ERS</t>
        </is>
      </c>
      <c r="H3211" t="inlineStr">
        <is>
          <t>OPOSIÇÃO VENEZUELANA ACUSA GOVERNO DE VINGANÇA PÓS-ELEITORAL</t>
        </is>
      </c>
      <c r="I3211" t="inlineStr"/>
      <c r="J3211" t="inlineStr"/>
      <c r="K3211" t="n">
        <v>0</v>
      </c>
      <c r="L3211" t="n">
        <v>1</v>
      </c>
      <c r="M3211" t="n">
        <v>0</v>
      </c>
      <c r="N3211" t="n">
        <v>0</v>
      </c>
      <c r="O3211" t="n">
        <v>4</v>
      </c>
      <c r="P3211">
        <f>HYPERLINK("http://g1.globo.com/mundo/noticia/2013/04/oposicao-venezuelana-acusa-governo-de-vinganca-pos-eleitoral.html", "URL")</f>
        <v/>
      </c>
      <c r="Q3211">
        <f>HYPERLINK("https://raw.githubusercontent.com/marcosmapl/dataset_imigrantes/main/materias_filtered/g1/venezuelanos/2013/03_abr/html/g1_08a8f9c4-2315-11ed-b24f-6dbe51e79fca_3063.html", "HTML")</f>
        <v/>
      </c>
      <c r="R3211">
        <f>HYPERLINK("https://raw.githubusercontent.com/marcosmapl/dataset_imigrantes/main/materias_filtered/g1/venezuelanos/2013/03_abr/txt/g1_08a8f9c4-2315-11ed-b24f-6dbe51e79fca_3063.txt", "TXT")</f>
        <v/>
      </c>
    </row>
    <row r="3212">
      <c r="A3212" s="1" t="n">
        <v>3210</v>
      </c>
      <c r="B3212" t="n">
        <v>2013</v>
      </c>
      <c r="C3212" s="2" t="n">
        <v>41385.48125</v>
      </c>
      <c r="D3212" t="inlineStr">
        <is>
          <t>G1</t>
        </is>
      </c>
      <c r="E3212" t="inlineStr">
        <is>
          <t>HAITIANOS</t>
        </is>
      </c>
      <c r="F3212" t="inlineStr"/>
      <c r="G3212" t="inlineStr">
        <is>
          <t xml:space="preserve"> MARCELDO G1 AC</t>
        </is>
      </c>
      <c r="H3212" t="inlineStr">
        <is>
          <t>POSTO DO SINE COMEÇA A CADASTRAR IMIGRANTES NO INTERIOR DO ACRE</t>
        </is>
      </c>
      <c r="I3212" t="inlineStr"/>
      <c r="J3212" t="inlineStr">
        <is>
          <t>ASSIS BRASIL, BRASILÉIA, CAPIXABA, HAITI</t>
        </is>
      </c>
      <c r="K3212" t="n">
        <v>4</v>
      </c>
      <c r="L3212" t="n">
        <v>3</v>
      </c>
      <c r="M3212" t="n">
        <v>0</v>
      </c>
      <c r="N3212" t="n">
        <v>0</v>
      </c>
      <c r="O3212" t="n">
        <v>14</v>
      </c>
      <c r="P3212">
        <f>HYPERLINK("http://g1.globo.com/ac/acre/noticia/2013/04/governo-ira-cadastrar-haitianos-no-sine-no-acre.html", "URL")</f>
        <v/>
      </c>
      <c r="Q3212">
        <f>HYPERLINK("https://raw.githubusercontent.com/marcosmapl/dataset_imigrantes/main/materias_filtered/g1/haitianos/2013/03_abr/html/g1_4d5a9ae2-230a-11ed-b24f-6dbe51e79fca_2496.html", "HTML")</f>
        <v/>
      </c>
      <c r="R3212">
        <f>HYPERLINK("https://raw.githubusercontent.com/marcosmapl/dataset_imigrantes/main/materias_filtered/g1/haitianos/2013/03_abr/txt/g1_4d5a9ae2-230a-11ed-b24f-6dbe51e79fca_2496.txt", "TXT")</f>
        <v/>
      </c>
    </row>
    <row r="3213">
      <c r="A3213" s="1" t="n">
        <v>3211</v>
      </c>
      <c r="B3213" t="n">
        <v>2013</v>
      </c>
      <c r="C3213" s="2" t="n">
        <v>41385.29166666666</v>
      </c>
      <c r="D3213" t="inlineStr">
        <is>
          <t>G1</t>
        </is>
      </c>
      <c r="E3213" t="inlineStr">
        <is>
          <t>HAITIANOS</t>
        </is>
      </c>
      <c r="F3213" t="inlineStr"/>
      <c r="G3213" t="inlineStr">
        <is>
          <t>LA HENRIQUESDO G1 AM</t>
        </is>
      </c>
      <c r="H3213" t="inlineStr">
        <is>
          <t>SEM EMPREGO NO AMAZONAS, HAITIANOS BUSCAM OUTROS ESTADOS, DIZ PASTORAL</t>
        </is>
      </c>
      <c r="I3213" t="inlineStr"/>
      <c r="J3213" t="inlineStr">
        <is>
          <t>MANAUS, AMAZONAS</t>
        </is>
      </c>
      <c r="K3213" t="n">
        <v>2</v>
      </c>
      <c r="L3213" t="n">
        <v>6</v>
      </c>
      <c r="M3213" t="n">
        <v>0</v>
      </c>
      <c r="N3213" t="n">
        <v>0</v>
      </c>
      <c r="O3213" t="n">
        <v>15</v>
      </c>
      <c r="P3213">
        <f>HYPERLINK("http://g1.globo.com/am/amazonas/noticia/2013/04/sem-emprego-no-amazonas-haitianos-buscam-outros-estados-diz-pastoral.html", "URL")</f>
        <v/>
      </c>
      <c r="Q3213">
        <f>HYPERLINK("https://raw.githubusercontent.com/marcosmapl/dataset_imigrantes/main/materias_filtered/g1/haitianos/2013/03_abr/html/g1_a0b9081e-22f5-11ed-b24f-6dbe51e79fca_1963.html", "HTML")</f>
        <v/>
      </c>
      <c r="R3213">
        <f>HYPERLINK("https://raw.githubusercontent.com/marcosmapl/dataset_imigrantes/main/materias_filtered/g1/haitianos/2013/03_abr/txt/g1_a0b9081e-22f5-11ed-b24f-6dbe51e79fca_1963.txt", "TXT")</f>
        <v/>
      </c>
    </row>
    <row r="3214">
      <c r="A3214" s="1" t="n">
        <v>3212</v>
      </c>
      <c r="B3214" t="n">
        <v>2013</v>
      </c>
      <c r="C3214" s="2" t="n">
        <v>41384.79375</v>
      </c>
      <c r="D3214" t="inlineStr">
        <is>
          <t>G1</t>
        </is>
      </c>
      <c r="E3214" t="inlineStr">
        <is>
          <t>VENEZUELANOS</t>
        </is>
      </c>
      <c r="F3214" t="inlineStr"/>
      <c r="G3214" t="inlineStr">
        <is>
          <t>FP</t>
        </is>
      </c>
      <c r="H3214" t="inlineStr">
        <is>
          <t>OPOSIÇÃO VENEZUELANA DENUNCIA PERSEGUIÇÕES E PRISÕES</t>
        </is>
      </c>
      <c r="I3214" t="inlineStr"/>
      <c r="J3214" t="inlineStr">
        <is>
          <t>HENRIQUE CAPRILES, NICOLÁS MADURO, VENEZUELA</t>
        </is>
      </c>
      <c r="K3214" t="n">
        <v>3</v>
      </c>
      <c r="L3214" t="n">
        <v>5</v>
      </c>
      <c r="M3214" t="n">
        <v>0</v>
      </c>
      <c r="N3214" t="n">
        <v>0</v>
      </c>
      <c r="O3214" t="n">
        <v>12</v>
      </c>
      <c r="P3214">
        <f>HYPERLINK("http://g1.globo.com/mundo/noticia/2013/04/oposicao-venezuelana-denuncia-perseguicoes-e-prisoes.html", "URL")</f>
        <v/>
      </c>
      <c r="Q3214">
        <f>HYPERLINK("https://raw.githubusercontent.com/marcosmapl/dataset_imigrantes/main/materias_filtered/g1/venezuelanos/2013/03_abr/html/g1_318c4fae-2314-11ed-b24f-6dbe51e79fca_3051.html", "HTML")</f>
        <v/>
      </c>
      <c r="R3214">
        <f>HYPERLINK("https://raw.githubusercontent.com/marcosmapl/dataset_imigrantes/main/materias_filtered/g1/venezuelanos/2013/03_abr/txt/g1_318c4fae-2314-11ed-b24f-6dbe51e79fca_3051.txt", "TXT")</f>
        <v/>
      </c>
    </row>
    <row r="3215">
      <c r="A3215" s="1" t="n">
        <v>3213</v>
      </c>
      <c r="B3215" t="n">
        <v>2013</v>
      </c>
      <c r="C3215" s="2" t="n">
        <v>41383.72916666666</v>
      </c>
      <c r="D3215" t="inlineStr">
        <is>
          <t>G1</t>
        </is>
      </c>
      <c r="E3215" t="inlineStr">
        <is>
          <t>VENEZUELANOS</t>
        </is>
      </c>
      <c r="F3215" t="inlineStr"/>
      <c r="G3215" t="inlineStr">
        <is>
          <t>CE PRESSE</t>
        </is>
      </c>
      <c r="H3215" t="inlineStr">
        <is>
          <t>MADURO PEDE DIÁLOGO À OPOSIÇÃO VENEZUELANA</t>
        </is>
      </c>
      <c r="I3215" t="inlineStr"/>
      <c r="J3215" t="inlineStr"/>
      <c r="K3215" t="n">
        <v>0</v>
      </c>
      <c r="L3215" t="n">
        <v>1</v>
      </c>
      <c r="M3215" t="n">
        <v>0</v>
      </c>
      <c r="N3215" t="n">
        <v>0</v>
      </c>
      <c r="O3215" t="n">
        <v>4</v>
      </c>
      <c r="P3215">
        <f>HYPERLINK("http://g1.globo.com/mundo/noticia/2013/04/maduro-pede-dialogo-a-oposicao-venezuelana.html", "URL")</f>
        <v/>
      </c>
      <c r="Q3215">
        <f>HYPERLINK("https://raw.githubusercontent.com/marcosmapl/dataset_imigrantes/main/materias_filtered/g1/venezuelanos/2013/03_abr/html/g1_96939e6c-2318-11ed-b24f-6dbe51e79fca_3268.html", "HTML")</f>
        <v/>
      </c>
      <c r="R3215">
        <f>HYPERLINK("https://raw.githubusercontent.com/marcosmapl/dataset_imigrantes/main/materias_filtered/g1/venezuelanos/2013/03_abr/txt/g1_96939e6c-2318-11ed-b24f-6dbe51e79fca_3268.txt", "TXT")</f>
        <v/>
      </c>
    </row>
    <row r="3216">
      <c r="A3216" s="1" t="n">
        <v>3214</v>
      </c>
      <c r="B3216" t="n">
        <v>2013</v>
      </c>
      <c r="C3216" s="2" t="n">
        <v>41383.58375</v>
      </c>
      <c r="D3216" t="inlineStr">
        <is>
          <t>A CRITICA</t>
        </is>
      </c>
      <c r="E3216" t="inlineStr">
        <is>
          <t>VENEZUELANOS</t>
        </is>
      </c>
      <c r="F3216" t="inlineStr">
        <is>
          <t>ENTRETENIMENTO</t>
        </is>
      </c>
      <c r="G3216" t="inlineStr">
        <is>
          <t>RAFAEL SEIXAS</t>
        </is>
      </c>
      <c r="H3216" t="inlineStr">
        <is>
          <t>CONFIRA ALGUMAS EMPRESAS QUE OFERECEM SERVIÇOS EM SUA CASA</t>
        </is>
      </c>
      <c r="I3216" t="inlineStr">
        <is>
          <t>AS EMPRESAS CONTAM COM UMA VARIEDADE DE BEBIDAS COMO CERVEJAS, VINHOS, WHISKIES, VODKAS E ESPUMANTES, ENTREGANDO EM DOMICÍLIO</t>
        </is>
      </c>
      <c r="J3216" t="inlineStr"/>
      <c r="K3216" t="n">
        <v>0</v>
      </c>
      <c r="L3216" t="n">
        <v>1</v>
      </c>
      <c r="M3216" t="n">
        <v>0</v>
      </c>
      <c r="N3216" t="n">
        <v>0</v>
      </c>
      <c r="O3216" t="n">
        <v>1</v>
      </c>
      <c r="P3216">
        <f>HYPERLINK("https://www.acritica.com/entretenimento/confira-algumas-empresas-que-oferecem-servicos-em-sua-casa-1.133804", "URL")</f>
        <v/>
      </c>
      <c r="Q3216">
        <f>HYPERLINK("https://raw.githubusercontent.com/marcosmapl/dataset_imigrantes/main/materias_filtered/a_critica/venezuelanos/2013/03_abr/html/1.133804_168.html", "HTML")</f>
        <v/>
      </c>
      <c r="R3216">
        <f>HYPERLINK("https://raw.githubusercontent.com/marcosmapl/dataset_imigrantes/main/materias_filtered/a_critica/venezuelanos/2013/03_abr/txt/1.133804_168.txt", "TXT")</f>
        <v/>
      </c>
    </row>
    <row r="3217">
      <c r="A3217" s="1" t="n">
        <v>3215</v>
      </c>
      <c r="B3217" t="n">
        <v>2013</v>
      </c>
      <c r="C3217" s="2" t="n">
        <v>41383.45763888889</v>
      </c>
      <c r="D3217" t="inlineStr">
        <is>
          <t>G1</t>
        </is>
      </c>
      <c r="E3217" t="inlineStr">
        <is>
          <t>HAITIANOS</t>
        </is>
      </c>
      <c r="F3217" t="inlineStr"/>
      <c r="G3217" t="inlineStr">
        <is>
          <t xml:space="preserve"> MARCELDO G1 AC</t>
        </is>
      </c>
      <c r="H3217" t="inlineStr">
        <is>
          <t>MINISTÉRIO REPASSA R$ 784 MIL PARA ASSISTÊNCIA AOS HAITIANOS NO AC</t>
        </is>
      </c>
      <c r="I3217" t="inlineStr"/>
      <c r="J3217" t="inlineStr">
        <is>
          <t>BRASILÉIA, HAITI</t>
        </is>
      </c>
      <c r="K3217" t="n">
        <v>2</v>
      </c>
      <c r="L3217" t="n">
        <v>5</v>
      </c>
      <c r="M3217" t="n">
        <v>0</v>
      </c>
      <c r="N3217" t="n">
        <v>0</v>
      </c>
      <c r="O3217" t="n">
        <v>13</v>
      </c>
      <c r="P3217">
        <f>HYPERLINK("http://g1.globo.com/ac/acre/noticia/2013/04/ministerio-repassa-r-784-mil-para-assistencia-aos-haitianos-no-ac.html", "URL")</f>
        <v/>
      </c>
      <c r="Q3217">
        <f>HYPERLINK("https://raw.githubusercontent.com/marcosmapl/dataset_imigrantes/main/materias_filtered/g1/haitianos/2013/03_abr/html/g1_3d7975d4-22f2-11ed-b24f-6dbe51e79fca_1786.html", "HTML")</f>
        <v/>
      </c>
      <c r="R3217">
        <f>HYPERLINK("https://raw.githubusercontent.com/marcosmapl/dataset_imigrantes/main/materias_filtered/g1/haitianos/2013/03_abr/txt/g1_3d7975d4-22f2-11ed-b24f-6dbe51e79fca_1786.txt", "TXT")</f>
        <v/>
      </c>
    </row>
    <row r="3218">
      <c r="A3218" s="1" t="n">
        <v>3216</v>
      </c>
      <c r="B3218" t="n">
        <v>2013</v>
      </c>
      <c r="C3218" s="2" t="n">
        <v>41382.75347222222</v>
      </c>
      <c r="D3218" t="inlineStr">
        <is>
          <t>G1</t>
        </is>
      </c>
      <c r="E3218" t="inlineStr">
        <is>
          <t>HAITIANOS</t>
        </is>
      </c>
      <c r="F3218" t="inlineStr"/>
      <c r="G3218" t="inlineStr">
        <is>
          <t>1 NORTE FLUMINENSE</t>
        </is>
      </c>
      <c r="H3218" t="inlineStr">
        <is>
          <t>OPERÁRIO HAITIANO CAI DE ANDAIME DE 10 METROS NO AEROPORTO DE MACAÉ, RJ</t>
        </is>
      </c>
      <c r="I3218" t="inlineStr"/>
      <c r="J3218" t="inlineStr">
        <is>
          <t>MACAÉ</t>
        </is>
      </c>
      <c r="K3218" t="n">
        <v>1</v>
      </c>
      <c r="L3218" t="n">
        <v>2</v>
      </c>
      <c r="M3218" t="n">
        <v>0</v>
      </c>
      <c r="N3218" t="n">
        <v>0</v>
      </c>
      <c r="O3218" t="n">
        <v>9</v>
      </c>
      <c r="P3218">
        <f>HYPERLINK("http://g1.globo.com/rj/serra-lagos-norte/noticia/2013/04/operario-haitiano-cai-de-andaime-de-10-metros-no-aeroporto-de-macae-rj.html", "URL")</f>
        <v/>
      </c>
      <c r="Q3218">
        <f>HYPERLINK("https://raw.githubusercontent.com/marcosmapl/dataset_imigrantes/main/materias_filtered/g1/haitianos/2013/03_abr/html/g1_6c8d3ec8-2306-11ed-b24f-6dbe51e79fca_2258.html", "HTML")</f>
        <v/>
      </c>
      <c r="R3218">
        <f>HYPERLINK("https://raw.githubusercontent.com/marcosmapl/dataset_imigrantes/main/materias_filtered/g1/haitianos/2013/03_abr/txt/g1_6c8d3ec8-2306-11ed-b24f-6dbe51e79fca_2258.txt", "TXT")</f>
        <v/>
      </c>
    </row>
    <row r="3219">
      <c r="A3219" s="1" t="n">
        <v>3217</v>
      </c>
      <c r="B3219" t="n">
        <v>2013</v>
      </c>
      <c r="C3219" s="2" t="n">
        <v>41381.95555555556</v>
      </c>
      <c r="D3219" t="inlineStr">
        <is>
          <t>G1</t>
        </is>
      </c>
      <c r="E3219" t="inlineStr">
        <is>
          <t>HAITIANOS</t>
        </is>
      </c>
      <c r="F3219" t="inlineStr"/>
      <c r="G3219" t="inlineStr">
        <is>
          <t>1 AC</t>
        </is>
      </c>
      <c r="H3219" t="inlineStr">
        <is>
          <t>SITUAÇÃO DE HAITIANOS EM BRASILÉIA É REGULARIZADA</t>
        </is>
      </c>
      <c r="I3219" t="inlineStr"/>
      <c r="J3219" t="inlineStr">
        <is>
          <t>BRASILÉIA, RIO BRANCO, ACRE</t>
        </is>
      </c>
      <c r="K3219" t="n">
        <v>3</v>
      </c>
      <c r="L3219" t="n">
        <v>5</v>
      </c>
      <c r="M3219" t="n">
        <v>0</v>
      </c>
      <c r="N3219" t="n">
        <v>0</v>
      </c>
      <c r="O3219" t="n">
        <v>15</v>
      </c>
      <c r="P3219">
        <f>HYPERLINK("http://g1.globo.com/ac/acre/noticia/2013/04/forca-tarefa-regulariza-situacao-de-todos-os-haitianos-que-estao-no-ac.html", "URL")</f>
        <v/>
      </c>
      <c r="Q3219">
        <f>HYPERLINK("https://raw.githubusercontent.com/marcosmapl/dataset_imigrantes/main/materias_filtered/g1/haitianos/2013/03_abr/html/g1_0c706ba4-22f8-11ed-b24f-6dbe51e79fca_2113.html", "HTML")</f>
        <v/>
      </c>
      <c r="R3219">
        <f>HYPERLINK("https://raw.githubusercontent.com/marcosmapl/dataset_imigrantes/main/materias_filtered/g1/haitianos/2013/03_abr/txt/g1_0c706ba4-22f8-11ed-b24f-6dbe51e79fca_2113.txt", "TXT")</f>
        <v/>
      </c>
    </row>
    <row r="3220">
      <c r="A3220" s="1" t="n">
        <v>3218</v>
      </c>
      <c r="B3220" t="n">
        <v>2013</v>
      </c>
      <c r="C3220" s="2" t="n">
        <v>41380.94375</v>
      </c>
      <c r="D3220" t="inlineStr">
        <is>
          <t>G1</t>
        </is>
      </c>
      <c r="E3220" t="inlineStr">
        <is>
          <t>VENEZUELANOS</t>
        </is>
      </c>
      <c r="F3220" t="inlineStr"/>
      <c r="G3220" t="inlineStr">
        <is>
          <t>CE PRESSE</t>
        </is>
      </c>
      <c r="H3220" t="inlineStr">
        <is>
          <t>PRINCIPAIS IRREGULARIDADES DENUNCIADAS POR CAPRILES NAS ELEIÇÕES VENEZUELANAS</t>
        </is>
      </c>
      <c r="I3220" t="inlineStr"/>
      <c r="J3220" t="inlineStr"/>
      <c r="K3220" t="n">
        <v>0</v>
      </c>
      <c r="L3220" t="n">
        <v>1</v>
      </c>
      <c r="M3220" t="n">
        <v>0</v>
      </c>
      <c r="N3220" t="n">
        <v>0</v>
      </c>
      <c r="O3220" t="n">
        <v>4</v>
      </c>
      <c r="P3220">
        <f>HYPERLINK("http://g1.globo.com/mundo/noticia/2013/04/principais-irregularidades-denunciadas-por-capriles-nas-eleicoes-venezuelanas.html", "URL")</f>
        <v/>
      </c>
      <c r="Q3220">
        <f>HYPERLINK("https://raw.githubusercontent.com/marcosmapl/dataset_imigrantes/main/materias_filtered/g1/venezuelanos/2013/03_abr/html/g1_691121ea-2312-11ed-b24f-6dbe51e79fca_2966.html", "HTML")</f>
        <v/>
      </c>
      <c r="R3220">
        <f>HYPERLINK("https://raw.githubusercontent.com/marcosmapl/dataset_imigrantes/main/materias_filtered/g1/venezuelanos/2013/03_abr/txt/g1_691121ea-2312-11ed-b24f-6dbe51e79fca_2966.txt", "TXT")</f>
        <v/>
      </c>
    </row>
    <row r="3221">
      <c r="A3221" s="1" t="n">
        <v>3219</v>
      </c>
      <c r="B3221" t="n">
        <v>2013</v>
      </c>
      <c r="C3221" s="2" t="n">
        <v>41380.79930555556</v>
      </c>
      <c r="D3221" t="inlineStr">
        <is>
          <t>G1</t>
        </is>
      </c>
      <c r="E3221" t="inlineStr">
        <is>
          <t>HAITIANOS</t>
        </is>
      </c>
      <c r="F3221" t="inlineStr"/>
      <c r="G3221" t="inlineStr">
        <is>
          <t>1 MT</t>
        </is>
      </c>
      <c r="H3221" t="inlineStr">
        <is>
          <t>COPA DE 2014 GERA AUMENTO NA OFERTA DE EMPREGO E ATRAI HAITIANOS A CUIABÁ</t>
        </is>
      </c>
      <c r="I3221" t="inlineStr"/>
      <c r="J3221" t="inlineStr">
        <is>
          <t>ALAGOAS, EQUADOR, MATO GROSSO, PERNAMBUCO, REPÚBLICA DOMINICANA, CUIABÁ</t>
        </is>
      </c>
      <c r="K3221" t="n">
        <v>6</v>
      </c>
      <c r="L3221" t="n">
        <v>3</v>
      </c>
      <c r="M3221" t="n">
        <v>0</v>
      </c>
      <c r="N3221" t="n">
        <v>0</v>
      </c>
      <c r="O3221" t="n">
        <v>20</v>
      </c>
      <c r="P3221">
        <f>HYPERLINK("http://g1.globo.com/mato-grosso/noticia/2013/04/copa-de-2014-gera-aumento-na-oferta-de-emprego-e-atrai-haitianos-cuiaba.html", "URL")</f>
        <v/>
      </c>
      <c r="Q3221">
        <f>HYPERLINK("https://raw.githubusercontent.com/marcosmapl/dataset_imigrantes/main/materias_filtered/g1/haitianos/2013/03_abr/html/g1_ecd221a4-22fa-11ed-b24f-6dbe51e79fca_2251.html", "HTML")</f>
        <v/>
      </c>
      <c r="R3221">
        <f>HYPERLINK("https://raw.githubusercontent.com/marcosmapl/dataset_imigrantes/main/materias_filtered/g1/haitianos/2013/03_abr/txt/g1_ecd221a4-22fa-11ed-b24f-6dbe51e79fca_2251.txt", "TXT")</f>
        <v/>
      </c>
    </row>
    <row r="3222">
      <c r="A3222" s="1" t="n">
        <v>3220</v>
      </c>
      <c r="B3222" t="n">
        <v>2013</v>
      </c>
      <c r="C3222" s="2" t="n">
        <v>41380.68819444445</v>
      </c>
      <c r="D3222" t="inlineStr">
        <is>
          <t>G1</t>
        </is>
      </c>
      <c r="E3222" t="inlineStr">
        <is>
          <t>HAITIANOS</t>
        </is>
      </c>
      <c r="F3222" t="inlineStr"/>
      <c r="G3222" t="inlineStr">
        <is>
          <t>ANA RIBEIRODO G1 AC</t>
        </is>
      </c>
      <c r="H3222" t="inlineStr">
        <is>
          <t>DSTS NÃO SÃO FREQUENTES EM HAITIANOS, DIZ COORDENADOR DE SAÚDE</t>
        </is>
      </c>
      <c r="I3222" t="inlineStr"/>
      <c r="J3222" t="inlineStr">
        <is>
          <t>BRASILÉIA, EPITACIOLÂNDIA</t>
        </is>
      </c>
      <c r="K3222" t="n">
        <v>2</v>
      </c>
      <c r="L3222" t="n">
        <v>4</v>
      </c>
      <c r="M3222" t="n">
        <v>0</v>
      </c>
      <c r="N3222" t="n">
        <v>0</v>
      </c>
      <c r="O3222" t="n">
        <v>12</v>
      </c>
      <c r="P3222">
        <f>HYPERLINK("http://g1.globo.com/ac/acre/noticia/2013/04/dsts-nao-sao-frequentes-em-haitianos-diz-coordenador-de-saude.html", "URL")</f>
        <v/>
      </c>
      <c r="Q3222">
        <f>HYPERLINK("https://raw.githubusercontent.com/marcosmapl/dataset_imigrantes/main/materias_filtered/g1/haitianos/2013/03_abr/html/g1_f7b94e5a-22f3-11ed-b24f-6dbe51e79fca_1867.html", "HTML")</f>
        <v/>
      </c>
      <c r="R3222">
        <f>HYPERLINK("https://raw.githubusercontent.com/marcosmapl/dataset_imigrantes/main/materias_filtered/g1/haitianos/2013/03_abr/txt/g1_f7b94e5a-22f3-11ed-b24f-6dbe51e79fca_1867.txt", "TXT")</f>
        <v/>
      </c>
    </row>
    <row r="3223">
      <c r="A3223" s="1" t="n">
        <v>3221</v>
      </c>
      <c r="B3223" t="n">
        <v>2013</v>
      </c>
      <c r="C3223" s="2" t="n">
        <v>41379.82083333333</v>
      </c>
      <c r="D3223" t="inlineStr">
        <is>
          <t>G1</t>
        </is>
      </c>
      <c r="E3223" t="inlineStr">
        <is>
          <t>VENEZUELANOS</t>
        </is>
      </c>
      <c r="F3223" t="inlineStr"/>
      <c r="G3223" t="inlineStr">
        <is>
          <t>CE PRESSE</t>
        </is>
      </c>
      <c r="H3223" t="inlineStr">
        <is>
          <t>MADURO ACUSA OPOSIÇÃO VENEZUELANA DE 'GOLPISMO'</t>
        </is>
      </c>
      <c r="I3223" t="inlineStr"/>
      <c r="J3223" t="inlineStr"/>
      <c r="K3223" t="n">
        <v>0</v>
      </c>
      <c r="L3223" t="n">
        <v>1</v>
      </c>
      <c r="M3223" t="n">
        <v>0</v>
      </c>
      <c r="N3223" t="n">
        <v>0</v>
      </c>
      <c r="O3223" t="n">
        <v>4</v>
      </c>
      <c r="P3223">
        <f>HYPERLINK("http://g1.globo.com/mundo/noticia/2013/04/maduro-acusa-oposicao-venezuelana-de-golpismo-2.html", "URL")</f>
        <v/>
      </c>
      <c r="Q3223">
        <f>HYPERLINK("https://raw.githubusercontent.com/marcosmapl/dataset_imigrantes/main/materias_filtered/g1/venezuelanos/2013/03_abr/html/g1_71733d86-2327-11ed-b24f-6dbe51e79fca_4035.html", "HTML")</f>
        <v/>
      </c>
      <c r="R3223">
        <f>HYPERLINK("https://raw.githubusercontent.com/marcosmapl/dataset_imigrantes/main/materias_filtered/g1/venezuelanos/2013/03_abr/txt/g1_71733d86-2327-11ed-b24f-6dbe51e79fca_4035.txt", "TXT")</f>
        <v/>
      </c>
    </row>
    <row r="3224">
      <c r="A3224" s="1" t="n">
        <v>3222</v>
      </c>
      <c r="B3224" t="n">
        <v>2013</v>
      </c>
      <c r="C3224" s="2" t="n">
        <v>41379.81458333333</v>
      </c>
      <c r="D3224" t="inlineStr">
        <is>
          <t>G1</t>
        </is>
      </c>
      <c r="E3224" t="inlineStr">
        <is>
          <t>VENEZUELANOS</t>
        </is>
      </c>
      <c r="F3224" t="inlineStr"/>
      <c r="G3224" t="inlineStr">
        <is>
          <t>CE PRESSE</t>
        </is>
      </c>
      <c r="H3224" t="inlineStr">
        <is>
          <t>MADURO ACUSA OPOSIÇÃO VENEZUELANA DE 'GOLPISMO'</t>
        </is>
      </c>
      <c r="I3224" t="inlineStr"/>
      <c r="J3224" t="inlineStr"/>
      <c r="K3224" t="n">
        <v>0</v>
      </c>
      <c r="L3224" t="n">
        <v>1</v>
      </c>
      <c r="M3224" t="n">
        <v>0</v>
      </c>
      <c r="N3224" t="n">
        <v>0</v>
      </c>
      <c r="O3224" t="n">
        <v>4</v>
      </c>
      <c r="P3224">
        <f>HYPERLINK("http://g1.globo.com/mundo/noticia/2013/04/maduro-acusa-oposicao-venezuelana-de-golpismo-1.html", "URL")</f>
        <v/>
      </c>
      <c r="Q3224">
        <f>HYPERLINK("https://raw.githubusercontent.com/marcosmapl/dataset_imigrantes/main/materias_filtered/g1/venezuelanos/2013/03_abr/html/g1_3e1a7bc4-2328-11ed-b24f-6dbe51e79fca_4069.html", "HTML")</f>
        <v/>
      </c>
      <c r="R3224">
        <f>HYPERLINK("https://raw.githubusercontent.com/marcosmapl/dataset_imigrantes/main/materias_filtered/g1/venezuelanos/2013/03_abr/txt/g1_3e1a7bc4-2328-11ed-b24f-6dbe51e79fca_4069.txt", "TXT")</f>
        <v/>
      </c>
    </row>
    <row r="3225">
      <c r="A3225" s="1" t="n">
        <v>3223</v>
      </c>
      <c r="B3225" t="n">
        <v>2013</v>
      </c>
      <c r="C3225" s="2" t="n">
        <v>41379.80833333333</v>
      </c>
      <c r="D3225" t="inlineStr">
        <is>
          <t>G1</t>
        </is>
      </c>
      <c r="E3225" t="inlineStr">
        <is>
          <t>VENEZUELANOS</t>
        </is>
      </c>
      <c r="F3225" t="inlineStr"/>
      <c r="G3225" t="inlineStr">
        <is>
          <t>CE PRESSE</t>
        </is>
      </c>
      <c r="H3225" t="inlineStr">
        <is>
          <t>MADURO ACUSA OPOSIÇÃO VENEZUELANA DE 'GOLPISMO'</t>
        </is>
      </c>
      <c r="I3225" t="inlineStr"/>
      <c r="J3225" t="inlineStr"/>
      <c r="K3225" t="n">
        <v>0</v>
      </c>
      <c r="L3225" t="n">
        <v>1</v>
      </c>
      <c r="M3225" t="n">
        <v>0</v>
      </c>
      <c r="N3225" t="n">
        <v>0</v>
      </c>
      <c r="O3225" t="n">
        <v>4</v>
      </c>
      <c r="P3225">
        <f>HYPERLINK("http://g1.globo.com/mundo/noticia/2013/04/maduro-acusa-oposicao-venezuelana-de-golpismo.html", "URL")</f>
        <v/>
      </c>
      <c r="Q3225">
        <f>HYPERLINK("https://raw.githubusercontent.com/marcosmapl/dataset_imigrantes/main/materias_filtered/g1/venezuelanos/2013/03_abr/html/g1_e687f324-2312-11ed-b24f-6dbe51e79fca_2982.html", "HTML")</f>
        <v/>
      </c>
      <c r="R3225">
        <f>HYPERLINK("https://raw.githubusercontent.com/marcosmapl/dataset_imigrantes/main/materias_filtered/g1/venezuelanos/2013/03_abr/txt/g1_e687f324-2312-11ed-b24f-6dbe51e79fca_2982.txt", "TXT")</f>
        <v/>
      </c>
    </row>
    <row r="3226">
      <c r="A3226" s="1" t="n">
        <v>3224</v>
      </c>
      <c r="B3226" t="n">
        <v>2013</v>
      </c>
      <c r="C3226" s="2" t="n">
        <v>41379.68333333333</v>
      </c>
      <c r="D3226" t="inlineStr">
        <is>
          <t>G1</t>
        </is>
      </c>
      <c r="E3226" t="inlineStr">
        <is>
          <t>HAITIANOS</t>
        </is>
      </c>
      <c r="F3226" t="inlineStr"/>
      <c r="G3226" t="inlineStr">
        <is>
          <t>ALIA PASSARINHODO G1, EM BRASÍLIA</t>
        </is>
      </c>
      <c r="H3226" t="inlineStr">
        <is>
          <t>BRASIL ESTUDA COMO CONTER ENTRADA ILEGAL DE HAITIANOS, DIZ PATRIOTA</t>
        </is>
      </c>
      <c r="I3226" t="inlineStr"/>
      <c r="J3226" t="inlineStr">
        <is>
          <t>BRASILÉIA, EPITACIOLÂNDIA, ACRE, ANTÔNIO PATRIOTA, MINISTÉRIO DA JUSTIÇA, MINISTÉRIO DO TRABALHO, PT, TIÃO VIANA, TIÃO VIANA</t>
        </is>
      </c>
      <c r="K3226" t="n">
        <v>9</v>
      </c>
      <c r="L3226" t="n">
        <v>4</v>
      </c>
      <c r="M3226" t="n">
        <v>0</v>
      </c>
      <c r="N3226" t="n">
        <v>0</v>
      </c>
      <c r="O3226" t="n">
        <v>21</v>
      </c>
      <c r="P3226">
        <f>HYPERLINK("http://g1.globo.com/ac/acre/noticia/2013/04/brasil-estuda-como-conter-entrada-ilegal-de-haitianos-diz-patriota.html", "URL")</f>
        <v/>
      </c>
      <c r="Q3226">
        <f>HYPERLINK("https://raw.githubusercontent.com/marcosmapl/dataset_imigrantes/main/materias_filtered/g1/haitianos/2013/03_abr/html/g1_e018e302-22f1-11ed-b24f-6dbe51e79fca_1769.html", "HTML")</f>
        <v/>
      </c>
      <c r="R3226">
        <f>HYPERLINK("https://raw.githubusercontent.com/marcosmapl/dataset_imigrantes/main/materias_filtered/g1/haitianos/2013/03_abr/txt/g1_e018e302-22f1-11ed-b24f-6dbe51e79fca_1769.txt", "TXT")</f>
        <v/>
      </c>
    </row>
    <row r="3227">
      <c r="A3227" s="1" t="n">
        <v>3225</v>
      </c>
      <c r="B3227" t="n">
        <v>2013</v>
      </c>
      <c r="C3227" s="2" t="n">
        <v>41379.675</v>
      </c>
      <c r="D3227" t="inlineStr">
        <is>
          <t>G1</t>
        </is>
      </c>
      <c r="E3227" t="inlineStr">
        <is>
          <t>VENEZUELANOS</t>
        </is>
      </c>
      <c r="F3227" t="inlineStr"/>
      <c r="G3227" t="inlineStr">
        <is>
          <t>ERS</t>
        </is>
      </c>
      <c r="H3227" t="inlineStr">
        <is>
          <t>OPOSIÇÃO VENEZUELANA SÓ RECONHECERÁ RESULTADO APÓS CONTAGEM "VOTO A VOTO"</t>
        </is>
      </c>
      <c r="I3227" t="inlineStr"/>
      <c r="J3227" t="inlineStr"/>
      <c r="K3227" t="n">
        <v>0</v>
      </c>
      <c r="L3227" t="n">
        <v>1</v>
      </c>
      <c r="M3227" t="n">
        <v>0</v>
      </c>
      <c r="N3227" t="n">
        <v>0</v>
      </c>
      <c r="O3227" t="n">
        <v>4</v>
      </c>
      <c r="P3227">
        <f>HYPERLINK("http://g1.globo.com/mundo/noticia/2013/04/oposicao-venezuelana-so-reconhecera-resultado-apos-contagem-voto-a-voto-1.html", "URL")</f>
        <v/>
      </c>
      <c r="Q3227">
        <f>HYPERLINK("https://raw.githubusercontent.com/marcosmapl/dataset_imigrantes/main/materias_filtered/g1/venezuelanos/2013/03_abr/html/g1_db12812a-2327-11ed-b24f-6dbe51e79fca_4052.html", "HTML")</f>
        <v/>
      </c>
      <c r="R3227">
        <f>HYPERLINK("https://raw.githubusercontent.com/marcosmapl/dataset_imigrantes/main/materias_filtered/g1/venezuelanos/2013/03_abr/txt/g1_db12812a-2327-11ed-b24f-6dbe51e79fca_4052.txt", "TXT")</f>
        <v/>
      </c>
    </row>
    <row r="3228">
      <c r="A3228" s="1" t="n">
        <v>3226</v>
      </c>
      <c r="B3228" t="n">
        <v>2013</v>
      </c>
      <c r="C3228" s="2" t="n">
        <v>41377.66875</v>
      </c>
      <c r="D3228" t="inlineStr">
        <is>
          <t>G1</t>
        </is>
      </c>
      <c r="E3228" t="inlineStr">
        <is>
          <t>VENEZUELANOS</t>
        </is>
      </c>
      <c r="F3228" t="inlineStr"/>
      <c r="G3228" t="inlineStr">
        <is>
          <t>CE PRESSE</t>
        </is>
      </c>
      <c r="H3228" t="inlineStr">
        <is>
          <t>MADURO DENUNCIA 'GUERRA SUJA' NA ELEIÇÃO VENEZUELANA</t>
        </is>
      </c>
      <c r="I3228" t="inlineStr"/>
      <c r="J3228" t="inlineStr"/>
      <c r="K3228" t="n">
        <v>0</v>
      </c>
      <c r="L3228" t="n">
        <v>1</v>
      </c>
      <c r="M3228" t="n">
        <v>0</v>
      </c>
      <c r="N3228" t="n">
        <v>0</v>
      </c>
      <c r="O3228" t="n">
        <v>4</v>
      </c>
      <c r="P3228">
        <f>HYPERLINK("http://g1.globo.com/mundo/noticia/2013/04/maduro-denuncia-guerra-suja-na-eleicao-venezuelana.html", "URL")</f>
        <v/>
      </c>
      <c r="Q3228">
        <f>HYPERLINK("https://raw.githubusercontent.com/marcosmapl/dataset_imigrantes/main/materias_filtered/g1/venezuelanos/2013/03_abr/html/g1_e719a430-2313-11ed-b24f-6dbe51e79fca_3034.html", "HTML")</f>
        <v/>
      </c>
      <c r="R3228">
        <f>HYPERLINK("https://raw.githubusercontent.com/marcosmapl/dataset_imigrantes/main/materias_filtered/g1/venezuelanos/2013/03_abr/txt/g1_e719a430-2313-11ed-b24f-6dbe51e79fca_3034.txt", "TXT")</f>
        <v/>
      </c>
    </row>
    <row r="3229">
      <c r="A3229" s="1" t="n">
        <v>3227</v>
      </c>
      <c r="B3229" t="n">
        <v>2013</v>
      </c>
      <c r="C3229" s="2" t="n">
        <v>41376.82708333333</v>
      </c>
      <c r="D3229" t="inlineStr">
        <is>
          <t>G1</t>
        </is>
      </c>
      <c r="E3229" t="inlineStr">
        <is>
          <t>VENEZUELANOS</t>
        </is>
      </c>
      <c r="F3229" t="inlineStr"/>
      <c r="G3229" t="inlineStr">
        <is>
          <t>ERS</t>
        </is>
      </c>
      <c r="H3229" t="inlineStr">
        <is>
          <t>SITUAÇÃO DE PRESOS E EXILADOS SOME DA CAMPANHA ELEITORAL VENEZUELANA</t>
        </is>
      </c>
      <c r="I3229" t="inlineStr"/>
      <c r="J3229" t="inlineStr"/>
      <c r="K3229" t="n">
        <v>0</v>
      </c>
      <c r="L3229" t="n">
        <v>1</v>
      </c>
      <c r="M3229" t="n">
        <v>0</v>
      </c>
      <c r="N3229" t="n">
        <v>0</v>
      </c>
      <c r="O3229" t="n">
        <v>4</v>
      </c>
      <c r="P3229">
        <f>HYPERLINK("http://g1.globo.com/mundo/noticia/2013/04/situacao-de-presos-e-exilados-some-da-campanha-eleitoral-venezuelana.html", "URL")</f>
        <v/>
      </c>
      <c r="Q3229">
        <f>HYPERLINK("https://raw.githubusercontent.com/marcosmapl/dataset_imigrantes/main/materias_filtered/g1/venezuelanos/2013/03_abr/html/g1_0167e7de-2328-11ed-b24f-6dbe51e79fca_4059.html", "HTML")</f>
        <v/>
      </c>
      <c r="R3229">
        <f>HYPERLINK("https://raw.githubusercontent.com/marcosmapl/dataset_imigrantes/main/materias_filtered/g1/venezuelanos/2013/03_abr/txt/g1_0167e7de-2328-11ed-b24f-6dbe51e79fca_4059.txt", "TXT")</f>
        <v/>
      </c>
    </row>
    <row r="3230">
      <c r="A3230" s="1" t="n">
        <v>3228</v>
      </c>
      <c r="B3230" t="n">
        <v>2013</v>
      </c>
      <c r="C3230" s="2" t="n">
        <v>41376.76736111111</v>
      </c>
      <c r="D3230" t="inlineStr">
        <is>
          <t>G1</t>
        </is>
      </c>
      <c r="E3230" t="inlineStr">
        <is>
          <t>HAITIANOS</t>
        </is>
      </c>
      <c r="F3230" t="inlineStr"/>
      <c r="G3230" t="inlineStr">
        <is>
          <t>ANA RIBEIRODO G1 AC</t>
        </is>
      </c>
      <c r="H3230" t="inlineStr">
        <is>
          <t>FORÇA-TAREFA CHEGA AO AC PARA ACOMPANHAR SITUAÇÃO DE HAITIANOS</t>
        </is>
      </c>
      <c r="I3230" t="inlineStr"/>
      <c r="J3230" t="inlineStr">
        <is>
          <t>BRASILÉIA, EPITACIOLÂNDIA, MINISTÉRIO DA JUSTIÇA</t>
        </is>
      </c>
      <c r="K3230" t="n">
        <v>3</v>
      </c>
      <c r="L3230" t="n">
        <v>6</v>
      </c>
      <c r="M3230" t="n">
        <v>0</v>
      </c>
      <c r="N3230" t="n">
        <v>0</v>
      </c>
      <c r="O3230" t="n">
        <v>14</v>
      </c>
      <c r="P3230">
        <f>HYPERLINK("http://g1.globo.com/ac/acre/noticia/2013/04/forca-tarefa-chega-ao-ac-para-acompanhar-situacao-de-haitianos.html", "URL")</f>
        <v/>
      </c>
      <c r="Q3230">
        <f>HYPERLINK("https://raw.githubusercontent.com/marcosmapl/dataset_imigrantes/main/materias_filtered/g1/haitianos/2013/03_abr/html/g1_f07fb9d6-22f7-11ed-b24f-6dbe51e79fca_2106.html", "HTML")</f>
        <v/>
      </c>
      <c r="R3230">
        <f>HYPERLINK("https://raw.githubusercontent.com/marcosmapl/dataset_imigrantes/main/materias_filtered/g1/haitianos/2013/03_abr/txt/g1_f07fb9d6-22f7-11ed-b24f-6dbe51e79fca_2106.txt", "TXT")</f>
        <v/>
      </c>
    </row>
    <row r="3231">
      <c r="A3231" s="1" t="n">
        <v>3229</v>
      </c>
      <c r="B3231" t="n">
        <v>2013</v>
      </c>
      <c r="C3231" s="2" t="n">
        <v>41376.72083333333</v>
      </c>
      <c r="D3231" t="inlineStr">
        <is>
          <t>G1</t>
        </is>
      </c>
      <c r="E3231" t="inlineStr">
        <is>
          <t>VENEZUELANOS</t>
        </is>
      </c>
      <c r="F3231" t="inlineStr"/>
      <c r="G3231" t="inlineStr">
        <is>
          <t>CE PRESSE</t>
        </is>
      </c>
      <c r="H3231" t="inlineStr">
        <is>
          <t>OS DESAFIOS DA PETRODIPLOMACIA VENEZUELANA NA ERA PÓS-CHÁVEZ</t>
        </is>
      </c>
      <c r="I3231" t="inlineStr"/>
      <c r="J3231" t="inlineStr"/>
      <c r="K3231" t="n">
        <v>0</v>
      </c>
      <c r="L3231" t="n">
        <v>1</v>
      </c>
      <c r="M3231" t="n">
        <v>0</v>
      </c>
      <c r="N3231" t="n">
        <v>0</v>
      </c>
      <c r="O3231" t="n">
        <v>4</v>
      </c>
      <c r="P3231">
        <f>HYPERLINK("http://g1.globo.com/mundo/noticia/2013/04/os-desafios-da-petrodiplomacia-venezuelana-na-era-pos-chavez.html", "URL")</f>
        <v/>
      </c>
      <c r="Q3231">
        <f>HYPERLINK("https://raw.githubusercontent.com/marcosmapl/dataset_imigrantes/main/materias_filtered/g1/venezuelanos/2013/03_abr/html/g1_d71b31fa-231f-11ed-b24f-6dbe51e79fca_3647.html", "HTML")</f>
        <v/>
      </c>
      <c r="R3231">
        <f>HYPERLINK("https://raw.githubusercontent.com/marcosmapl/dataset_imigrantes/main/materias_filtered/g1/venezuelanos/2013/03_abr/txt/g1_d71b31fa-231f-11ed-b24f-6dbe51e79fca_3647.txt", "TXT")</f>
        <v/>
      </c>
    </row>
    <row r="3232">
      <c r="A3232" s="1" t="n">
        <v>3230</v>
      </c>
      <c r="B3232" t="n">
        <v>2013</v>
      </c>
      <c r="C3232" s="2" t="n">
        <v>41375.43958333333</v>
      </c>
      <c r="D3232" t="inlineStr">
        <is>
          <t>G1</t>
        </is>
      </c>
      <c r="E3232" t="inlineStr">
        <is>
          <t>VENEZUELANOS</t>
        </is>
      </c>
      <c r="F3232" t="inlineStr"/>
      <c r="G3232" t="inlineStr">
        <is>
          <t>ERS</t>
        </is>
      </c>
      <c r="H3232" t="inlineStr">
        <is>
          <t>ELEIÇÃO VENEZUELANA TESTA LEGADO SOCIALISTA DE CHÁVEZ</t>
        </is>
      </c>
      <c r="I3232" t="inlineStr"/>
      <c r="J3232" t="inlineStr"/>
      <c r="K3232" t="n">
        <v>0</v>
      </c>
      <c r="L3232" t="n">
        <v>1</v>
      </c>
      <c r="M3232" t="n">
        <v>0</v>
      </c>
      <c r="N3232" t="n">
        <v>0</v>
      </c>
      <c r="O3232" t="n">
        <v>4</v>
      </c>
      <c r="P3232">
        <f>HYPERLINK("http://g1.globo.com/mundo/noticia/2013/04/eleicao-venezuelana-testa-legado-socialista-de-chavez.html", "URL")</f>
        <v/>
      </c>
      <c r="Q3232">
        <f>HYPERLINK("https://raw.githubusercontent.com/marcosmapl/dataset_imigrantes/main/materias_filtered/g1/venezuelanos/2013/03_abr/html/g1_344898f0-2324-11ed-b24f-6dbe51e79fca_3855.html", "HTML")</f>
        <v/>
      </c>
      <c r="R3232">
        <f>HYPERLINK("https://raw.githubusercontent.com/marcosmapl/dataset_imigrantes/main/materias_filtered/g1/venezuelanos/2013/03_abr/txt/g1_344898f0-2324-11ed-b24f-6dbe51e79fca_3855.txt", "TXT")</f>
        <v/>
      </c>
    </row>
    <row r="3233">
      <c r="A3233" s="1" t="n">
        <v>3231</v>
      </c>
      <c r="B3233" t="n">
        <v>2013</v>
      </c>
      <c r="C3233" s="2" t="n">
        <v>41375.43958333333</v>
      </c>
      <c r="D3233" t="inlineStr">
        <is>
          <t>G1</t>
        </is>
      </c>
      <c r="E3233" t="inlineStr">
        <is>
          <t>VENEZUELANOS</t>
        </is>
      </c>
      <c r="F3233" t="inlineStr"/>
      <c r="G3233" t="inlineStr">
        <is>
          <t>ERS</t>
        </is>
      </c>
      <c r="H3233" t="inlineStr">
        <is>
          <t>ELEIÇÃO VENEZUELANA TESTA LEGADO SOCIALISTA DE CHÁVEZ</t>
        </is>
      </c>
      <c r="I3233" t="inlineStr"/>
      <c r="J3233" t="inlineStr"/>
      <c r="K3233" t="n">
        <v>0</v>
      </c>
      <c r="L3233" t="n">
        <v>1</v>
      </c>
      <c r="M3233" t="n">
        <v>0</v>
      </c>
      <c r="N3233" t="n">
        <v>0</v>
      </c>
      <c r="O3233" t="n">
        <v>4</v>
      </c>
      <c r="P3233">
        <f>HYPERLINK("http://g1.globo.com/mundo/noticia/2013/04/eleicao-venezuelana-testa-legado-socialista-de-chavez-1.html", "URL")</f>
        <v/>
      </c>
      <c r="Q3233">
        <f>HYPERLINK("https://raw.githubusercontent.com/marcosmapl/dataset_imigrantes/main/materias_filtered/g1/venezuelanos/2013/03_abr/html/g1_9f694476-2307-11ed-b24f-6dbe51e79fca_2331.html", "HTML")</f>
        <v/>
      </c>
      <c r="R3233">
        <f>HYPERLINK("https://raw.githubusercontent.com/marcosmapl/dataset_imigrantes/main/materias_filtered/g1/venezuelanos/2013/03_abr/txt/g1_9f694476-2307-11ed-b24f-6dbe51e79fca_2331.txt", "TXT")</f>
        <v/>
      </c>
    </row>
    <row r="3234">
      <c r="A3234" s="1" t="n">
        <v>3232</v>
      </c>
      <c r="B3234" t="n">
        <v>2013</v>
      </c>
      <c r="C3234" s="2" t="n">
        <v>41375.03221064815</v>
      </c>
      <c r="D3234" t="inlineStr">
        <is>
          <t>A CRITICA</t>
        </is>
      </c>
      <c r="E3234" t="inlineStr">
        <is>
          <t>HAITIANOS</t>
        </is>
      </c>
      <c r="F3234" t="inlineStr"/>
      <c r="G3234" t="inlineStr">
        <is>
          <t>ACRÍTICA.COM</t>
        </is>
      </c>
      <c r="H3234" t="inlineStr">
        <is>
          <t>SEMSA CAPACITA PROFISSIONAIS PARA ATENDER HAITIANOS</t>
        </is>
      </c>
      <c r="I3234" t="inlineStr">
        <is>
          <t>A CAPACITAÇÃO NO DIALETO CREOLEDEVE FACILITAR A COMUNICAÇÃO DOS PROFISSIONAIS DE SAÚDE COM OS HAITIANOS QUE BUSCAM AUXÍLIO NO SUS</t>
        </is>
      </c>
      <c r="J3234" t="inlineStr"/>
      <c r="K3234" t="n">
        <v>0</v>
      </c>
      <c r="L3234" t="n">
        <v>1</v>
      </c>
      <c r="M3234" t="n">
        <v>0</v>
      </c>
      <c r="N3234" t="n">
        <v>0</v>
      </c>
      <c r="O3234" t="n">
        <v>1</v>
      </c>
      <c r="P3234">
        <f>HYPERLINK("https://www.acritica.com/semsa-capacita-profissionais-para-atender-haitianos-1.116163", "URL")</f>
        <v/>
      </c>
      <c r="Q3234">
        <f>HYPERLINK("https://raw.githubusercontent.com/marcosmapl/dataset_imigrantes/main/materias_filtered/a_critica/haitianos/2013/03_abr/html/1.116163_421.html", "HTML")</f>
        <v/>
      </c>
      <c r="R3234">
        <f>HYPERLINK("https://raw.githubusercontent.com/marcosmapl/dataset_imigrantes/main/materias_filtered/a_critica/haitianos/2013/03_abr/txt/1.116163_421.txt", "TXT")</f>
        <v/>
      </c>
    </row>
    <row r="3235">
      <c r="A3235" s="1" t="n">
        <v>3233</v>
      </c>
      <c r="B3235" t="n">
        <v>2013</v>
      </c>
      <c r="C3235" s="2" t="n">
        <v>41374.89513888889</v>
      </c>
      <c r="D3235" t="inlineStr">
        <is>
          <t>G1</t>
        </is>
      </c>
      <c r="E3235" t="inlineStr">
        <is>
          <t>HAITIANOS</t>
        </is>
      </c>
      <c r="F3235" t="inlineStr"/>
      <c r="G3235" t="inlineStr"/>
      <c r="H3235" t="inlineStr">
        <is>
          <t>FORÇA-TAREFA VAI CUIDAR DE HAITIANOS QUE ENTRAM NO BRASIL PELO ACRE</t>
        </is>
      </c>
      <c r="I3235" t="inlineStr"/>
      <c r="J3235" t="inlineStr">
        <is>
          <t>MINISTÉRIO DO TRABALHO, POLÍCIA FEDERAL</t>
        </is>
      </c>
      <c r="K3235" t="n">
        <v>2</v>
      </c>
      <c r="L3235" t="n">
        <v>3</v>
      </c>
      <c r="M3235" t="n">
        <v>0</v>
      </c>
      <c r="N3235" t="n">
        <v>0</v>
      </c>
      <c r="O3235" t="n">
        <v>10</v>
      </c>
      <c r="P3235">
        <f>HYPERLINK("http://g1.globo.com/jornal-nacional/noticia/2013/04/forca-tarefa-vai-cuidar-de-haitianos-que-entram-no-brasil-pelo-acre.html", "URL")</f>
        <v/>
      </c>
      <c r="Q3235">
        <f>HYPERLINK("https://raw.githubusercontent.com/marcosmapl/dataset_imigrantes/main/materias_filtered/g1/haitianos/2013/03_abr/html/g1_bf0e832a-22f0-11ed-b24f-6dbe51e79fca_1719.html", "HTML")</f>
        <v/>
      </c>
      <c r="R3235">
        <f>HYPERLINK("https://raw.githubusercontent.com/marcosmapl/dataset_imigrantes/main/materias_filtered/g1/haitianos/2013/03_abr/txt/g1_bf0e832a-22f0-11ed-b24f-6dbe51e79fca_1719.txt", "TXT")</f>
        <v/>
      </c>
    </row>
    <row r="3236">
      <c r="A3236" s="1" t="n">
        <v>3234</v>
      </c>
      <c r="B3236" t="n">
        <v>2013</v>
      </c>
      <c r="C3236" s="2" t="n">
        <v>41374.86666666667</v>
      </c>
      <c r="D3236" t="inlineStr">
        <is>
          <t>G1</t>
        </is>
      </c>
      <c r="E3236" t="inlineStr">
        <is>
          <t>HAITIANOS</t>
        </is>
      </c>
      <c r="F3236" t="inlineStr"/>
      <c r="G3236" t="inlineStr">
        <is>
          <t>CILLA MENDESDO G1, EM BRASÍLIA</t>
        </is>
      </c>
      <c r="H3236" t="inlineStr">
        <is>
          <t>FORÇA-TAREFA VAI REGULARIZAR SITUAÇÃO DE HAITIANOS NO ACRE, DIZ MINISTRO</t>
        </is>
      </c>
      <c r="I3236" t="inlineStr"/>
      <c r="J3236" t="inlineStr">
        <is>
          <t>BRASILÉIA, EPITACIOLÂNDIA, MINISTÉRIO DA JUSTIÇA, MINISTÉRIO DO TRABALHO</t>
        </is>
      </c>
      <c r="K3236" t="n">
        <v>4</v>
      </c>
      <c r="L3236" t="n">
        <v>3</v>
      </c>
      <c r="M3236" t="n">
        <v>0</v>
      </c>
      <c r="N3236" t="n">
        <v>0</v>
      </c>
      <c r="O3236" t="n">
        <v>14</v>
      </c>
      <c r="P3236">
        <f>HYPERLINK("http://g1.globo.com/ac/acre/noticia/2013/04/forca-tarefa-vai-regularizar-situacao-de-haitianos-no-acre-diz-ministro.html", "URL")</f>
        <v/>
      </c>
      <c r="Q3236">
        <f>HYPERLINK("https://raw.githubusercontent.com/marcosmapl/dataset_imigrantes/main/materias_filtered/g1/haitianos/2013/03_abr/html/g1_a79b5efa-22f7-11ed-b24f-6dbe51e79fca_2088.html", "HTML")</f>
        <v/>
      </c>
      <c r="R3236">
        <f>HYPERLINK("https://raw.githubusercontent.com/marcosmapl/dataset_imigrantes/main/materias_filtered/g1/haitianos/2013/03_abr/txt/g1_a79b5efa-22f7-11ed-b24f-6dbe51e79fca_2088.txt", "TXT")</f>
        <v/>
      </c>
    </row>
    <row r="3237">
      <c r="A3237" s="1" t="n">
        <v>3235</v>
      </c>
      <c r="B3237" t="n">
        <v>2013</v>
      </c>
      <c r="C3237" s="2" t="n">
        <v>41373.64166666667</v>
      </c>
      <c r="D3237" t="inlineStr">
        <is>
          <t>G1</t>
        </is>
      </c>
      <c r="E3237" t="inlineStr">
        <is>
          <t>VENEZUELANOS</t>
        </is>
      </c>
      <c r="F3237" t="inlineStr"/>
      <c r="G3237" t="inlineStr">
        <is>
          <t>CE PRESSE</t>
        </is>
      </c>
      <c r="H3237" t="inlineStr">
        <is>
          <t>MADURO ADOTA ESTILO DE CHÁVEZ PARA GANHAR POPULARIDADE NAS ELEIÇÕES VENEZUELANAS</t>
        </is>
      </c>
      <c r="I3237" t="inlineStr"/>
      <c r="J3237" t="inlineStr"/>
      <c r="K3237" t="n">
        <v>0</v>
      </c>
      <c r="L3237" t="n">
        <v>1</v>
      </c>
      <c r="M3237" t="n">
        <v>0</v>
      </c>
      <c r="N3237" t="n">
        <v>0</v>
      </c>
      <c r="O3237" t="n">
        <v>4</v>
      </c>
      <c r="P3237">
        <f>HYPERLINK("http://g1.globo.com/mundo/noticia/2013/04/maduro-adota-estilo-de-chavez-para-ganhar-popularidade-nas-eleicoes-venezuelanas.html", "URL")</f>
        <v/>
      </c>
      <c r="Q3237">
        <f>HYPERLINK("https://raw.githubusercontent.com/marcosmapl/dataset_imigrantes/main/materias_filtered/g1/venezuelanos/2013/03_abr/html/g1_ae0fd05c-2317-11ed-b24f-6dbe51e79fca_3224.html", "HTML")</f>
        <v/>
      </c>
      <c r="R3237">
        <f>HYPERLINK("https://raw.githubusercontent.com/marcosmapl/dataset_imigrantes/main/materias_filtered/g1/venezuelanos/2013/03_abr/txt/g1_ae0fd05c-2317-11ed-b24f-6dbe51e79fca_3224.txt", "TXT")</f>
        <v/>
      </c>
    </row>
    <row r="3238">
      <c r="A3238" s="1" t="n">
        <v>3236</v>
      </c>
      <c r="B3238" t="n">
        <v>2013</v>
      </c>
      <c r="C3238" s="2" t="n">
        <v>41373.55486111111</v>
      </c>
      <c r="D3238" t="inlineStr">
        <is>
          <t>G1</t>
        </is>
      </c>
      <c r="E3238" t="inlineStr">
        <is>
          <t>HAITIANOS</t>
        </is>
      </c>
      <c r="F3238" t="inlineStr"/>
      <c r="G3238" t="inlineStr"/>
      <c r="H3238" t="inlineStr">
        <is>
          <t>CORREÇÃO: IMIGRANTES HAITIANOS NO AC</t>
        </is>
      </c>
      <c r="I3238" t="inlineStr"/>
      <c r="J3238" t="inlineStr"/>
      <c r="K3238" t="n">
        <v>0</v>
      </c>
      <c r="L3238" t="n">
        <v>0</v>
      </c>
      <c r="M3238" t="n">
        <v>0</v>
      </c>
      <c r="N3238" t="n">
        <v>0</v>
      </c>
      <c r="O3238" t="n">
        <v>5</v>
      </c>
      <c r="P3238">
        <f>HYPERLINK("http://g1.globo.com/ac/acre/noticia/2013/04/correcao-imigrantes-haitianos-no-ac.html", "URL")</f>
        <v/>
      </c>
      <c r="Q3238">
        <f>HYPERLINK("https://raw.githubusercontent.com/marcosmapl/dataset_imigrantes/main/materias_filtered/g1/haitianos/2013/03_abr/html/g1_bdaf6b24-22f6-11ed-b24f-6dbe51e79fca_2034.html", "HTML")</f>
        <v/>
      </c>
      <c r="R3238">
        <f>HYPERLINK("https://raw.githubusercontent.com/marcosmapl/dataset_imigrantes/main/materias_filtered/g1/haitianos/2013/03_abr/txt/g1_bdaf6b24-22f6-11ed-b24f-6dbe51e79fca_2034.txt", "TXT")</f>
        <v/>
      </c>
    </row>
    <row r="3239">
      <c r="A3239" s="1" t="n">
        <v>3237</v>
      </c>
      <c r="B3239" t="n">
        <v>2013</v>
      </c>
      <c r="C3239" s="2" t="n">
        <v>41372.72708333333</v>
      </c>
      <c r="D3239" t="inlineStr">
        <is>
          <t>G1</t>
        </is>
      </c>
      <c r="E3239" t="inlineStr">
        <is>
          <t>HAITIANOS</t>
        </is>
      </c>
      <c r="F3239" t="inlineStr"/>
      <c r="G3239" t="inlineStr">
        <is>
          <t>R ONLINE</t>
        </is>
      </c>
      <c r="H3239" t="inlineStr">
        <is>
          <t>JORGE VIANA PEDE SOLUÇÃO PARA IMIGRANTES HAITIANOS</t>
        </is>
      </c>
      <c r="I3239" t="inlineStr"/>
      <c r="J3239" t="inlineStr"/>
      <c r="K3239" t="n">
        <v>0</v>
      </c>
      <c r="L3239" t="n">
        <v>1</v>
      </c>
      <c r="M3239" t="n">
        <v>0</v>
      </c>
      <c r="N3239" t="n">
        <v>0</v>
      </c>
      <c r="O3239" t="n">
        <v>4</v>
      </c>
      <c r="P3239">
        <f>HYPERLINK("http://g1.globo.com/economia/noticia/2013/04/jorge-viana-pede-solucao-para-imigrantes-haitianos.html", "URL")</f>
        <v/>
      </c>
      <c r="Q3239">
        <f>HYPERLINK("https://raw.githubusercontent.com/marcosmapl/dataset_imigrantes/main/materias_filtered/g1/haitianos/2013/03_abr/html/g1_257d57f8-22f1-11ed-b24f-6dbe51e79fca_1737.html", "HTML")</f>
        <v/>
      </c>
      <c r="R3239">
        <f>HYPERLINK("https://raw.githubusercontent.com/marcosmapl/dataset_imigrantes/main/materias_filtered/g1/haitianos/2013/03_abr/txt/g1_257d57f8-22f1-11ed-b24f-6dbe51e79fca_1737.txt", "TXT")</f>
        <v/>
      </c>
    </row>
    <row r="3240">
      <c r="A3240" s="1" t="n">
        <v>3238</v>
      </c>
      <c r="B3240" t="n">
        <v>2013</v>
      </c>
      <c r="C3240" s="2" t="n">
        <v>41371.56319444445</v>
      </c>
      <c r="D3240" t="inlineStr">
        <is>
          <t>G1</t>
        </is>
      </c>
      <c r="E3240" t="inlineStr">
        <is>
          <t>VENEZUELANOS</t>
        </is>
      </c>
      <c r="F3240" t="inlineStr"/>
      <c r="G3240" t="inlineStr">
        <is>
          <t>EUTERS</t>
        </is>
      </c>
      <c r="H3240" t="inlineStr">
        <is>
          <t>MADURO USA SEU PASSADO DE MOTORISTA NA CAMPANHA VENEZUELANA</t>
        </is>
      </c>
      <c r="I3240" t="inlineStr"/>
      <c r="J3240" t="inlineStr">
        <is>
          <t>HENRIQUE CAPRILES, NICOLÁS MADURO, LULA</t>
        </is>
      </c>
      <c r="K3240" t="n">
        <v>3</v>
      </c>
      <c r="L3240" t="n">
        <v>4</v>
      </c>
      <c r="M3240" t="n">
        <v>0</v>
      </c>
      <c r="N3240" t="n">
        <v>0</v>
      </c>
      <c r="O3240" t="n">
        <v>16</v>
      </c>
      <c r="P3240">
        <f>HYPERLINK("http://g1.globo.com/mundo/hugo-chavez/noticia/2013/04/maduro-usa-seu-passado-de-motorista-na-campanha-venezuelana.html", "URL")</f>
        <v/>
      </c>
      <c r="Q3240">
        <f>HYPERLINK("https://raw.githubusercontent.com/marcosmapl/dataset_imigrantes/main/materias_filtered/g1/venezuelanos/2013/03_abr/html/g1_6b790cbe-230c-11ed-b24f-6dbe51e79fca_2623.html", "HTML")</f>
        <v/>
      </c>
      <c r="R3240">
        <f>HYPERLINK("https://raw.githubusercontent.com/marcosmapl/dataset_imigrantes/main/materias_filtered/g1/venezuelanos/2013/03_abr/txt/g1_6b790cbe-230c-11ed-b24f-6dbe51e79fca_2623.txt", "TXT")</f>
        <v/>
      </c>
    </row>
    <row r="3241">
      <c r="A3241" s="1" t="n">
        <v>3239</v>
      </c>
      <c r="B3241" t="n">
        <v>2013</v>
      </c>
      <c r="C3241" s="2" t="n">
        <v>41371.55208333334</v>
      </c>
      <c r="D3241" t="inlineStr">
        <is>
          <t>G1</t>
        </is>
      </c>
      <c r="E3241" t="inlineStr">
        <is>
          <t>VENEZUELANOS</t>
        </is>
      </c>
      <c r="F3241" t="inlineStr"/>
      <c r="G3241" t="inlineStr">
        <is>
          <t>ERS</t>
        </is>
      </c>
      <c r="H3241" t="inlineStr">
        <is>
          <t>MADURO USA O SEU PASSADO DE MOTORISTA NA CAMPANHA VENEZUELANA</t>
        </is>
      </c>
      <c r="I3241" t="inlineStr"/>
      <c r="J3241" t="inlineStr"/>
      <c r="K3241" t="n">
        <v>0</v>
      </c>
      <c r="L3241" t="n">
        <v>1</v>
      </c>
      <c r="M3241" t="n">
        <v>0</v>
      </c>
      <c r="N3241" t="n">
        <v>0</v>
      </c>
      <c r="O3241" t="n">
        <v>4</v>
      </c>
      <c r="P3241">
        <f>HYPERLINK("http://g1.globo.com/mundo/noticia/2013/04/maduro-usa-o-seu-passado-de-motorista-na-campanha-venezuelana.html", "URL")</f>
        <v/>
      </c>
      <c r="Q3241">
        <f>HYPERLINK("https://raw.githubusercontent.com/marcosmapl/dataset_imigrantes/main/materias_filtered/g1/venezuelanos/2013/03_abr/html/g1_108cb354-2321-11ed-b24f-6dbe51e79fca_3678.html", "HTML")</f>
        <v/>
      </c>
      <c r="R3241">
        <f>HYPERLINK("https://raw.githubusercontent.com/marcosmapl/dataset_imigrantes/main/materias_filtered/g1/venezuelanos/2013/03_abr/txt/g1_108cb354-2321-11ed-b24f-6dbe51e79fca_3678.txt", "TXT")</f>
        <v/>
      </c>
    </row>
    <row r="3242">
      <c r="A3242" s="1" t="n">
        <v>3240</v>
      </c>
      <c r="B3242" t="n">
        <v>2013</v>
      </c>
      <c r="C3242" s="2" t="n">
        <v>41371.55208333334</v>
      </c>
      <c r="D3242" t="inlineStr">
        <is>
          <t>G1</t>
        </is>
      </c>
      <c r="E3242" t="inlineStr">
        <is>
          <t>VENEZUELANOS</t>
        </is>
      </c>
      <c r="F3242" t="inlineStr"/>
      <c r="G3242" t="inlineStr">
        <is>
          <t>ERS</t>
        </is>
      </c>
      <c r="H3242" t="inlineStr">
        <is>
          <t>MADURO USA O SEU PASSADO DE MOTORISTA NA CAMPANHA VENEZUELANA</t>
        </is>
      </c>
      <c r="I3242" t="inlineStr"/>
      <c r="J3242" t="inlineStr"/>
      <c r="K3242" t="n">
        <v>0</v>
      </c>
      <c r="L3242" t="n">
        <v>1</v>
      </c>
      <c r="M3242" t="n">
        <v>0</v>
      </c>
      <c r="N3242" t="n">
        <v>0</v>
      </c>
      <c r="O3242" t="n">
        <v>4</v>
      </c>
      <c r="P3242">
        <f>HYPERLINK("http://g1.globo.com/mundo/noticia/2013/04/maduro-usa-o-seu-passado-de-motorista-na-campanha-venezuelana-1.html", "URL")</f>
        <v/>
      </c>
      <c r="Q3242">
        <f>HYPERLINK("https://raw.githubusercontent.com/marcosmapl/dataset_imigrantes/main/materias_filtered/g1/venezuelanos/2013/03_abr/html/g1_59447264-2329-11ed-b24f-6dbe51e79fca_4111.html", "HTML")</f>
        <v/>
      </c>
      <c r="R3242">
        <f>HYPERLINK("https://raw.githubusercontent.com/marcosmapl/dataset_imigrantes/main/materias_filtered/g1/venezuelanos/2013/03_abr/txt/g1_59447264-2329-11ed-b24f-6dbe51e79fca_4111.txt", "TXT")</f>
        <v/>
      </c>
    </row>
    <row r="3243">
      <c r="A3243" s="1" t="n">
        <v>3241</v>
      </c>
      <c r="B3243" t="n">
        <v>2013</v>
      </c>
      <c r="C3243" s="2" t="n">
        <v>41370.82291666666</v>
      </c>
      <c r="D3243" t="inlineStr">
        <is>
          <t>G1</t>
        </is>
      </c>
      <c r="E3243" t="inlineStr">
        <is>
          <t>VENEZUELANOS</t>
        </is>
      </c>
      <c r="F3243" t="inlineStr"/>
      <c r="G3243" t="inlineStr">
        <is>
          <t>CE PRESSE</t>
        </is>
      </c>
      <c r="H3243" t="inlineStr">
        <is>
          <t>LONGE DO FAVORITISMO NAS PESQUISAS, OPOSIÇÃO VENEZUELANA PERSISTE</t>
        </is>
      </c>
      <c r="I3243" t="inlineStr"/>
      <c r="J3243" t="inlineStr"/>
      <c r="K3243" t="n">
        <v>0</v>
      </c>
      <c r="L3243" t="n">
        <v>1</v>
      </c>
      <c r="M3243" t="n">
        <v>0</v>
      </c>
      <c r="N3243" t="n">
        <v>0</v>
      </c>
      <c r="O3243" t="n">
        <v>4</v>
      </c>
      <c r="P3243">
        <f>HYPERLINK("http://g1.globo.com/mundo/noticia/2013/04/longe-do-favoritismo-nas-pesquisas-oposicao-venezuelana-persiste.html", "URL")</f>
        <v/>
      </c>
      <c r="Q3243">
        <f>HYPERLINK("https://raw.githubusercontent.com/marcosmapl/dataset_imigrantes/main/materias_filtered/g1/venezuelanos/2013/03_abr/html/g1_2080eda6-230e-11ed-b24f-6dbe51e79fca_2723.html", "HTML")</f>
        <v/>
      </c>
      <c r="R3243">
        <f>HYPERLINK("https://raw.githubusercontent.com/marcosmapl/dataset_imigrantes/main/materias_filtered/g1/venezuelanos/2013/03_abr/txt/g1_2080eda6-230e-11ed-b24f-6dbe51e79fca_2723.txt", "TXT")</f>
        <v/>
      </c>
    </row>
    <row r="3244">
      <c r="A3244" s="1" t="n">
        <v>3242</v>
      </c>
      <c r="B3244" t="n">
        <v>2013</v>
      </c>
      <c r="C3244" s="2" t="n">
        <v>41369.87141203704</v>
      </c>
      <c r="D3244" t="inlineStr">
        <is>
          <t>A CRITICA</t>
        </is>
      </c>
      <c r="E3244" t="inlineStr">
        <is>
          <t>HAITIANOS</t>
        </is>
      </c>
      <c r="F3244" t="inlineStr"/>
      <c r="G3244" t="inlineStr">
        <is>
          <t>MARCOS CHAGAS/AGÊNCIA BRASIL</t>
        </is>
      </c>
      <c r="H3244" t="inlineStr">
        <is>
          <t>BRASIL ENTRA NA ROTA DO TRÁFICO DE HAITIANOS PARA A AMÉRICA DO SUL</t>
        </is>
      </c>
      <c r="I3244" t="inlineStr">
        <is>
          <t>OPERAÇÃO CONJUNTA DA SECRETARIA DE JUSTIÇA E DIREITOS HUMANOS E DA POLÍCIA FEDERAL APREENDEU UM MENOR QUE SERIA TRAFICADO PARA A GUIANA FRANCESA</t>
        </is>
      </c>
      <c r="J3244" t="inlineStr"/>
      <c r="K3244" t="n">
        <v>0</v>
      </c>
      <c r="L3244" t="n">
        <v>1</v>
      </c>
      <c r="M3244" t="n">
        <v>0</v>
      </c>
      <c r="N3244" t="n">
        <v>0</v>
      </c>
      <c r="O3244" t="n">
        <v>0</v>
      </c>
      <c r="P3244">
        <f>HYPERLINK("https://www.acritica.com/brasil-entra-na-rota-do-trafico-de-haitianos-para-a-america-do-sul-1.132789", "URL")</f>
        <v/>
      </c>
      <c r="Q3244">
        <f>HYPERLINK("https://raw.githubusercontent.com/marcosmapl/dataset_imigrantes/main/materias_filtered/a_critica/haitianos/2013/03_abr/html/1.132789_1237.html", "HTML")</f>
        <v/>
      </c>
      <c r="R3244">
        <f>HYPERLINK("https://raw.githubusercontent.com/marcosmapl/dataset_imigrantes/main/materias_filtered/a_critica/haitianos/2013/03_abr/txt/1.132789_1237.txt", "TXT")</f>
        <v/>
      </c>
    </row>
    <row r="3245">
      <c r="A3245" s="1" t="n">
        <v>3243</v>
      </c>
      <c r="B3245" t="n">
        <v>2013</v>
      </c>
      <c r="C3245" s="2" t="n">
        <v>41369.67708333334</v>
      </c>
      <c r="D3245" t="inlineStr">
        <is>
          <t>G1</t>
        </is>
      </c>
      <c r="E3245" t="inlineStr">
        <is>
          <t>VENEZUELANOS</t>
        </is>
      </c>
      <c r="F3245" t="inlineStr"/>
      <c r="G3245" t="inlineStr"/>
      <c r="H3245" t="inlineStr">
        <is>
          <t>UM MÊS APÓS SUA MORTE, CHÁVEZ É 'SOMBRA' NA ELEIÇÃO VENEZUELANA</t>
        </is>
      </c>
      <c r="I3245" t="inlineStr"/>
      <c r="J3245" t="inlineStr"/>
      <c r="K3245" t="n">
        <v>0</v>
      </c>
      <c r="L3245" t="n">
        <v>1</v>
      </c>
      <c r="M3245" t="n">
        <v>0</v>
      </c>
      <c r="N3245" t="n">
        <v>0</v>
      </c>
      <c r="O3245" t="n">
        <v>4</v>
      </c>
      <c r="P3245">
        <f>HYPERLINK("http://g1.globo.com/mundo/noticia/2013/04/um-mes-apos-sua-morte-chavez-e-sombra-na-eleicao-venezuelana.html", "URL")</f>
        <v/>
      </c>
      <c r="Q3245">
        <f>HYPERLINK("https://raw.githubusercontent.com/marcosmapl/dataset_imigrantes/main/materias_filtered/g1/venezuelanos/2013/03_abr/html/g1_1707e0d4-2310-11ed-b24f-6dbe51e79fca_2839.html", "HTML")</f>
        <v/>
      </c>
      <c r="R3245">
        <f>HYPERLINK("https://raw.githubusercontent.com/marcosmapl/dataset_imigrantes/main/materias_filtered/g1/venezuelanos/2013/03_abr/txt/g1_1707e0d4-2310-11ed-b24f-6dbe51e79fca_2839.txt", "TXT")</f>
        <v/>
      </c>
    </row>
    <row r="3246">
      <c r="A3246" s="1" t="n">
        <v>3244</v>
      </c>
      <c r="B3246" t="n">
        <v>2013</v>
      </c>
      <c r="C3246" s="2" t="n">
        <v>41367.71805555555</v>
      </c>
      <c r="D3246" t="inlineStr">
        <is>
          <t>G1</t>
        </is>
      </c>
      <c r="E3246" t="inlineStr">
        <is>
          <t>VENEZUELANOS</t>
        </is>
      </c>
      <c r="F3246" t="inlineStr"/>
      <c r="G3246" t="inlineStr">
        <is>
          <t>RANCE PRESSE</t>
        </is>
      </c>
      <c r="H3246" t="inlineStr">
        <is>
          <t>GOVERNO E OPOSIÇÃO SE ACUSAM DE USAR MILITARES NA ELEIÇÃO VENEZUELANA</t>
        </is>
      </c>
      <c r="I3246" t="inlineStr"/>
      <c r="J3246" t="inlineStr">
        <is>
          <t>HENRIQUE CAPRILES, HUGO CHÁVEZ, NICOLÁS MADURO</t>
        </is>
      </c>
      <c r="K3246" t="n">
        <v>3</v>
      </c>
      <c r="L3246" t="n">
        <v>3</v>
      </c>
      <c r="M3246" t="n">
        <v>0</v>
      </c>
      <c r="N3246" t="n">
        <v>0</v>
      </c>
      <c r="O3246" t="n">
        <v>13</v>
      </c>
      <c r="P3246">
        <f>HYPERLINK("http://g1.globo.com/mundo/hugo-chavez/noticia/2013/04/governo-e-oposicao-se-acusam-de-usar-militares-na-eleicao-venezuelana.html", "URL")</f>
        <v/>
      </c>
      <c r="Q3246">
        <f>HYPERLINK("https://raw.githubusercontent.com/marcosmapl/dataset_imigrantes/main/materias_filtered/g1/venezuelanos/2013/03_abr/html/g1_1c97e98a-232a-11ed-b24f-6dbe51e79fca_4158.html", "HTML")</f>
        <v/>
      </c>
      <c r="R3246">
        <f>HYPERLINK("https://raw.githubusercontent.com/marcosmapl/dataset_imigrantes/main/materias_filtered/g1/venezuelanos/2013/03_abr/txt/g1_1c97e98a-232a-11ed-b24f-6dbe51e79fca_4158.txt", "TXT")</f>
        <v/>
      </c>
    </row>
    <row r="3247">
      <c r="A3247" s="1" t="n">
        <v>3245</v>
      </c>
      <c r="B3247" t="n">
        <v>2013</v>
      </c>
      <c r="C3247" s="2" t="n">
        <v>41366.51944444444</v>
      </c>
      <c r="D3247" t="inlineStr">
        <is>
          <t>A CRITICA</t>
        </is>
      </c>
      <c r="E3247" t="inlineStr">
        <is>
          <t>VENEZUELANOS</t>
        </is>
      </c>
      <c r="F3247" t="inlineStr"/>
      <c r="G3247" t="inlineStr">
        <is>
          <t>LEANDRA FELIPE/ AGÊNCIA BRASIL/EBC</t>
        </is>
      </c>
      <c r="H3247" t="inlineStr">
        <is>
          <t>CAMPANHA ELEITORAL NA VENEZUELA COMEÇA OFICIALMENTE</t>
        </is>
      </c>
      <c r="I3247" t="inlineStr">
        <is>
          <t>EMBORA O PERÍODO DETERMINADO PARA A CAMPANHA COMECE AGORA, OS CANDIDATOS EMPREENDEM JORNADAS DE ENTREVISTAS, CAMINHADAS E  ENCONTROS EM BUSCA DE VOTOS</t>
        </is>
      </c>
      <c r="J3247" t="inlineStr"/>
      <c r="K3247" t="n">
        <v>0</v>
      </c>
      <c r="L3247" t="n">
        <v>1</v>
      </c>
      <c r="M3247" t="n">
        <v>0</v>
      </c>
      <c r="N3247" t="n">
        <v>0</v>
      </c>
      <c r="O3247" t="n">
        <v>3</v>
      </c>
      <c r="P3247">
        <f>HYPERLINK("https://www.acritica.com/campanha-eleitoral-na-venezuela-comeca-oficialmente-1.213965", "URL")</f>
        <v/>
      </c>
      <c r="Q3247">
        <f>HYPERLINK("https://raw.githubusercontent.com/marcosmapl/dataset_imigrantes/main/materias_filtered/a_critica/venezuelanos/2013/03_abr/html/1.213965_537.html", "HTML")</f>
        <v/>
      </c>
      <c r="R3247">
        <f>HYPERLINK("https://raw.githubusercontent.com/marcosmapl/dataset_imigrantes/main/materias_filtered/a_critica/venezuelanos/2013/03_abr/txt/1.213965_537.txt", "TXT")</f>
        <v/>
      </c>
    </row>
    <row r="3248">
      <c r="A3248" s="1" t="n">
        <v>3246</v>
      </c>
      <c r="B3248" t="n">
        <v>2013</v>
      </c>
      <c r="C3248" s="2" t="n">
        <v>41363.7125</v>
      </c>
      <c r="D3248" t="inlineStr">
        <is>
          <t>G1</t>
        </is>
      </c>
      <c r="E3248" t="inlineStr">
        <is>
          <t>VENEZUELANOS</t>
        </is>
      </c>
      <c r="F3248" t="inlineStr"/>
      <c r="G3248" t="inlineStr">
        <is>
          <t>EUTERS</t>
        </is>
      </c>
      <c r="H3248" t="inlineStr">
        <is>
          <t>MADURO CHAMA OPOSIÇÃO VENEZUELANA DE 'HERDEIROS DE HITLER'</t>
        </is>
      </c>
      <c r="I3248" t="inlineStr"/>
      <c r="J3248" t="inlineStr">
        <is>
          <t>NICOLÁS MADURO</t>
        </is>
      </c>
      <c r="K3248" t="n">
        <v>1</v>
      </c>
      <c r="L3248" t="n">
        <v>6</v>
      </c>
      <c r="M3248" t="n">
        <v>0</v>
      </c>
      <c r="N3248" t="n">
        <v>0</v>
      </c>
      <c r="O3248" t="n">
        <v>9</v>
      </c>
      <c r="P3248">
        <f>HYPERLINK("http://g1.globo.com/mundo/noticia/2013/03/maduro-chama-oposicao-venezuelana-de-herdeiros-de-hitler.html", "URL")</f>
        <v/>
      </c>
      <c r="Q3248">
        <f>HYPERLINK("https://raw.githubusercontent.com/marcosmapl/dataset_imigrantes/main/materias_filtered/g1/venezuelanos/2013/02_mar/html/g1_e4799818-231b-11ed-b24f-6dbe51e79fca_3414.html", "HTML")</f>
        <v/>
      </c>
      <c r="R3248">
        <f>HYPERLINK("https://raw.githubusercontent.com/marcosmapl/dataset_imigrantes/main/materias_filtered/g1/venezuelanos/2013/02_mar/txt/g1_e4799818-231b-11ed-b24f-6dbe51e79fca_3414.txt", "TXT")</f>
        <v/>
      </c>
    </row>
    <row r="3249">
      <c r="A3249" s="1" t="n">
        <v>3247</v>
      </c>
      <c r="B3249" t="n">
        <v>2013</v>
      </c>
      <c r="C3249" s="2" t="n">
        <v>41363.7125</v>
      </c>
      <c r="D3249" t="inlineStr">
        <is>
          <t>G1</t>
        </is>
      </c>
      <c r="E3249" t="inlineStr">
        <is>
          <t>VENEZUELANOS</t>
        </is>
      </c>
      <c r="F3249" t="inlineStr"/>
      <c r="G3249" t="inlineStr">
        <is>
          <t>ERS</t>
        </is>
      </c>
      <c r="H3249" t="inlineStr">
        <is>
          <t>MADURO CHAMA OPOSIÇÃO VENEZUELANA DE "HERDEIROS DE HITLER"</t>
        </is>
      </c>
      <c r="I3249" t="inlineStr"/>
      <c r="J3249" t="inlineStr"/>
      <c r="K3249" t="n">
        <v>0</v>
      </c>
      <c r="L3249" t="n">
        <v>1</v>
      </c>
      <c r="M3249" t="n">
        <v>0</v>
      </c>
      <c r="N3249" t="n">
        <v>0</v>
      </c>
      <c r="O3249" t="n">
        <v>4</v>
      </c>
      <c r="P3249">
        <f>HYPERLINK("http://g1.globo.com/mundo/noticia/2013/03/maduro-chama-oposicao-venezuelana-de-herdeiros-de-hitler-1.html", "URL")</f>
        <v/>
      </c>
      <c r="Q3249">
        <f>HYPERLINK("https://raw.githubusercontent.com/marcosmapl/dataset_imigrantes/main/materias_filtered/g1/venezuelanos/2013/02_mar/html/g1_82c10000-2309-11ed-b24f-6dbe51e79fca_2448.html", "HTML")</f>
        <v/>
      </c>
      <c r="R3249">
        <f>HYPERLINK("https://raw.githubusercontent.com/marcosmapl/dataset_imigrantes/main/materias_filtered/g1/venezuelanos/2013/02_mar/txt/g1_82c10000-2309-11ed-b24f-6dbe51e79fca_2448.txt", "TXT")</f>
        <v/>
      </c>
    </row>
    <row r="3250">
      <c r="A3250" s="1" t="n">
        <v>3248</v>
      </c>
      <c r="B3250" t="n">
        <v>2013</v>
      </c>
      <c r="C3250" s="2" t="n">
        <v>41360.61111111111</v>
      </c>
      <c r="D3250" t="inlineStr">
        <is>
          <t>G1</t>
        </is>
      </c>
      <c r="E3250" t="inlineStr">
        <is>
          <t>HAITIANOS</t>
        </is>
      </c>
      <c r="F3250" t="inlineStr"/>
      <c r="G3250" t="inlineStr">
        <is>
          <t>E LUCCHESETABATINGA, AM</t>
        </is>
      </c>
      <c r="H3250" t="inlineStr">
        <is>
          <t>HAITIANOS ENTRAM ILEGALMENTE NO PAÍS</t>
        </is>
      </c>
      <c r="I3250" t="inlineStr"/>
      <c r="J3250" t="inlineStr"/>
      <c r="K3250" t="n">
        <v>0</v>
      </c>
      <c r="L3250" t="n">
        <v>0</v>
      </c>
      <c r="M3250" t="n">
        <v>0</v>
      </c>
      <c r="N3250" t="n">
        <v>0</v>
      </c>
      <c r="O3250" t="n">
        <v>4</v>
      </c>
      <c r="P3250">
        <f>HYPERLINK("http://g1.globo.com/jornal-hoje/noticia/2013/03/haitianos-entram-ilegalmente-no-pais.html", "URL")</f>
        <v/>
      </c>
      <c r="Q3250">
        <f>HYPERLINK("https://raw.githubusercontent.com/marcosmapl/dataset_imigrantes/main/materias_filtered/g1/haitianos/2013/02_mar/html/g1_802829f2-22f7-11ed-b24f-6dbe51e79fca_2083.html", "HTML")</f>
        <v/>
      </c>
      <c r="R3250">
        <f>HYPERLINK("https://raw.githubusercontent.com/marcosmapl/dataset_imigrantes/main/materias_filtered/g1/haitianos/2013/02_mar/txt/g1_802829f2-22f7-11ed-b24f-6dbe51e79fca_2083.txt", "TXT")</f>
        <v/>
      </c>
    </row>
    <row r="3251">
      <c r="A3251" s="1" t="n">
        <v>3249</v>
      </c>
      <c r="B3251" t="n">
        <v>2013</v>
      </c>
      <c r="C3251" s="2" t="n">
        <v>41352.77708333333</v>
      </c>
      <c r="D3251" t="inlineStr">
        <is>
          <t>G1</t>
        </is>
      </c>
      <c r="E3251" t="inlineStr">
        <is>
          <t>VENEZUELANOS</t>
        </is>
      </c>
      <c r="F3251" t="inlineStr"/>
      <c r="G3251" t="inlineStr">
        <is>
          <t>CE PRESSE</t>
        </is>
      </c>
      <c r="H3251" t="inlineStr">
        <is>
          <t>PESQUISA MOSTRA MADURO ESTÁ 18 PONTOS À FRENTE DE CAPRILES PARA ELEIÇÕES VENEZUELANAS</t>
        </is>
      </c>
      <c r="I3251" t="inlineStr"/>
      <c r="J3251" t="inlineStr"/>
      <c r="K3251" t="n">
        <v>0</v>
      </c>
      <c r="L3251" t="n">
        <v>1</v>
      </c>
      <c r="M3251" t="n">
        <v>0</v>
      </c>
      <c r="N3251" t="n">
        <v>0</v>
      </c>
      <c r="O3251" t="n">
        <v>4</v>
      </c>
      <c r="P3251">
        <f>HYPERLINK("http://g1.globo.com/mundo/noticia/2013/03/pesquisa-mostra-maduro-esta-18-pontos-a-frente-de-capriles-para-eleicoes-venezuelanas.html", "URL")</f>
        <v/>
      </c>
      <c r="Q3251">
        <f>HYPERLINK("https://raw.githubusercontent.com/marcosmapl/dataset_imigrantes/main/materias_filtered/g1/venezuelanos/2013/02_mar/html/g1_4caf4eae-230e-11ed-b24f-6dbe51e79fca_2733.html", "HTML")</f>
        <v/>
      </c>
      <c r="R3251">
        <f>HYPERLINK("https://raw.githubusercontent.com/marcosmapl/dataset_imigrantes/main/materias_filtered/g1/venezuelanos/2013/02_mar/txt/g1_4caf4eae-230e-11ed-b24f-6dbe51e79fca_2733.txt", "TXT")</f>
        <v/>
      </c>
    </row>
    <row r="3252">
      <c r="A3252" s="1" t="n">
        <v>3250</v>
      </c>
      <c r="B3252" t="n">
        <v>2013</v>
      </c>
      <c r="C3252" s="2" t="n">
        <v>41352.7125</v>
      </c>
      <c r="D3252" t="inlineStr">
        <is>
          <t>G1</t>
        </is>
      </c>
      <c r="E3252" t="inlineStr">
        <is>
          <t>VENEZUELANOS</t>
        </is>
      </c>
      <c r="F3252" t="inlineStr"/>
      <c r="G3252" t="inlineStr">
        <is>
          <t>CE PRESSE</t>
        </is>
      </c>
      <c r="H3252" t="inlineStr">
        <is>
          <t>MADURO DIZ QUE OPOSIÇÃO VENEZUELANA PLANEJA BOICOTAR ELEIÇÕES</t>
        </is>
      </c>
      <c r="I3252" t="inlineStr"/>
      <c r="J3252" t="inlineStr"/>
      <c r="K3252" t="n">
        <v>0</v>
      </c>
      <c r="L3252" t="n">
        <v>1</v>
      </c>
      <c r="M3252" t="n">
        <v>0</v>
      </c>
      <c r="N3252" t="n">
        <v>0</v>
      </c>
      <c r="O3252" t="n">
        <v>4</v>
      </c>
      <c r="P3252">
        <f>HYPERLINK("http://g1.globo.com/mundo/noticia/2013/03/maduro-diz-que-oposicao-venezuelana-planeja-boicotar-eleicoes.html", "URL")</f>
        <v/>
      </c>
      <c r="Q3252">
        <f>HYPERLINK("https://raw.githubusercontent.com/marcosmapl/dataset_imigrantes/main/materias_filtered/g1/venezuelanos/2013/02_mar/html/g1_b42e5ee4-2318-11ed-b24f-6dbe51e79fca_3273.html", "HTML")</f>
        <v/>
      </c>
      <c r="R3252">
        <f>HYPERLINK("https://raw.githubusercontent.com/marcosmapl/dataset_imigrantes/main/materias_filtered/g1/venezuelanos/2013/02_mar/txt/g1_b42e5ee4-2318-11ed-b24f-6dbe51e79fca_3273.txt", "TXT")</f>
        <v/>
      </c>
    </row>
    <row r="3253">
      <c r="A3253" s="1" t="n">
        <v>3251</v>
      </c>
      <c r="B3253" t="n">
        <v>2013</v>
      </c>
      <c r="C3253" s="2" t="n">
        <v>41351.67512731482</v>
      </c>
      <c r="D3253" t="inlineStr">
        <is>
          <t>A CRITICA</t>
        </is>
      </c>
      <c r="E3253" t="inlineStr">
        <is>
          <t>HAITIANOS</t>
        </is>
      </c>
      <c r="F3253" t="inlineStr">
        <is>
          <t>MANAUS</t>
        </is>
      </c>
      <c r="G3253" t="inlineStr">
        <is>
          <t>ACRÍTICA.COM</t>
        </is>
      </c>
      <c r="H3253" t="inlineStr">
        <is>
          <t>SECRETÁRIO DE ARTUR PEDE PROTEÇÃO À POLÍCIA FEDERAL</t>
        </is>
      </c>
      <c r="I3253" t="inlineStr">
        <is>
          <t>RESPONSÁVEL POR REORGANIZAR O CENTRO DE MANAUS ATÉ A COPA DE 2014, RAFAEL LEMOS ASSAYAG, QUE JÁ ANDA ESCOLTADO POR SEGURANÇAS, PEDE NESTA SEGUNDA APOIO PARA A PF</t>
        </is>
      </c>
      <c r="J3253" t="inlineStr"/>
      <c r="K3253" t="n">
        <v>0</v>
      </c>
      <c r="L3253" t="n">
        <v>1</v>
      </c>
      <c r="M3253" t="n">
        <v>0</v>
      </c>
      <c r="N3253" t="n">
        <v>0</v>
      </c>
      <c r="O3253" t="n">
        <v>1</v>
      </c>
      <c r="P3253">
        <f>HYPERLINK("https://www.acritica.com/manaus/secretario-de-artur-pede-protec-o-a-policia-federal-1.130288", "URL")</f>
        <v/>
      </c>
      <c r="Q3253">
        <f>HYPERLINK("https://raw.githubusercontent.com/marcosmapl/dataset_imigrantes/main/materias_filtered/a_critica/haitianos/2013/02_mar/html/1.130288_1014.html", "HTML")</f>
        <v/>
      </c>
      <c r="R3253">
        <f>HYPERLINK("https://raw.githubusercontent.com/marcosmapl/dataset_imigrantes/main/materias_filtered/a_critica/haitianos/2013/02_mar/txt/1.130288_1014.txt", "TXT")</f>
        <v/>
      </c>
    </row>
    <row r="3254">
      <c r="A3254" s="1" t="n">
        <v>3252</v>
      </c>
      <c r="B3254" t="n">
        <v>2013</v>
      </c>
      <c r="C3254" s="2" t="n">
        <v>41349.68142361111</v>
      </c>
      <c r="D3254" t="inlineStr">
        <is>
          <t>A CRITICA</t>
        </is>
      </c>
      <c r="E3254" t="inlineStr">
        <is>
          <t>VENEZUELANOS</t>
        </is>
      </c>
      <c r="F3254" t="inlineStr"/>
      <c r="G3254" t="inlineStr">
        <is>
          <t>LEANDRA FELIPE/AGÊNCIA BRASIL</t>
        </is>
      </c>
      <c r="H3254" t="inlineStr">
        <is>
          <t>CIDADE NATAL DE CHÁVEZ ESTÁ DIVIDIDA ENTRE VISÃO CRÍTICA E APAIXONADA</t>
        </is>
      </c>
      <c r="I3254" t="inlineStr">
        <is>
          <t>NA PRAÇA BOLÍVAR, NO CENTRO DA CIDADE, ADMIRADORES COLOCAM FAIXAS, VELAS E FLORES AO LADO DAS FOTOS NO MONUMENTO CENTRAL DA PRAÇA</t>
        </is>
      </c>
      <c r="J3254" t="inlineStr"/>
      <c r="K3254" t="n">
        <v>0</v>
      </c>
      <c r="L3254" t="n">
        <v>1</v>
      </c>
      <c r="M3254" t="n">
        <v>0</v>
      </c>
      <c r="N3254" t="n">
        <v>0</v>
      </c>
      <c r="O3254" t="n">
        <v>0</v>
      </c>
      <c r="P3254">
        <f>HYPERLINK("https://www.acritica.com/cidade-natal-de-chavez-esta-dividida-entre-vis-o-critica-e-apaixonada-1.130169", "URL")</f>
        <v/>
      </c>
      <c r="Q3254">
        <f>HYPERLINK("https://raw.githubusercontent.com/marcosmapl/dataset_imigrantes/main/materias_filtered/a_critica/venezuelanos/2013/02_mar/html/1.130169_780.html", "HTML")</f>
        <v/>
      </c>
      <c r="R3254">
        <f>HYPERLINK("https://raw.githubusercontent.com/marcosmapl/dataset_imigrantes/main/materias_filtered/a_critica/venezuelanos/2013/02_mar/txt/1.130169_780.txt", "TXT")</f>
        <v/>
      </c>
    </row>
    <row r="3255">
      <c r="A3255" s="1" t="n">
        <v>3253</v>
      </c>
      <c r="B3255" t="n">
        <v>2013</v>
      </c>
      <c r="C3255" s="2" t="n">
        <v>41349.54717592592</v>
      </c>
      <c r="D3255" t="inlineStr">
        <is>
          <t>A CRITICA</t>
        </is>
      </c>
      <c r="E3255" t="inlineStr">
        <is>
          <t>HAITIANOS</t>
        </is>
      </c>
      <c r="F3255" t="inlineStr">
        <is>
          <t>MANAUS</t>
        </is>
      </c>
      <c r="G3255" t="inlineStr">
        <is>
          <t>ADAN GARANTIZADO</t>
        </is>
      </c>
      <c r="H3255" t="inlineStr">
        <is>
          <t>‘RECEBO AMEAÇAS E ME DESLOCO COM SEGURANÇA’, DIZ RAFAEL LEMOS ASSAYAG EM ENTREVISTA</t>
        </is>
      </c>
      <c r="I3255" t="inlineStr">
        <is>
          <t>SECRETÁRIO PARA REQUALIFICAÇÃO DO CENTRO DE MANAUS, RAFAEL ASSAYAG ENFRENTA DIFICULDADES E AMEAÇAS PARA REALIZAR AS AÇÕES INERENTES À SUA PASTA, MAS GARANTE QUE NÃO VAI ABDICAR DA TAREFA</t>
        </is>
      </c>
      <c r="J3255" t="inlineStr"/>
      <c r="K3255" t="n">
        <v>0</v>
      </c>
      <c r="L3255" t="n">
        <v>1</v>
      </c>
      <c r="M3255" t="n">
        <v>0</v>
      </c>
      <c r="N3255" t="n">
        <v>0</v>
      </c>
      <c r="O3255" t="n">
        <v>0</v>
      </c>
      <c r="P3255">
        <f>HYPERLINK("https://www.acritica.com/manaus/recebo-ameacas-e-me-desloco-com-seguranca-diz-rafael-lemos-assayag-em-entrevista-1.119037", "URL")</f>
        <v/>
      </c>
      <c r="Q3255">
        <f>HYPERLINK("https://raw.githubusercontent.com/marcosmapl/dataset_imigrantes/main/materias_filtered/a_critica/haitianos/2013/02_mar/html/1.119037_1351.html", "HTML")</f>
        <v/>
      </c>
      <c r="R3255">
        <f>HYPERLINK("https://raw.githubusercontent.com/marcosmapl/dataset_imigrantes/main/materias_filtered/a_critica/haitianos/2013/02_mar/txt/1.119037_1351.txt", "TXT")</f>
        <v/>
      </c>
    </row>
    <row r="3256">
      <c r="A3256" s="1" t="n">
        <v>3254</v>
      </c>
      <c r="B3256" t="n">
        <v>2013</v>
      </c>
      <c r="C3256" s="2" t="n">
        <v>41346.66527777778</v>
      </c>
      <c r="D3256" t="inlineStr">
        <is>
          <t>G1</t>
        </is>
      </c>
      <c r="E3256" t="inlineStr">
        <is>
          <t>HAITIANOS</t>
        </is>
      </c>
      <c r="F3256" t="inlineStr"/>
      <c r="G3256" t="inlineStr">
        <is>
          <t xml:space="preserve"> MARCELDO G1 AC</t>
        </is>
      </c>
      <c r="H3256" t="inlineStr">
        <is>
          <t>ÁGUA TRATADA COM CLORO PROVOCA REAÇÃO ALÉRGICA EM HAITIANOS NO ACRE</t>
        </is>
      </c>
      <c r="I3256" t="inlineStr"/>
      <c r="J3256" t="inlineStr">
        <is>
          <t>BRASILÉIA, HAITI</t>
        </is>
      </c>
      <c r="K3256" t="n">
        <v>2</v>
      </c>
      <c r="L3256" t="n">
        <v>7</v>
      </c>
      <c r="M3256" t="n">
        <v>0</v>
      </c>
      <c r="N3256" t="n">
        <v>0</v>
      </c>
      <c r="O3256" t="n">
        <v>11</v>
      </c>
      <c r="P3256">
        <f>HYPERLINK("http://g1.globo.com/ac/acre/noticia/2013/03/agua-tratada-com-cloro-provoca-reacao-alergica-em-haitianos-no-acre.html", "URL")</f>
        <v/>
      </c>
      <c r="Q3256">
        <f>HYPERLINK("https://raw.githubusercontent.com/marcosmapl/dataset_imigrantes/main/materias_filtered/g1/haitianos/2013/02_mar/html/g1_108e8fa0-22f2-11ed-b24f-6dbe51e79fca_1777.html", "HTML")</f>
        <v/>
      </c>
      <c r="R3256">
        <f>HYPERLINK("https://raw.githubusercontent.com/marcosmapl/dataset_imigrantes/main/materias_filtered/g1/haitianos/2013/02_mar/txt/g1_108e8fa0-22f2-11ed-b24f-6dbe51e79fca_1777.txt", "TXT")</f>
        <v/>
      </c>
    </row>
    <row r="3257">
      <c r="A3257" s="1" t="n">
        <v>3255</v>
      </c>
      <c r="B3257" t="n">
        <v>2013</v>
      </c>
      <c r="C3257" s="2" t="n">
        <v>41346.06458333333</v>
      </c>
      <c r="D3257" t="inlineStr">
        <is>
          <t>A CRITICA</t>
        </is>
      </c>
      <c r="E3257" t="inlineStr">
        <is>
          <t>VENEZUELANOS</t>
        </is>
      </c>
      <c r="F3257" t="inlineStr">
        <is>
          <t>ESPORTES</t>
        </is>
      </c>
      <c r="G3257" t="inlineStr">
        <is>
          <t>ACRÍTICA.COM</t>
        </is>
      </c>
      <c r="H3257" t="inlineStr">
        <is>
          <t>CARACAS VENCE GRÊMIO POR 2 X 1</t>
        </is>
      </c>
      <c r="I3257" t="inlineStr">
        <is>
          <t>JOGANDO EM CASA, O CARACAS DA VENEZUELA VENCEU O TIME BRASILEIRO DE VIRADA E EMBOLOU TUDO NO GRUPO DA LIBERTADORES.</t>
        </is>
      </c>
      <c r="J3257" t="inlineStr"/>
      <c r="K3257" t="n">
        <v>0</v>
      </c>
      <c r="L3257" t="n">
        <v>1</v>
      </c>
      <c r="M3257" t="n">
        <v>0</v>
      </c>
      <c r="N3257" t="n">
        <v>0</v>
      </c>
      <c r="O3257" t="n">
        <v>0</v>
      </c>
      <c r="P3257">
        <f>HYPERLINK("https://www.acritica.com/esportes/caracas-vence-gremio-por-2-x-1-1.120422", "URL")</f>
        <v/>
      </c>
      <c r="Q3257">
        <f>HYPERLINK("https://raw.githubusercontent.com/marcosmapl/dataset_imigrantes/main/materias_filtered/a_critica/venezuelanos/2013/02_mar/html/1.120422_1342.html", "HTML")</f>
        <v/>
      </c>
      <c r="R3257">
        <f>HYPERLINK("https://raw.githubusercontent.com/marcosmapl/dataset_imigrantes/main/materias_filtered/a_critica/venezuelanos/2013/02_mar/txt/1.120422_1342.txt", "TXT")</f>
        <v/>
      </c>
    </row>
    <row r="3258">
      <c r="A3258" s="1" t="n">
        <v>3256</v>
      </c>
      <c r="B3258" t="n">
        <v>2013</v>
      </c>
      <c r="C3258" s="2" t="n">
        <v>41345.5125</v>
      </c>
      <c r="D3258" t="inlineStr">
        <is>
          <t>G1</t>
        </is>
      </c>
      <c r="E3258" t="inlineStr">
        <is>
          <t>VENEZUELANOS</t>
        </is>
      </c>
      <c r="F3258" t="inlineStr"/>
      <c r="G3258" t="inlineStr">
        <is>
          <t>ERS</t>
        </is>
      </c>
      <c r="H3258" t="inlineStr">
        <is>
          <t>ENTREVISTA-OPOSIÇÃO VENEZUELANA BASEARÁ CAMPANHA NAS "MENTIRAS" DO GOVERNO</t>
        </is>
      </c>
      <c r="I3258" t="inlineStr"/>
      <c r="J3258" t="inlineStr"/>
      <c r="K3258" t="n">
        <v>0</v>
      </c>
      <c r="L3258" t="n">
        <v>1</v>
      </c>
      <c r="M3258" t="n">
        <v>0</v>
      </c>
      <c r="N3258" t="n">
        <v>0</v>
      </c>
      <c r="O3258" t="n">
        <v>4</v>
      </c>
      <c r="P3258">
        <f>HYPERLINK("http://g1.globo.com/mundo/noticia/2013/03/entrevista-oposicao-venezuelana-baseara-campanha-nas-mentiras-do-governo-1.html", "URL")</f>
        <v/>
      </c>
      <c r="Q3258">
        <f>HYPERLINK("https://raw.githubusercontent.com/marcosmapl/dataset_imigrantes/main/materias_filtered/g1/venezuelanos/2013/02_mar/html/g1_422d50bc-232b-11ed-b24f-6dbe51e79fca_4234.html", "HTML")</f>
        <v/>
      </c>
      <c r="R3258">
        <f>HYPERLINK("https://raw.githubusercontent.com/marcosmapl/dataset_imigrantes/main/materias_filtered/g1/venezuelanos/2013/02_mar/txt/g1_422d50bc-232b-11ed-b24f-6dbe51e79fca_4234.txt", "TXT")</f>
        <v/>
      </c>
    </row>
    <row r="3259">
      <c r="A3259" s="1" t="n">
        <v>3257</v>
      </c>
      <c r="B3259" t="n">
        <v>2013</v>
      </c>
      <c r="C3259" s="2" t="n">
        <v>41345.50833333333</v>
      </c>
      <c r="D3259" t="inlineStr">
        <is>
          <t>G1</t>
        </is>
      </c>
      <c r="E3259" t="inlineStr">
        <is>
          <t>VENEZUELANOS</t>
        </is>
      </c>
      <c r="F3259" t="inlineStr"/>
      <c r="G3259" t="inlineStr">
        <is>
          <t>ERS</t>
        </is>
      </c>
      <c r="H3259" t="inlineStr">
        <is>
          <t>ENTREVISTA-OPOSIÇÃO VENEZUELANA BASEARÁ CAMPANHA NAS "MENTIRAS" DO GOVERNO</t>
        </is>
      </c>
      <c r="I3259" t="inlineStr"/>
      <c r="J3259" t="inlineStr"/>
      <c r="K3259" t="n">
        <v>0</v>
      </c>
      <c r="L3259" t="n">
        <v>1</v>
      </c>
      <c r="M3259" t="n">
        <v>0</v>
      </c>
      <c r="N3259" t="n">
        <v>0</v>
      </c>
      <c r="O3259" t="n">
        <v>4</v>
      </c>
      <c r="P3259">
        <f>HYPERLINK("http://g1.globo.com/mundo/noticia/2013/03/entrevista-oposicao-venezuelana-baseara-campanha-nas-mentiras-do-governo.html", "URL")</f>
        <v/>
      </c>
      <c r="Q3259">
        <f>HYPERLINK("https://raw.githubusercontent.com/marcosmapl/dataset_imigrantes/main/materias_filtered/g1/venezuelanos/2013/02_mar/html/g1_edb2b8bc-2328-11ed-b24f-6dbe51e79fca_4090.html", "HTML")</f>
        <v/>
      </c>
      <c r="R3259">
        <f>HYPERLINK("https://raw.githubusercontent.com/marcosmapl/dataset_imigrantes/main/materias_filtered/g1/venezuelanos/2013/02_mar/txt/g1_edb2b8bc-2328-11ed-b24f-6dbe51e79fca_4090.txt", "TXT")</f>
        <v/>
      </c>
    </row>
    <row r="3260">
      <c r="A3260" s="1" t="n">
        <v>3258</v>
      </c>
      <c r="B3260" t="n">
        <v>2013</v>
      </c>
      <c r="C3260" s="2" t="n">
        <v>41344.57916666667</v>
      </c>
      <c r="D3260" t="inlineStr">
        <is>
          <t>G1</t>
        </is>
      </c>
      <c r="E3260" t="inlineStr">
        <is>
          <t>VENEZUELANOS</t>
        </is>
      </c>
      <c r="F3260" t="inlineStr"/>
      <c r="G3260" t="inlineStr">
        <is>
          <t>ERS</t>
        </is>
      </c>
      <c r="H3260" t="inlineStr">
        <is>
          <t>CAPRILES E MADURO TROCAM ACUSAÇÕES EM DURA CAMPANHA VENEZUELANA</t>
        </is>
      </c>
      <c r="I3260" t="inlineStr"/>
      <c r="J3260" t="inlineStr"/>
      <c r="K3260" t="n">
        <v>0</v>
      </c>
      <c r="L3260" t="n">
        <v>1</v>
      </c>
      <c r="M3260" t="n">
        <v>0</v>
      </c>
      <c r="N3260" t="n">
        <v>0</v>
      </c>
      <c r="O3260" t="n">
        <v>4</v>
      </c>
      <c r="P3260">
        <f>HYPERLINK("http://g1.globo.com/mundo/noticia/2013/03/capriles-e-maduro-trocam-acusacoes-em-dura-campanha-venezuelana-1.html", "URL")</f>
        <v/>
      </c>
      <c r="Q3260">
        <f>HYPERLINK("https://raw.githubusercontent.com/marcosmapl/dataset_imigrantes/main/materias_filtered/g1/venezuelanos/2013/02_mar/html/g1_6029295e-230f-11ed-b24f-6dbe51e79fca_2792.html", "HTML")</f>
        <v/>
      </c>
      <c r="R3260">
        <f>HYPERLINK("https://raw.githubusercontent.com/marcosmapl/dataset_imigrantes/main/materias_filtered/g1/venezuelanos/2013/02_mar/txt/g1_6029295e-230f-11ed-b24f-6dbe51e79fca_2792.txt", "TXT")</f>
        <v/>
      </c>
    </row>
    <row r="3261">
      <c r="A3261" s="1" t="n">
        <v>3259</v>
      </c>
      <c r="B3261" t="n">
        <v>2013</v>
      </c>
      <c r="C3261" s="2" t="n">
        <v>41344.57916666667</v>
      </c>
      <c r="D3261" t="inlineStr">
        <is>
          <t>G1</t>
        </is>
      </c>
      <c r="E3261" t="inlineStr">
        <is>
          <t>VENEZUELANOS</t>
        </is>
      </c>
      <c r="F3261" t="inlineStr"/>
      <c r="G3261" t="inlineStr">
        <is>
          <t>ERS</t>
        </is>
      </c>
      <c r="H3261" t="inlineStr">
        <is>
          <t>CAPRILES E MADURO TROCAM ACUSAÇÕES EM DURA CAMPANHA VENEZUELANA</t>
        </is>
      </c>
      <c r="I3261" t="inlineStr"/>
      <c r="J3261" t="inlineStr"/>
      <c r="K3261" t="n">
        <v>0</v>
      </c>
      <c r="L3261" t="n">
        <v>1</v>
      </c>
      <c r="M3261" t="n">
        <v>0</v>
      </c>
      <c r="N3261" t="n">
        <v>0</v>
      </c>
      <c r="O3261" t="n">
        <v>4</v>
      </c>
      <c r="P3261">
        <f>HYPERLINK("http://g1.globo.com/mundo/noticia/2013/03/capriles-e-maduro-trocam-acusacoes-em-dura-campanha-venezuelana.html", "URL")</f>
        <v/>
      </c>
      <c r="Q3261">
        <f>HYPERLINK("https://raw.githubusercontent.com/marcosmapl/dataset_imigrantes/main/materias_filtered/g1/venezuelanos/2013/02_mar/html/g1_41b70e4c-232c-11ed-b24f-6dbe51e79fca_4294.html", "HTML")</f>
        <v/>
      </c>
      <c r="R3261">
        <f>HYPERLINK("https://raw.githubusercontent.com/marcosmapl/dataset_imigrantes/main/materias_filtered/g1/venezuelanos/2013/02_mar/txt/g1_41b70e4c-232c-11ed-b24f-6dbe51e79fca_4294.txt", "TXT")</f>
        <v/>
      </c>
    </row>
    <row r="3262">
      <c r="A3262" s="1" t="n">
        <v>3260</v>
      </c>
      <c r="B3262" t="n">
        <v>2013</v>
      </c>
      <c r="C3262" s="2" t="n">
        <v>41343.94166666667</v>
      </c>
      <c r="D3262" t="inlineStr">
        <is>
          <t>G1</t>
        </is>
      </c>
      <c r="E3262" t="inlineStr">
        <is>
          <t>VENEZUELANOS</t>
        </is>
      </c>
      <c r="F3262" t="inlineStr"/>
      <c r="G3262" t="inlineStr">
        <is>
          <t>CE PRESSE</t>
        </is>
      </c>
      <c r="H3262" t="inlineStr">
        <is>
          <t>CAPRILES ENFRENTARÁ MADURO NAS ELEIÇÕES VENEZUELANAS</t>
        </is>
      </c>
      <c r="I3262" t="inlineStr"/>
      <c r="J3262" t="inlineStr"/>
      <c r="K3262" t="n">
        <v>0</v>
      </c>
      <c r="L3262" t="n">
        <v>1</v>
      </c>
      <c r="M3262" t="n">
        <v>0</v>
      </c>
      <c r="N3262" t="n">
        <v>0</v>
      </c>
      <c r="O3262" t="n">
        <v>4</v>
      </c>
      <c r="P3262">
        <f>HYPERLINK("http://g1.globo.com/mundo/noticia/2013/03/capriles-enfrentara-maduro-nas-eleicoes-venezuelanas-1.html", "URL")</f>
        <v/>
      </c>
      <c r="Q3262">
        <f>HYPERLINK("https://raw.githubusercontent.com/marcosmapl/dataset_imigrantes/main/materias_filtered/g1/venezuelanos/2013/02_mar/html/g1_5088c63a-231e-11ed-b24f-6dbe51e79fca_3553.html", "HTML")</f>
        <v/>
      </c>
      <c r="R3262">
        <f>HYPERLINK("https://raw.githubusercontent.com/marcosmapl/dataset_imigrantes/main/materias_filtered/g1/venezuelanos/2013/02_mar/txt/g1_5088c63a-231e-11ed-b24f-6dbe51e79fca_3553.txt", "TXT")</f>
        <v/>
      </c>
    </row>
    <row r="3263">
      <c r="A3263" s="1" t="n">
        <v>3261</v>
      </c>
      <c r="B3263" t="n">
        <v>2013</v>
      </c>
      <c r="C3263" s="2" t="n">
        <v>41343.9125</v>
      </c>
      <c r="D3263" t="inlineStr">
        <is>
          <t>G1</t>
        </is>
      </c>
      <c r="E3263" t="inlineStr">
        <is>
          <t>VENEZUELANOS</t>
        </is>
      </c>
      <c r="F3263" t="inlineStr"/>
      <c r="G3263" t="inlineStr">
        <is>
          <t>CE PRESSE</t>
        </is>
      </c>
      <c r="H3263" t="inlineStr">
        <is>
          <t>CAPRILES ENFRENTARÁ MADURO NAS ELEIÇÕES VENEZUELANAS</t>
        </is>
      </c>
      <c r="I3263" t="inlineStr"/>
      <c r="J3263" t="inlineStr"/>
      <c r="K3263" t="n">
        <v>0</v>
      </c>
      <c r="L3263" t="n">
        <v>1</v>
      </c>
      <c r="M3263" t="n">
        <v>0</v>
      </c>
      <c r="N3263" t="n">
        <v>0</v>
      </c>
      <c r="O3263" t="n">
        <v>4</v>
      </c>
      <c r="P3263">
        <f>HYPERLINK("http://g1.globo.com/mundo/noticia/2013/03/capriles-enfrentara-maduro-nas-eleicoes-venezuelanas.html", "URL")</f>
        <v/>
      </c>
      <c r="Q3263">
        <f>HYPERLINK("https://raw.githubusercontent.com/marcosmapl/dataset_imigrantes/main/materias_filtered/g1/venezuelanos/2013/02_mar/html/g1_e9ed7fde-231c-11ed-b24f-6dbe51e79fca_3473.html", "HTML")</f>
        <v/>
      </c>
      <c r="R3263">
        <f>HYPERLINK("https://raw.githubusercontent.com/marcosmapl/dataset_imigrantes/main/materias_filtered/g1/venezuelanos/2013/02_mar/txt/g1_e9ed7fde-231c-11ed-b24f-6dbe51e79fca_3473.txt", "TXT")</f>
        <v/>
      </c>
    </row>
    <row r="3264">
      <c r="A3264" s="1" t="n">
        <v>3262</v>
      </c>
      <c r="B3264" t="n">
        <v>2013</v>
      </c>
      <c r="C3264" s="2" t="n">
        <v>41343.84201388889</v>
      </c>
      <c r="D3264" t="inlineStr">
        <is>
          <t>A CRITICA</t>
        </is>
      </c>
      <c r="E3264" t="inlineStr">
        <is>
          <t>VENEZUELANOS</t>
        </is>
      </c>
      <c r="F3264" t="inlineStr"/>
      <c r="G3264" t="inlineStr">
        <is>
          <t>AGÊNCIA BRASIL</t>
        </is>
      </c>
      <c r="H3264" t="inlineStr">
        <is>
          <t>MADURO INSCREVE CANDIDATURA NESTA SEGUNDA-FEIRA (11)</t>
        </is>
      </c>
      <c r="I3264" t="inlineStr">
        <is>
          <t>AS ELEIÇÕES PARA A PRESIDÊNCIA DA VENEZUELA ESTÃO MARCADAS PARA O DIA 14 DE ABRIL</t>
        </is>
      </c>
      <c r="J3264" t="inlineStr"/>
      <c r="K3264" t="n">
        <v>0</v>
      </c>
      <c r="L3264" t="n">
        <v>1</v>
      </c>
      <c r="M3264" t="n">
        <v>0</v>
      </c>
      <c r="N3264" t="n">
        <v>0</v>
      </c>
      <c r="O3264" t="n">
        <v>0</v>
      </c>
      <c r="P3264">
        <f>HYPERLINK("https://www.acritica.com/maduro-inscreve-candidatura-nesta-segunda-feira-11-1.129459", "URL")</f>
        <v/>
      </c>
      <c r="Q3264">
        <f>HYPERLINK("https://raw.githubusercontent.com/marcosmapl/dataset_imigrantes/main/materias_filtered/a_critica/venezuelanos/2013/02_mar/html/1.129459_958.html", "HTML")</f>
        <v/>
      </c>
      <c r="R3264">
        <f>HYPERLINK("https://raw.githubusercontent.com/marcosmapl/dataset_imigrantes/main/materias_filtered/a_critica/venezuelanos/2013/02_mar/txt/1.129459_958.txt", "TXT")</f>
        <v/>
      </c>
    </row>
    <row r="3265">
      <c r="A3265" s="1" t="n">
        <v>3263</v>
      </c>
      <c r="B3265" t="n">
        <v>2013</v>
      </c>
      <c r="C3265" s="2" t="n">
        <v>41343.79178240741</v>
      </c>
      <c r="D3265" t="inlineStr">
        <is>
          <t>A CRITICA</t>
        </is>
      </c>
      <c r="E3265" t="inlineStr">
        <is>
          <t>VENEZUELANOS</t>
        </is>
      </c>
      <c r="F3265" t="inlineStr">
        <is>
          <t>ENTRETENIMENTO</t>
        </is>
      </c>
      <c r="G3265" t="inlineStr">
        <is>
          <t>ACRÍTICA.COM</t>
        </is>
      </c>
      <c r="H3265" t="inlineStr">
        <is>
          <t>GABY SPANIC VOLTA AO BRASIL</t>
        </is>
      </c>
      <c r="I3265" t="inlineStr">
        <is>
          <t>EM CONVERSA AO VIVO COM O APRESENTADOR CELSO PORTIOLLI, VIA INTERNET, A INTÉRPRETE DA MALVADA PAOLA BRACHO ACEITOU O CONVITE DE VIR AO BRASIL</t>
        </is>
      </c>
      <c r="J3265" t="inlineStr"/>
      <c r="K3265" t="n">
        <v>0</v>
      </c>
      <c r="L3265" t="n">
        <v>1</v>
      </c>
      <c r="M3265" t="n">
        <v>0</v>
      </c>
      <c r="N3265" t="n">
        <v>0</v>
      </c>
      <c r="O3265" t="n">
        <v>0</v>
      </c>
      <c r="P3265">
        <f>HYPERLINK("https://www.acritica.com/entretenimento/gaby-spanic-volta-ao-brasil-1.129473", "URL")</f>
        <v/>
      </c>
      <c r="Q3265">
        <f>HYPERLINK("https://raw.githubusercontent.com/marcosmapl/dataset_imigrantes/main/materias_filtered/a_critica/venezuelanos/2013/02_mar/html/1.129473_255.html", "HTML")</f>
        <v/>
      </c>
      <c r="R3265">
        <f>HYPERLINK("https://raw.githubusercontent.com/marcosmapl/dataset_imigrantes/main/materias_filtered/a_critica/venezuelanos/2013/02_mar/txt/1.129473_255.txt", "TXT")</f>
        <v/>
      </c>
    </row>
    <row r="3266">
      <c r="A3266" s="1" t="n">
        <v>3264</v>
      </c>
      <c r="B3266" t="n">
        <v>2013</v>
      </c>
      <c r="C3266" s="2" t="n">
        <v>41342.81666666667</v>
      </c>
      <c r="D3266" t="inlineStr">
        <is>
          <t>G1</t>
        </is>
      </c>
      <c r="E3266" t="inlineStr">
        <is>
          <t>VENEZUELANOS</t>
        </is>
      </c>
      <c r="F3266" t="inlineStr"/>
      <c r="G3266" t="inlineStr">
        <is>
          <t>CE PRESSE</t>
        </is>
      </c>
      <c r="H3266" t="inlineStr">
        <is>
          <t>OPOSIÇÃO VENEZUELANA PROPÕE CAPRILES COMO CANDIDATO</t>
        </is>
      </c>
      <c r="I3266" t="inlineStr"/>
      <c r="J3266" t="inlineStr"/>
      <c r="K3266" t="n">
        <v>0</v>
      </c>
      <c r="L3266" t="n">
        <v>1</v>
      </c>
      <c r="M3266" t="n">
        <v>0</v>
      </c>
      <c r="N3266" t="n">
        <v>0</v>
      </c>
      <c r="O3266" t="n">
        <v>4</v>
      </c>
      <c r="P3266">
        <f>HYPERLINK("http://g1.globo.com/mundo/noticia/2013/03/oposicao-venezuelana-propoe-capriles-como-candidato-1.html", "URL")</f>
        <v/>
      </c>
      <c r="Q3266">
        <f>HYPERLINK("https://raw.githubusercontent.com/marcosmapl/dataset_imigrantes/main/materias_filtered/g1/venezuelanos/2013/02_mar/html/g1_3be188d4-2314-11ed-b24f-6dbe51e79fca_3053.html", "HTML")</f>
        <v/>
      </c>
      <c r="R3266">
        <f>HYPERLINK("https://raw.githubusercontent.com/marcosmapl/dataset_imigrantes/main/materias_filtered/g1/venezuelanos/2013/02_mar/txt/g1_3be188d4-2314-11ed-b24f-6dbe51e79fca_3053.txt", "TXT")</f>
        <v/>
      </c>
    </row>
    <row r="3267">
      <c r="A3267" s="1" t="n">
        <v>3265</v>
      </c>
      <c r="B3267" t="n">
        <v>2013</v>
      </c>
      <c r="C3267" s="2" t="n">
        <v>41342.80208333334</v>
      </c>
      <c r="D3267" t="inlineStr">
        <is>
          <t>G1</t>
        </is>
      </c>
      <c r="E3267" t="inlineStr">
        <is>
          <t>VENEZUELANOS</t>
        </is>
      </c>
      <c r="F3267" t="inlineStr"/>
      <c r="G3267" t="inlineStr">
        <is>
          <t>CE PRESSE</t>
        </is>
      </c>
      <c r="H3267" t="inlineStr">
        <is>
          <t>OPOSIÇÃO VENEZUELANA PROPÕE CAPRILES COMO CANDIDATO</t>
        </is>
      </c>
      <c r="I3267" t="inlineStr"/>
      <c r="J3267" t="inlineStr"/>
      <c r="K3267" t="n">
        <v>0</v>
      </c>
      <c r="L3267" t="n">
        <v>1</v>
      </c>
      <c r="M3267" t="n">
        <v>0</v>
      </c>
      <c r="N3267" t="n">
        <v>0</v>
      </c>
      <c r="O3267" t="n">
        <v>4</v>
      </c>
      <c r="P3267">
        <f>HYPERLINK("http://g1.globo.com/mundo/noticia/2013/03/oposicao-venezuelana-propoe-capriles-como-candidato.html", "URL")</f>
        <v/>
      </c>
      <c r="Q3267">
        <f>HYPERLINK("https://raw.githubusercontent.com/marcosmapl/dataset_imigrantes/main/materias_filtered/g1/venezuelanos/2013/02_mar/html/g1_ffa2fa8a-231b-11ed-b24f-6dbe51e79fca_3422.html", "HTML")</f>
        <v/>
      </c>
      <c r="R3267">
        <f>HYPERLINK("https://raw.githubusercontent.com/marcosmapl/dataset_imigrantes/main/materias_filtered/g1/venezuelanos/2013/02_mar/txt/g1_ffa2fa8a-231b-11ed-b24f-6dbe51e79fca_3422.txt", "TXT")</f>
        <v/>
      </c>
    </row>
    <row r="3268">
      <c r="A3268" s="1" t="n">
        <v>3266</v>
      </c>
      <c r="B3268" t="n">
        <v>2013</v>
      </c>
      <c r="C3268" s="2" t="n">
        <v>41342.79791666667</v>
      </c>
      <c r="D3268" t="inlineStr">
        <is>
          <t>G1</t>
        </is>
      </c>
      <c r="E3268" t="inlineStr">
        <is>
          <t>VENEZUELANOS</t>
        </is>
      </c>
      <c r="F3268" t="inlineStr"/>
      <c r="G3268" t="inlineStr">
        <is>
          <t>CE PRESSE</t>
        </is>
      </c>
      <c r="H3268" t="inlineStr">
        <is>
          <t>ELEIÇÕES VENEZUELANAS SERÃO REALIZADAS EM 14 DE ABRIL (CNE)</t>
        </is>
      </c>
      <c r="I3268" t="inlineStr"/>
      <c r="J3268" t="inlineStr"/>
      <c r="K3268" t="n">
        <v>0</v>
      </c>
      <c r="L3268" t="n">
        <v>1</v>
      </c>
      <c r="M3268" t="n">
        <v>0</v>
      </c>
      <c r="N3268" t="n">
        <v>0</v>
      </c>
      <c r="O3268" t="n">
        <v>4</v>
      </c>
      <c r="P3268">
        <f>HYPERLINK("http://g1.globo.com/mundo/noticia/2013/03/eleicoes-venezuelanas-serao-realizadas-em-14-de-abril-cne-1.html", "URL")</f>
        <v/>
      </c>
      <c r="Q3268">
        <f>HYPERLINK("https://raw.githubusercontent.com/marcosmapl/dataset_imigrantes/main/materias_filtered/g1/venezuelanos/2013/02_mar/html/g1_60cc8eec-230e-11ed-b24f-6dbe51e79fca_2734.html", "HTML")</f>
        <v/>
      </c>
      <c r="R3268">
        <f>HYPERLINK("https://raw.githubusercontent.com/marcosmapl/dataset_imigrantes/main/materias_filtered/g1/venezuelanos/2013/02_mar/txt/g1_60cc8eec-230e-11ed-b24f-6dbe51e79fca_2734.txt", "TXT")</f>
        <v/>
      </c>
    </row>
    <row r="3269">
      <c r="A3269" s="1" t="n">
        <v>3267</v>
      </c>
      <c r="B3269" t="n">
        <v>2013</v>
      </c>
      <c r="C3269" s="2" t="n">
        <v>41342.77083333334</v>
      </c>
      <c r="D3269" t="inlineStr">
        <is>
          <t>G1</t>
        </is>
      </c>
      <c r="E3269" t="inlineStr">
        <is>
          <t>VENEZUELANOS</t>
        </is>
      </c>
      <c r="F3269" t="inlineStr"/>
      <c r="G3269" t="inlineStr">
        <is>
          <t>CE PRESSE</t>
        </is>
      </c>
      <c r="H3269" t="inlineStr">
        <is>
          <t>ELEIÇÕES VENEZUELANAS SERÃO REALIZADAS EM 14 DE ABRIL (CNE)</t>
        </is>
      </c>
      <c r="I3269" t="inlineStr"/>
      <c r="J3269" t="inlineStr"/>
      <c r="K3269" t="n">
        <v>0</v>
      </c>
      <c r="L3269" t="n">
        <v>1</v>
      </c>
      <c r="M3269" t="n">
        <v>0</v>
      </c>
      <c r="N3269" t="n">
        <v>0</v>
      </c>
      <c r="O3269" t="n">
        <v>4</v>
      </c>
      <c r="P3269">
        <f>HYPERLINK("http://g1.globo.com/mundo/noticia/2013/03/eleicoes-venezuelanas-serao-realizadas-em-14-de-abril-cne.html", "URL")</f>
        <v/>
      </c>
      <c r="Q3269">
        <f>HYPERLINK("https://raw.githubusercontent.com/marcosmapl/dataset_imigrantes/main/materias_filtered/g1/venezuelanos/2013/02_mar/html/g1_4bafe7ec-232d-11ed-b24f-6dbe51e79fca_4350.html", "HTML")</f>
        <v/>
      </c>
      <c r="R3269">
        <f>HYPERLINK("https://raw.githubusercontent.com/marcosmapl/dataset_imigrantes/main/materias_filtered/g1/venezuelanos/2013/02_mar/txt/g1_4bafe7ec-232d-11ed-b24f-6dbe51e79fca_4350.txt", "TXT")</f>
        <v/>
      </c>
    </row>
    <row r="3270">
      <c r="A3270" s="1" t="n">
        <v>3268</v>
      </c>
      <c r="B3270" t="n">
        <v>2013</v>
      </c>
      <c r="C3270" s="2" t="n">
        <v>41342.67475694444</v>
      </c>
      <c r="D3270" t="inlineStr">
        <is>
          <t>A CRITICA</t>
        </is>
      </c>
      <c r="E3270" t="inlineStr">
        <is>
          <t>VENEZUELANOS</t>
        </is>
      </c>
      <c r="F3270" t="inlineStr"/>
      <c r="G3270" t="inlineStr">
        <is>
          <t>THAIS LEITÃO*/ AGÊNCIA BRASIL</t>
        </is>
      </c>
      <c r="H3270" t="inlineStr">
        <is>
          <t>VENEZUELA: CONSELHO DEFINE NESTE SÁBADO (9) DATA DE ELEIÇÃO NO PAÍS</t>
        </is>
      </c>
      <c r="I3270" t="inlineStr">
        <is>
          <t>O ARTIGO 233 DA CONSTITUIÇÃO VENEZUELANA ESTABELECE QUE NA "AUSÊNCIA TOTAL" DE UM PRESIDENTE ELEITO NOS PRIMEIROS QUATRO ANOS DE MANDATO DEVEM SER CONVOCADAS ELEIÇÕES GERAIS DENTRO DE 30 DIAS</t>
        </is>
      </c>
      <c r="J3270" t="inlineStr"/>
      <c r="K3270" t="n">
        <v>0</v>
      </c>
      <c r="L3270" t="n">
        <v>1</v>
      </c>
      <c r="M3270" t="n">
        <v>0</v>
      </c>
      <c r="N3270" t="n">
        <v>0</v>
      </c>
      <c r="O3270" t="n">
        <v>4</v>
      </c>
      <c r="P3270">
        <f>HYPERLINK("https://www.acritica.com/venezuela-conselho-define-neste-sabado-9-data-de-eleic-o-no-pais-1.120546", "URL")</f>
        <v/>
      </c>
      <c r="Q3270">
        <f>HYPERLINK("https://raw.githubusercontent.com/marcosmapl/dataset_imigrantes/main/materias_filtered/a_critica/venezuelanos/2013/02_mar/html/1.120546_289.html", "HTML")</f>
        <v/>
      </c>
      <c r="R3270">
        <f>HYPERLINK("https://raw.githubusercontent.com/marcosmapl/dataset_imigrantes/main/materias_filtered/a_critica/venezuelanos/2013/02_mar/txt/1.120546_289.txt", "TXT")</f>
        <v/>
      </c>
    </row>
    <row r="3271">
      <c r="A3271" s="1" t="n">
        <v>3269</v>
      </c>
      <c r="B3271" t="n">
        <v>2013</v>
      </c>
      <c r="C3271" s="2" t="n">
        <v>41341.79768518519</v>
      </c>
      <c r="D3271" t="inlineStr">
        <is>
          <t>A CRITICA</t>
        </is>
      </c>
      <c r="E3271" t="inlineStr">
        <is>
          <t>VENEZUELANOS</t>
        </is>
      </c>
      <c r="F3271" t="inlineStr"/>
      <c r="G3271" t="inlineStr">
        <is>
          <t>ACRÍTICA.COM</t>
        </is>
      </c>
      <c r="H3271" t="inlineStr">
        <is>
          <t>"TUDO DEVE FICAR IGUAL", DIZ CORECON-AM SOBRE RELAÇÃO COMERCIAL COM A VENEZUELA</t>
        </is>
      </c>
      <c r="I3271" t="inlineStr">
        <is>
          <t>DURANTE OS 14 ANOS EM QUE ESTEVE NO PODER, CHÁVEZ FICOU CONHECIDO POR NACIONALIZAR EMPRESAS ESTRANGEIRAS E SER CONTRÁRIO AO CAPITALISMO E NEOLIBERALISMO AMERICANO.</t>
        </is>
      </c>
      <c r="J3271" t="inlineStr"/>
      <c r="K3271" t="n">
        <v>0</v>
      </c>
      <c r="L3271" t="n">
        <v>1</v>
      </c>
      <c r="M3271" t="n">
        <v>0</v>
      </c>
      <c r="N3271" t="n">
        <v>0</v>
      </c>
      <c r="O3271" t="n">
        <v>0</v>
      </c>
      <c r="P3271">
        <f>HYPERLINK("https://www.acritica.com/tudo-deve-ficar-igual-diz-corecon-am-sobre-relac-o-comercial-com-a-venezuela-1.120633", "URL")</f>
        <v/>
      </c>
      <c r="Q3271">
        <f>HYPERLINK("https://raw.githubusercontent.com/marcosmapl/dataset_imigrantes/main/materias_filtered/a_critica/venezuelanos/2013/02_mar/html/1.120633_120.html", "HTML")</f>
        <v/>
      </c>
      <c r="R3271">
        <f>HYPERLINK("https://raw.githubusercontent.com/marcosmapl/dataset_imigrantes/main/materias_filtered/a_critica/venezuelanos/2013/02_mar/txt/1.120633_120.txt", "TXT")</f>
        <v/>
      </c>
    </row>
    <row r="3272">
      <c r="A3272" s="1" t="n">
        <v>3270</v>
      </c>
      <c r="B3272" t="n">
        <v>2013</v>
      </c>
      <c r="C3272" s="2" t="n">
        <v>41341.57942129629</v>
      </c>
      <c r="D3272" t="inlineStr">
        <is>
          <t>A CRITICA</t>
        </is>
      </c>
      <c r="E3272" t="inlineStr">
        <is>
          <t>VENEZUELANOS</t>
        </is>
      </c>
      <c r="F3272" t="inlineStr"/>
      <c r="G3272" t="inlineStr">
        <is>
          <t>LEANDRA FELIPE - AGÊNCIA BRASIL</t>
        </is>
      </c>
      <c r="H3272" t="inlineStr">
        <is>
          <t>VISITAÇÃO AO CORPO DE CHÁVEZ FICARÁ ABERTA POR MAIS SETE DIAS</t>
        </is>
      </c>
      <c r="I3272" t="inlineStr">
        <is>
          <t>O ANÚNCIO, FEITO PELO PRESIDENTE EM EXERCÍCIO, NICOLÁS MADURO, ATENDE AO CLAMOR POPULAR, JÁ QUE EM DOIS DIAS DE VISITAÇÃO MILHARES DE PESSOAS NÃO CONSEGUIRAM SE APROXIMAR DA CAPELA DA ACADEMIA MILITAR</t>
        </is>
      </c>
      <c r="J3272" t="inlineStr"/>
      <c r="K3272" t="n">
        <v>0</v>
      </c>
      <c r="L3272" t="n">
        <v>1</v>
      </c>
      <c r="M3272" t="n">
        <v>0</v>
      </c>
      <c r="N3272" t="n">
        <v>0</v>
      </c>
      <c r="O3272" t="n">
        <v>0</v>
      </c>
      <c r="P3272">
        <f>HYPERLINK("https://www.acritica.com/visitac-o-ao-corpo-de-chavez-ficara-aberta-por-mais-sete-dias-1.214391", "URL")</f>
        <v/>
      </c>
      <c r="Q3272">
        <f>HYPERLINK("https://raw.githubusercontent.com/marcosmapl/dataset_imigrantes/main/materias_filtered/a_critica/venezuelanos/2013/02_mar/html/1.214391_1212.html", "HTML")</f>
        <v/>
      </c>
      <c r="R3272">
        <f>HYPERLINK("https://raw.githubusercontent.com/marcosmapl/dataset_imigrantes/main/materias_filtered/a_critica/venezuelanos/2013/02_mar/txt/1.214391_1212.txt", "TXT")</f>
        <v/>
      </c>
    </row>
    <row r="3273">
      <c r="A3273" s="1" t="n">
        <v>3271</v>
      </c>
      <c r="B3273" t="n">
        <v>2013</v>
      </c>
      <c r="C3273" s="2" t="n">
        <v>41340.96768518518</v>
      </c>
      <c r="D3273" t="inlineStr">
        <is>
          <t>A CRITICA</t>
        </is>
      </c>
      <c r="E3273" t="inlineStr">
        <is>
          <t>VENEZUELANOS</t>
        </is>
      </c>
      <c r="F3273" t="inlineStr"/>
      <c r="G3273" t="inlineStr">
        <is>
          <t>TELESUR - AGÊNCIA BRASIL</t>
        </is>
      </c>
      <c r="H3273" t="inlineStr">
        <is>
          <t>CORPO DE HUGO CHÁVEZ SERÁ EMBALSAMADO E VELÓRIO DURARÁ MAIS DE SETE DIAS</t>
        </is>
      </c>
      <c r="I3273" t="inlineStr">
        <is>
          <t>SÃO ESPERADOS PARA OS FUNERAIS REPRESENTANTES DE 33 PAÍSES NA CAPITAL VENEZUELANA. A PRESIDENTA DILMA ROUSSEFF, O EX-PRESIDENTE LULA E O PRESIDENTE DE CUBA, RAÚL CASTRO, JÁ ESTÃO NA VENEZUELA</t>
        </is>
      </c>
      <c r="J3273" t="inlineStr"/>
      <c r="K3273" t="n">
        <v>0</v>
      </c>
      <c r="L3273" t="n">
        <v>1</v>
      </c>
      <c r="M3273" t="n">
        <v>0</v>
      </c>
      <c r="N3273" t="n">
        <v>0</v>
      </c>
      <c r="O3273" t="n">
        <v>0</v>
      </c>
      <c r="P3273">
        <f>HYPERLINK("https://www.acritica.com/corpo-de-hugo-chavez-sera-embalsamado-e-velorio-durara-mais-de-sete-dias-1.129136", "URL")</f>
        <v/>
      </c>
      <c r="Q3273">
        <f>HYPERLINK("https://raw.githubusercontent.com/marcosmapl/dataset_imigrantes/main/materias_filtered/a_critica/venezuelanos/2013/02_mar/html/1.129136_46.html", "HTML")</f>
        <v/>
      </c>
      <c r="R3273">
        <f>HYPERLINK("https://raw.githubusercontent.com/marcosmapl/dataset_imigrantes/main/materias_filtered/a_critica/venezuelanos/2013/02_mar/txt/1.129136_46.txt", "TXT")</f>
        <v/>
      </c>
    </row>
    <row r="3274">
      <c r="A3274" s="1" t="n">
        <v>3272</v>
      </c>
      <c r="B3274" t="n">
        <v>2013</v>
      </c>
      <c r="C3274" s="2" t="n">
        <v>41340.89157407408</v>
      </c>
      <c r="D3274" t="inlineStr">
        <is>
          <t>A CRITICA</t>
        </is>
      </c>
      <c r="E3274" t="inlineStr">
        <is>
          <t>VENEZUELANOS</t>
        </is>
      </c>
      <c r="F3274" t="inlineStr">
        <is>
          <t>AMAZONIA</t>
        </is>
      </c>
      <c r="G3274" t="inlineStr">
        <is>
          <t>ACRITICA.COM*</t>
        </is>
      </c>
      <c r="H3274" t="inlineStr">
        <is>
          <t>PESQUISA DO INPA MOSTRA APLICAÇÃO TÉCNICAS NO PLANTIO CUBIU</t>
        </is>
      </c>
      <c r="I3274" t="inlineStr">
        <is>
          <t>A PESQUISA, DESENVOLVIDA VISANDO GERAÇÃO DE RENDA PARA OS AGRICULTORES FAMILIARES DO AMAZONAS , JÁ ESTÁ DISPONÍVEL EM FORMA DE LIVRO QUE PODE SER ENCONTRADO EM VERSÃO DIGITAL</t>
        </is>
      </c>
      <c r="J3274" t="inlineStr"/>
      <c r="K3274" t="n">
        <v>0</v>
      </c>
      <c r="L3274" t="n">
        <v>1</v>
      </c>
      <c r="M3274" t="n">
        <v>0</v>
      </c>
      <c r="N3274" t="n">
        <v>0</v>
      </c>
      <c r="O3274" t="n">
        <v>0</v>
      </c>
      <c r="P3274">
        <f>HYPERLINK("https://www.acritica.com/amazonia/pesquisa-do-inpa-mostra-aplicac-o-tecnicas-no-plantio-cubiu-1.129150", "URL")</f>
        <v/>
      </c>
      <c r="Q3274">
        <f>HYPERLINK("https://raw.githubusercontent.com/marcosmapl/dataset_imigrantes/main/materias_filtered/a_critica/venezuelanos/2013/02_mar/html/1.129150_1213.html", "HTML")</f>
        <v/>
      </c>
      <c r="R3274">
        <f>HYPERLINK("https://raw.githubusercontent.com/marcosmapl/dataset_imigrantes/main/materias_filtered/a_critica/venezuelanos/2013/02_mar/txt/1.129150_1213.txt", "TXT")</f>
        <v/>
      </c>
    </row>
    <row r="3275">
      <c r="A3275" s="1" t="n">
        <v>3273</v>
      </c>
      <c r="B3275" t="n">
        <v>2013</v>
      </c>
      <c r="C3275" s="2" t="n">
        <v>41340.51667824074</v>
      </c>
      <c r="D3275" t="inlineStr">
        <is>
          <t>A CRITICA</t>
        </is>
      </c>
      <c r="E3275" t="inlineStr">
        <is>
          <t>VENEZUELANOS</t>
        </is>
      </c>
      <c r="F3275" t="inlineStr"/>
      <c r="G3275" t="inlineStr">
        <is>
          <t>ACRÍTICA.COM</t>
        </is>
      </c>
      <c r="H3275" t="inlineStr">
        <is>
          <t>VENEZUELANOS PRESTAM HOMENAGEM A HUGO CHÁVEZ</t>
        </is>
      </c>
      <c r="I3275" t="inlineStr">
        <is>
          <t>PESSOAS CHEGARAM A ESPERAR CERCA DE QUATRO HORAS EM UMA FILA PARA DAREM ADEUS AO “ COMANDANTE”</t>
        </is>
      </c>
      <c r="J3275" t="inlineStr"/>
      <c r="K3275" t="n">
        <v>0</v>
      </c>
      <c r="L3275" t="n">
        <v>1</v>
      </c>
      <c r="M3275" t="n">
        <v>0</v>
      </c>
      <c r="N3275" t="n">
        <v>0</v>
      </c>
      <c r="O3275" t="n">
        <v>2</v>
      </c>
      <c r="P3275">
        <f>HYPERLINK("https://www.acritica.com/venezuelanos-prestam-homenagem-a-hugo-chavez-1.128867", "URL")</f>
        <v/>
      </c>
      <c r="Q3275">
        <f>HYPERLINK("https://raw.githubusercontent.com/marcosmapl/dataset_imigrantes/main/materias_filtered/a_critica/venezuelanos/2013/02_mar/html/1.128867_176.html", "HTML")</f>
        <v/>
      </c>
      <c r="R3275">
        <f>HYPERLINK("https://raw.githubusercontent.com/marcosmapl/dataset_imigrantes/main/materias_filtered/a_critica/venezuelanos/2013/02_mar/txt/1.128867_176.txt", "TXT")</f>
        <v/>
      </c>
    </row>
    <row r="3276">
      <c r="A3276" s="1" t="n">
        <v>3274</v>
      </c>
      <c r="B3276" t="n">
        <v>2013</v>
      </c>
      <c r="C3276" s="2" t="n">
        <v>41339.82668981481</v>
      </c>
      <c r="D3276" t="inlineStr">
        <is>
          <t>A CRITICA</t>
        </is>
      </c>
      <c r="E3276" t="inlineStr">
        <is>
          <t>VENEZUELANOS</t>
        </is>
      </c>
      <c r="F3276" t="inlineStr"/>
      <c r="G3276" t="inlineStr">
        <is>
          <t>VITOR ABDALA/AGÊNCIA BRASIL</t>
        </is>
      </c>
      <c r="H3276" t="inlineStr">
        <is>
          <t>EMIR SADER DESCARTA RISCO DE INSEGURANÇA OU CAOS NA VENEZUELA PÓS-CHÁVEZ</t>
        </is>
      </c>
      <c r="I3276" t="inlineStr">
        <is>
          <t>“NADA INDICA [QUE HAVERÁ UM RACHA NO CHAVISMO]. A DECISÃO DO CHÁVEZ FOI MUITO CLARA SOBRE A CONTINUIDADE", DISSE O CIENTISTA POLÍTICO EMIR SADER.</t>
        </is>
      </c>
      <c r="J3276" t="inlineStr"/>
      <c r="K3276" t="n">
        <v>0</v>
      </c>
      <c r="L3276" t="n">
        <v>1</v>
      </c>
      <c r="M3276" t="n">
        <v>0</v>
      </c>
      <c r="N3276" t="n">
        <v>0</v>
      </c>
      <c r="O3276" t="n">
        <v>0</v>
      </c>
      <c r="P3276">
        <f>HYPERLINK("https://www.acritica.com/emir-sader-descarta-risco-de-inseguranca-ou-caos-na-venezuela-pos-chavez-1.118872", "URL")</f>
        <v/>
      </c>
      <c r="Q3276">
        <f>HYPERLINK("https://raw.githubusercontent.com/marcosmapl/dataset_imigrantes/main/materias_filtered/a_critica/venezuelanos/2013/02_mar/html/1.118872_733.html", "HTML")</f>
        <v/>
      </c>
      <c r="R3276">
        <f>HYPERLINK("https://raw.githubusercontent.com/marcosmapl/dataset_imigrantes/main/materias_filtered/a_critica/venezuelanos/2013/02_mar/txt/1.118872_733.txt", "TXT")</f>
        <v/>
      </c>
    </row>
    <row r="3277">
      <c r="A3277" s="1" t="n">
        <v>3275</v>
      </c>
      <c r="B3277" t="n">
        <v>2013</v>
      </c>
      <c r="C3277" s="2" t="n">
        <v>41339.72762731482</v>
      </c>
      <c r="D3277" t="inlineStr">
        <is>
          <t>A CRITICA</t>
        </is>
      </c>
      <c r="E3277" t="inlineStr">
        <is>
          <t>VENEZUELANOS</t>
        </is>
      </c>
      <c r="F3277" t="inlineStr"/>
      <c r="G3277" t="inlineStr">
        <is>
          <t>RENATA GIRALDI/ AGÊNCIA BRASIL</t>
        </is>
      </c>
      <c r="H3277" t="inlineStr">
        <is>
          <t>DILMA ROUSSEFF DECRETA LUTO DE TRÊS DIAS PELA MORTE DE CHÁVEZ</t>
        </is>
      </c>
      <c r="I3277" t="inlineStr">
        <is>
          <t>O ANÚNCIO DA MORTE DO VENEZUELANO FOI FEITO PELO VICE-PRESIDENTE DA VENEZUELA, NICOLÁS MADURO, EM PRONUNCIAMENTO EM REDE NACIONAL DE RÁDIO E TELEVISÃO</t>
        </is>
      </c>
      <c r="J3277" t="inlineStr"/>
      <c r="K3277" t="n">
        <v>0</v>
      </c>
      <c r="L3277" t="n">
        <v>1</v>
      </c>
      <c r="M3277" t="n">
        <v>0</v>
      </c>
      <c r="N3277" t="n">
        <v>0</v>
      </c>
      <c r="O3277" t="n">
        <v>2</v>
      </c>
      <c r="P3277">
        <f>HYPERLINK("https://www.acritica.com/dilma-rousseff-decreta-luto-de-tres-dias-pela-morte-de-chavez-1.118918", "URL")</f>
        <v/>
      </c>
      <c r="Q3277">
        <f>HYPERLINK("https://raw.githubusercontent.com/marcosmapl/dataset_imigrantes/main/materias_filtered/a_critica/venezuelanos/2013/02_mar/html/1.118918_1248.html", "HTML")</f>
        <v/>
      </c>
      <c r="R3277">
        <f>HYPERLINK("https://raw.githubusercontent.com/marcosmapl/dataset_imigrantes/main/materias_filtered/a_critica/venezuelanos/2013/02_mar/txt/1.118918_1248.txt", "TXT")</f>
        <v/>
      </c>
    </row>
    <row r="3278">
      <c r="A3278" s="1" t="n">
        <v>3276</v>
      </c>
      <c r="B3278" t="n">
        <v>2013</v>
      </c>
      <c r="C3278" s="2" t="n">
        <v>41339.68930555556</v>
      </c>
      <c r="D3278" t="inlineStr">
        <is>
          <t>A CRITICA</t>
        </is>
      </c>
      <c r="E3278" t="inlineStr">
        <is>
          <t>VENEZUELANOS</t>
        </is>
      </c>
      <c r="F3278" t="inlineStr"/>
      <c r="G3278" t="inlineStr">
        <is>
          <t>RENATA GIRALDI*/ AGÊNCIA BRASIL</t>
        </is>
      </c>
      <c r="H3278" t="inlineStr">
        <is>
          <t>CORTEJO FÚNEBRE COM O CORPO DE CHÁVEZ SEGUE PELAS PRINCIPAIS RUAS DE CARACAS</t>
        </is>
      </c>
      <c r="I3278" t="inlineStr">
        <is>
          <t>O ENTERRO DE CHÁVEZ ESTÁ MARCADO PARA SEXTA-FEIRA (8) ÀS 10H</t>
        </is>
      </c>
      <c r="J3278" t="inlineStr"/>
      <c r="K3278" t="n">
        <v>0</v>
      </c>
      <c r="L3278" t="n">
        <v>1</v>
      </c>
      <c r="M3278" t="n">
        <v>0</v>
      </c>
      <c r="N3278" t="n">
        <v>0</v>
      </c>
      <c r="O3278" t="n">
        <v>2</v>
      </c>
      <c r="P3278">
        <f>HYPERLINK("https://www.acritica.com/cortejo-funebre-com-o-corpo-de-chavez-segue-pelas-principais-ruas-de-caracas-1.214450", "URL")</f>
        <v/>
      </c>
      <c r="Q3278">
        <f>HYPERLINK("https://raw.githubusercontent.com/marcosmapl/dataset_imigrantes/main/materias_filtered/a_critica/venezuelanos/2013/02_mar/html/1.214450_315.html", "HTML")</f>
        <v/>
      </c>
      <c r="R3278">
        <f>HYPERLINK("https://raw.githubusercontent.com/marcosmapl/dataset_imigrantes/main/materias_filtered/a_critica/venezuelanos/2013/02_mar/txt/1.214450_315.txt", "TXT")</f>
        <v/>
      </c>
    </row>
    <row r="3279">
      <c r="A3279" s="1" t="n">
        <v>3277</v>
      </c>
      <c r="B3279" t="n">
        <v>2013</v>
      </c>
      <c r="C3279" s="2" t="n">
        <v>41339.64541666667</v>
      </c>
      <c r="D3279" t="inlineStr">
        <is>
          <t>A CRITICA</t>
        </is>
      </c>
      <c r="E3279" t="inlineStr">
        <is>
          <t>VENEZUELANOS</t>
        </is>
      </c>
      <c r="F3279" t="inlineStr"/>
      <c r="G3279" t="inlineStr">
        <is>
          <t>RENATA GIRALDI*/ AGÊNCIA BRASIL</t>
        </is>
      </c>
      <c r="H3279" t="inlineStr">
        <is>
          <t>TRÊS PRESIDENTES ESTÃO EM CARACAS PARA O ENTERRO DE CHÁVEZ, DILMA VIAJA NA QUINTA (7)</t>
        </is>
      </c>
      <c r="I3279" t="inlineStr">
        <is>
          <t>OS PRESIDENTES SEBASTIÁN PIÑERA (CHILE) E RAFAEL CORREA (EQUADOR) TAMBÉM DEVEM VIAJAR PARA CARACAS PARA PRESTAR AS ÚLTIMAS HOMENAGENS A CHÁVEZ</t>
        </is>
      </c>
      <c r="J3279" t="inlineStr"/>
      <c r="K3279" t="n">
        <v>0</v>
      </c>
      <c r="L3279" t="n">
        <v>1</v>
      </c>
      <c r="M3279" t="n">
        <v>0</v>
      </c>
      <c r="N3279" t="n">
        <v>0</v>
      </c>
      <c r="O3279" t="n">
        <v>4</v>
      </c>
      <c r="P3279">
        <f>HYPERLINK("https://www.acritica.com/tres-presidentes-est-o-em-caracas-para-o-enterro-de-chavez-dilma-viaja-na-quinta-7-1.214481", "URL")</f>
        <v/>
      </c>
      <c r="Q3279">
        <f>HYPERLINK("https://raw.githubusercontent.com/marcosmapl/dataset_imigrantes/main/materias_filtered/a_critica/venezuelanos/2013/02_mar/html/1.214481_864.html", "HTML")</f>
        <v/>
      </c>
      <c r="R3279">
        <f>HYPERLINK("https://raw.githubusercontent.com/marcosmapl/dataset_imigrantes/main/materias_filtered/a_critica/venezuelanos/2013/02_mar/txt/1.214481_864.txt", "TXT")</f>
        <v/>
      </c>
    </row>
    <row r="3280">
      <c r="A3280" s="1" t="n">
        <v>3278</v>
      </c>
      <c r="B3280" t="n">
        <v>2013</v>
      </c>
      <c r="C3280" s="2" t="n">
        <v>41339.49983796296</v>
      </c>
      <c r="D3280" t="inlineStr">
        <is>
          <t>A CRITICA</t>
        </is>
      </c>
      <c r="E3280" t="inlineStr">
        <is>
          <t>VENEZUELANOS</t>
        </is>
      </c>
      <c r="F3280" t="inlineStr"/>
      <c r="G3280" t="inlineStr">
        <is>
          <t>RENATA GIRALDI*/ AGÊNCIA BRASIL</t>
        </is>
      </c>
      <c r="H3280" t="inlineStr">
        <is>
          <t>MADURO É PRESIDENTE INTERINO E VENEZUELA SE PREPARA PARA IR ÀS URNAS</t>
        </is>
      </c>
      <c r="I3280" t="inlineStr">
        <is>
          <t>NÃO HÁ DETALHES SOBRE A DATA EXATA DAS ELEIÇÕES NA VENEZUELA. NOS ÚLTIMOS MESES, OS ALIADOS DE CHÁVEZ E A OPOSIÇÃO APRESENTARAM INTERPRETAÇÕES DIVERGENTES SOBRE A CONSTITUIÇÃO, EM CASO DA MORTE DO PRESIDENTE DA REPÚBLICA</t>
        </is>
      </c>
      <c r="J3280" t="inlineStr"/>
      <c r="K3280" t="n">
        <v>0</v>
      </c>
      <c r="L3280" t="n">
        <v>1</v>
      </c>
      <c r="M3280" t="n">
        <v>0</v>
      </c>
      <c r="N3280" t="n">
        <v>0</v>
      </c>
      <c r="O3280" t="n">
        <v>3</v>
      </c>
      <c r="P3280">
        <f>HYPERLINK("https://www.acritica.com/maduro-e-presidente-interino-e-venezuela-se-prepara-para-ir-as-urnas-1.214552", "URL")</f>
        <v/>
      </c>
      <c r="Q3280">
        <f>HYPERLINK("https://raw.githubusercontent.com/marcosmapl/dataset_imigrantes/main/materias_filtered/a_critica/venezuelanos/2013/02_mar/html/1.214552_1103.html", "HTML")</f>
        <v/>
      </c>
      <c r="R3280">
        <f>HYPERLINK("https://raw.githubusercontent.com/marcosmapl/dataset_imigrantes/main/materias_filtered/a_critica/venezuelanos/2013/02_mar/txt/1.214552_1103.txt", "TXT")</f>
        <v/>
      </c>
    </row>
    <row r="3281">
      <c r="A3281" s="1" t="n">
        <v>3279</v>
      </c>
      <c r="B3281" t="n">
        <v>2013</v>
      </c>
      <c r="C3281" s="2" t="n">
        <v>41339.0432175926</v>
      </c>
      <c r="D3281" t="inlineStr">
        <is>
          <t>A CRITICA</t>
        </is>
      </c>
      <c r="E3281" t="inlineStr">
        <is>
          <t>VENEZUELANOS</t>
        </is>
      </c>
      <c r="F3281" t="inlineStr"/>
      <c r="G3281" t="inlineStr">
        <is>
          <t>BRUNO STRAHM</t>
        </is>
      </c>
      <c r="H3281" t="inlineStr">
        <is>
          <t>QUEM SUCEDERÁ HUGO CHÁVEZ?</t>
        </is>
      </c>
      <c r="I3281" t="inlineStr">
        <is>
          <t>CHÁVEZ MORRE ANTES DE TERMINAR SEU PROJETO NA VENEZUELA. O PAÍS IRÁ ENFRENTAR NOVAS ELEIÇÕES EM TRINTA DIAS.</t>
        </is>
      </c>
      <c r="J3281" t="inlineStr"/>
      <c r="K3281" t="n">
        <v>0</v>
      </c>
      <c r="L3281" t="n">
        <v>1</v>
      </c>
      <c r="M3281" t="n">
        <v>0</v>
      </c>
      <c r="N3281" t="n">
        <v>0</v>
      </c>
      <c r="O3281" t="n">
        <v>0</v>
      </c>
      <c r="P3281">
        <f>HYPERLINK("https://www.acritica.com/quem-sucedera-hugo-chavez-1.128949", "URL")</f>
        <v/>
      </c>
      <c r="Q3281">
        <f>HYPERLINK("https://raw.githubusercontent.com/marcosmapl/dataset_imigrantes/main/materias_filtered/a_critica/venezuelanos/2013/02_mar/html/1.128949_360.html", "HTML")</f>
        <v/>
      </c>
      <c r="R3281">
        <f>HYPERLINK("https://raw.githubusercontent.com/marcosmapl/dataset_imigrantes/main/materias_filtered/a_critica/venezuelanos/2013/02_mar/txt/1.128949_360.txt", "TXT")</f>
        <v/>
      </c>
    </row>
    <row r="3282">
      <c r="A3282" s="1" t="n">
        <v>3280</v>
      </c>
      <c r="B3282" t="n">
        <v>2013</v>
      </c>
      <c r="C3282" s="2" t="n">
        <v>41338.99505787037</v>
      </c>
      <c r="D3282" t="inlineStr">
        <is>
          <t>A CRITICA</t>
        </is>
      </c>
      <c r="E3282" t="inlineStr">
        <is>
          <t>VENEZUELANOS</t>
        </is>
      </c>
      <c r="F3282" t="inlineStr"/>
      <c r="G3282" t="inlineStr">
        <is>
          <t>ACRÍTICA.COM</t>
        </is>
      </c>
      <c r="H3282" t="inlineStr">
        <is>
          <t>LULA LAMENTA MORTE DE HUGO CHÁVEZ</t>
        </is>
      </c>
      <c r="I3282" t="inlineStr">
        <is>
          <t>O EX-PRESIDENTE LANÇOU UMA NOTA OFICIAL SOBRE A MORTE DO PRESIDENTE DA VENEZUELA.</t>
        </is>
      </c>
      <c r="J3282" t="inlineStr"/>
      <c r="K3282" t="n">
        <v>0</v>
      </c>
      <c r="L3282" t="n">
        <v>1</v>
      </c>
      <c r="M3282" t="n">
        <v>0</v>
      </c>
      <c r="N3282" t="n">
        <v>0</v>
      </c>
      <c r="O3282" t="n">
        <v>1</v>
      </c>
      <c r="P3282">
        <f>HYPERLINK("https://www.acritica.com/lula-lamenta-morte-de-hugo-chavez-1.128945", "URL")</f>
        <v/>
      </c>
      <c r="Q3282">
        <f>HYPERLINK("https://raw.githubusercontent.com/marcosmapl/dataset_imigrantes/main/materias_filtered/a_critica/venezuelanos/2013/02_mar/html/1.128945_121.html", "HTML")</f>
        <v/>
      </c>
      <c r="R3282">
        <f>HYPERLINK("https://raw.githubusercontent.com/marcosmapl/dataset_imigrantes/main/materias_filtered/a_critica/venezuelanos/2013/02_mar/txt/1.128945_121.txt", "TXT")</f>
        <v/>
      </c>
    </row>
    <row r="3283">
      <c r="A3283" s="1" t="n">
        <v>3281</v>
      </c>
      <c r="B3283" t="n">
        <v>2013</v>
      </c>
      <c r="C3283" s="2" t="n">
        <v>41338.94144675926</v>
      </c>
      <c r="D3283" t="inlineStr">
        <is>
          <t>A CRITICA</t>
        </is>
      </c>
      <c r="E3283" t="inlineStr">
        <is>
          <t>VENEZUELANOS</t>
        </is>
      </c>
      <c r="F3283" t="inlineStr"/>
      <c r="G3283" t="inlineStr">
        <is>
          <t>AGÊNCIA BRASIL</t>
        </is>
      </c>
      <c r="H3283" t="inlineStr">
        <is>
          <t>MADURO CONVOCA POPULAÇÃO A FAZER HOMENAGEM A CHÁVEZ</t>
        </is>
      </c>
      <c r="I3283" t="inlineStr">
        <is>
          <t>COM A VOZ EMBARGADA, MADURO PEDIU PARA QUE TODOS OCUPEM AS RUAS AO REDOR DO HOSPITAL MILITAR DE CARACAS, ONDE O PRESIDENTE ESTAVA INTERNADO</t>
        </is>
      </c>
      <c r="J3283" t="inlineStr"/>
      <c r="K3283" t="n">
        <v>0</v>
      </c>
      <c r="L3283" t="n">
        <v>1</v>
      </c>
      <c r="M3283" t="n">
        <v>0</v>
      </c>
      <c r="N3283" t="n">
        <v>0</v>
      </c>
      <c r="O3283" t="n">
        <v>2</v>
      </c>
      <c r="P3283">
        <f>HYPERLINK("https://www.acritica.com/maduro-convoca-populac-o-a-fazer-homenagem-a-chavez-1.136231", "URL")</f>
        <v/>
      </c>
      <c r="Q3283">
        <f>HYPERLINK("https://raw.githubusercontent.com/marcosmapl/dataset_imigrantes/main/materias_filtered/a_critica/venezuelanos/2013/02_mar/html/1.136231_1077.html", "HTML")</f>
        <v/>
      </c>
      <c r="R3283">
        <f>HYPERLINK("https://raw.githubusercontent.com/marcosmapl/dataset_imigrantes/main/materias_filtered/a_critica/venezuelanos/2013/02_mar/txt/1.136231_1077.txt", "TXT")</f>
        <v/>
      </c>
    </row>
    <row r="3284">
      <c r="A3284" s="1" t="n">
        <v>3282</v>
      </c>
      <c r="B3284" t="n">
        <v>2013</v>
      </c>
      <c r="C3284" s="2" t="n">
        <v>41338.93466435185</v>
      </c>
      <c r="D3284" t="inlineStr">
        <is>
          <t>A CRITICA</t>
        </is>
      </c>
      <c r="E3284" t="inlineStr">
        <is>
          <t>VENEZUELANOS</t>
        </is>
      </c>
      <c r="F3284" t="inlineStr"/>
      <c r="G3284" t="inlineStr">
        <is>
          <t>ACRÍTICA.COM</t>
        </is>
      </c>
      <c r="H3284" t="inlineStr">
        <is>
          <t>MORRE PRESIDENTE DA VENEZUELA HUGO CHÁVEZ</t>
        </is>
      </c>
      <c r="I3284" t="inlineStr">
        <is>
          <t>O PRESIDENTE DA VENEZUELA FALECEU AOS 58 ANOS APÓS LUTAR CONTRA UM CÂNCER DE PRÓSTATA.</t>
        </is>
      </c>
      <c r="J3284" t="inlineStr"/>
      <c r="K3284" t="n">
        <v>0</v>
      </c>
      <c r="L3284" t="n">
        <v>1</v>
      </c>
      <c r="M3284" t="n">
        <v>0</v>
      </c>
      <c r="N3284" t="n">
        <v>0</v>
      </c>
      <c r="O3284" t="n">
        <v>2</v>
      </c>
      <c r="P3284">
        <f>HYPERLINK("https://www.acritica.com/morre-presidente-da-venezuela-hugo-chavez-1.214577", "URL")</f>
        <v/>
      </c>
      <c r="Q3284">
        <f>HYPERLINK("https://raw.githubusercontent.com/marcosmapl/dataset_imigrantes/main/materias_filtered/a_critica/venezuelanos/2013/02_mar/html/1.214577_177.html", "HTML")</f>
        <v/>
      </c>
      <c r="R3284">
        <f>HYPERLINK("https://raw.githubusercontent.com/marcosmapl/dataset_imigrantes/main/materias_filtered/a_critica/venezuelanos/2013/02_mar/txt/1.214577_177.txt", "TXT")</f>
        <v/>
      </c>
    </row>
    <row r="3285">
      <c r="A3285" s="1" t="n">
        <v>3283</v>
      </c>
      <c r="B3285" t="n">
        <v>2013</v>
      </c>
      <c r="C3285" s="2" t="n">
        <v>41338.85416666666</v>
      </c>
      <c r="D3285" t="inlineStr">
        <is>
          <t>G1</t>
        </is>
      </c>
      <c r="E3285" t="inlineStr">
        <is>
          <t>VENEZUELANOS</t>
        </is>
      </c>
      <c r="F3285" t="inlineStr"/>
      <c r="G3285" t="inlineStr">
        <is>
          <t>ERS</t>
        </is>
      </c>
      <c r="H3285" t="inlineStr">
        <is>
          <t>LÍDER DA OPOSIÇÃO VENEZUELANA PEDE UNIDADE APÓS MORTE DE CHÁVEZ</t>
        </is>
      </c>
      <c r="I3285" t="inlineStr"/>
      <c r="J3285" t="inlineStr"/>
      <c r="K3285" t="n">
        <v>0</v>
      </c>
      <c r="L3285" t="n">
        <v>1</v>
      </c>
      <c r="M3285" t="n">
        <v>0</v>
      </c>
      <c r="N3285" t="n">
        <v>0</v>
      </c>
      <c r="O3285" t="n">
        <v>4</v>
      </c>
      <c r="P3285">
        <f>HYPERLINK("http://g1.globo.com/mundo/noticia/2013/03/lider-da-oposicao-venezuelana-pede-unidade-apos-morte-de-chavez.html", "URL")</f>
        <v/>
      </c>
      <c r="Q3285">
        <f>HYPERLINK("https://raw.githubusercontent.com/marcosmapl/dataset_imigrantes/main/materias_filtered/g1/venezuelanos/2013/02_mar/html/g1_b65c410a-2326-11ed-b24f-6dbe51e79fca_3994.html", "HTML")</f>
        <v/>
      </c>
      <c r="R3285">
        <f>HYPERLINK("https://raw.githubusercontent.com/marcosmapl/dataset_imigrantes/main/materias_filtered/g1/venezuelanos/2013/02_mar/txt/g1_b65c410a-2326-11ed-b24f-6dbe51e79fca_3994.txt", "TXT")</f>
        <v/>
      </c>
    </row>
    <row r="3286">
      <c r="A3286" s="1" t="n">
        <v>3284</v>
      </c>
      <c r="B3286" t="n">
        <v>2013</v>
      </c>
      <c r="C3286" s="2" t="n">
        <v>41338.50180555556</v>
      </c>
      <c r="D3286" t="inlineStr">
        <is>
          <t>A CRITICA</t>
        </is>
      </c>
      <c r="E3286" t="inlineStr">
        <is>
          <t>VENEZUELANOS</t>
        </is>
      </c>
      <c r="F3286" t="inlineStr"/>
      <c r="G3286" t="inlineStr">
        <is>
          <t>LEANDRA FELIPE* CORRESPONDENTE AGÊNCIA BRASIL/EBC</t>
        </is>
      </c>
      <c r="H3286" t="inlineStr">
        <is>
          <t>GOVERNO VENEZUELANO ANUNCIA PIORA NO ESTADO DE SAÚDE DO PRESIDENTE CHÁVEZ</t>
        </is>
      </c>
      <c r="I3286" t="inlineStr">
        <is>
          <t>“EXISTE UMA PIORA DA FUNÇÃO RESPIRATÓRIA”, DISSE ERNERTO VILLEGAS AO LER UM COMUNICADOA EM CADEIA NACIONAL DE RÁDIO E TELEVISÃO</t>
        </is>
      </c>
      <c r="J3286" t="inlineStr"/>
      <c r="K3286" t="n">
        <v>0</v>
      </c>
      <c r="L3286" t="n">
        <v>1</v>
      </c>
      <c r="M3286" t="n">
        <v>0</v>
      </c>
      <c r="N3286" t="n">
        <v>0</v>
      </c>
      <c r="O3286" t="n">
        <v>1</v>
      </c>
      <c r="P3286">
        <f>HYPERLINK("https://www.acritica.com/governo-venezuelano-anuncia-piora-no-estado-de-saude-do-presidente-chavez-1.128826", "URL")</f>
        <v/>
      </c>
      <c r="Q3286">
        <f>HYPERLINK("https://raw.githubusercontent.com/marcosmapl/dataset_imigrantes/main/materias_filtered/a_critica/venezuelanos/2013/02_mar/html/1.128826_1200.html", "HTML")</f>
        <v/>
      </c>
      <c r="R3286">
        <f>HYPERLINK("https://raw.githubusercontent.com/marcosmapl/dataset_imigrantes/main/materias_filtered/a_critica/venezuelanos/2013/02_mar/txt/1.128826_1200.txt", "TXT")</f>
        <v/>
      </c>
    </row>
    <row r="3287">
      <c r="A3287" s="1" t="n">
        <v>3285</v>
      </c>
      <c r="B3287" t="n">
        <v>2013</v>
      </c>
      <c r="C3287" s="2" t="n">
        <v>41335.54451388889</v>
      </c>
      <c r="D3287" t="inlineStr">
        <is>
          <t>A CRITICA</t>
        </is>
      </c>
      <c r="E3287" t="inlineStr">
        <is>
          <t>VENEZUELANOS</t>
        </is>
      </c>
      <c r="F3287" t="inlineStr"/>
      <c r="G3287" t="inlineStr">
        <is>
          <t>LEANDRA FELIPE*/AGÊNCIA BRASIL</t>
        </is>
      </c>
      <c r="H3287" t="inlineStr">
        <is>
          <t>GOVERNO DA VENEZUELA REAFIRMA QUE CHÁVEZ ESTÁ INTERNADO NO HOSPITAL MILITAR DE CARACAS</t>
        </is>
      </c>
      <c r="I3287" t="inlineStr">
        <is>
          <t>“ELE ESTÁ MUITO TRANQUILO, ACOMPANHADO DE SEUS MÉDICOS E PARENTES”, DISSE O MINISTRO DA CIÊNCIA E TECNOLOGIA, JORGE ARREAZA, QUE QUALIFICOU COMO “GUERRA PSICOLÓGICA”, A DIVULGAÇÃO DE RUMORES SOBRE A PIORA DE CHÁVEZ NAS REDES SOCIAIS</t>
        </is>
      </c>
      <c r="J3287" t="inlineStr"/>
      <c r="K3287" t="n">
        <v>0</v>
      </c>
      <c r="L3287" t="n">
        <v>1</v>
      </c>
      <c r="M3287" t="n">
        <v>0</v>
      </c>
      <c r="N3287" t="n">
        <v>0</v>
      </c>
      <c r="O3287" t="n">
        <v>0</v>
      </c>
      <c r="P3287">
        <f>HYPERLINK("https://www.acritica.com/governo-da-venezuela-reafirma-que-chavez-esta-internado-no-hospital-militar-de-caracas-1.214733", "URL")</f>
        <v/>
      </c>
      <c r="Q3287">
        <f>HYPERLINK("https://raw.githubusercontent.com/marcosmapl/dataset_imigrantes/main/materias_filtered/a_critica/venezuelanos/2013/02_mar/html/1.214733_1040.html", "HTML")</f>
        <v/>
      </c>
      <c r="R3287">
        <f>HYPERLINK("https://raw.githubusercontent.com/marcosmapl/dataset_imigrantes/main/materias_filtered/a_critica/venezuelanos/2013/02_mar/txt/1.214733_1040.txt", "TXT")</f>
        <v/>
      </c>
    </row>
    <row r="3288">
      <c r="A3288" s="1" t="n">
        <v>3286</v>
      </c>
      <c r="B3288" t="n">
        <v>2013</v>
      </c>
      <c r="C3288" s="2" t="n">
        <v>41334.55486111111</v>
      </c>
      <c r="D3288" t="inlineStr">
        <is>
          <t>G1</t>
        </is>
      </c>
      <c r="E3288" t="inlineStr">
        <is>
          <t>HAITIANOS</t>
        </is>
      </c>
      <c r="F3288" t="inlineStr"/>
      <c r="G3288" t="inlineStr">
        <is>
          <t>1 TRIÂNGULO MINEIRO</t>
        </is>
      </c>
      <c r="H3288" t="inlineStr">
        <is>
          <t>HAITIANOS SÃO CONTRATADOS DEVIDO À FALTA DE MÃO DE OBRA EM UBERABA, MG</t>
        </is>
      </c>
      <c r="I3288" t="inlineStr"/>
      <c r="J3288" t="inlineStr">
        <is>
          <t>UBERABA</t>
        </is>
      </c>
      <c r="K3288" t="n">
        <v>1</v>
      </c>
      <c r="L3288" t="n">
        <v>4</v>
      </c>
      <c r="M3288" t="n">
        <v>0</v>
      </c>
      <c r="N3288" t="n">
        <v>0</v>
      </c>
      <c r="O3288" t="n">
        <v>11</v>
      </c>
      <c r="P3288">
        <f>HYPERLINK("http://g1.globo.com/minas-gerais/triangulo-mineiro/noticia/2013/03/haitianos-sao-contratados-devido-falta-de-mao-de-obra-em-uberaba-mg.html", "URL")</f>
        <v/>
      </c>
      <c r="Q3288">
        <f>HYPERLINK("https://raw.githubusercontent.com/marcosmapl/dataset_imigrantes/main/materias_filtered/g1/haitianos/2013/02_mar/html/g1_3cc54e52-22f6-11ed-b24f-6dbe51e79fca_2002.html", "HTML")</f>
        <v/>
      </c>
      <c r="R3288">
        <f>HYPERLINK("https://raw.githubusercontent.com/marcosmapl/dataset_imigrantes/main/materias_filtered/g1/haitianos/2013/02_mar/txt/g1_3cc54e52-22f6-11ed-b24f-6dbe51e79fca_2002.txt", "TXT")</f>
        <v/>
      </c>
    </row>
    <row r="3289">
      <c r="A3289" s="1" t="n">
        <v>3287</v>
      </c>
      <c r="B3289" t="n">
        <v>2013</v>
      </c>
      <c r="C3289" s="2" t="n">
        <v>41333.88541666666</v>
      </c>
      <c r="D3289" t="inlineStr">
        <is>
          <t>G1</t>
        </is>
      </c>
      <c r="E3289" t="inlineStr">
        <is>
          <t>HAITIANOS</t>
        </is>
      </c>
      <c r="F3289" t="inlineStr"/>
      <c r="G3289" t="inlineStr">
        <is>
          <t>ERS</t>
        </is>
      </c>
      <c r="H3289" t="inlineStr">
        <is>
          <t>EX-DITADOR HAITIANO "BABY DOC" VAI PELA 1A VEZ A TRIBUNAL PARA SER JULGADO</t>
        </is>
      </c>
      <c r="I3289" t="inlineStr"/>
      <c r="J3289" t="inlineStr"/>
      <c r="K3289" t="n">
        <v>0</v>
      </c>
      <c r="L3289" t="n">
        <v>1</v>
      </c>
      <c r="M3289" t="n">
        <v>0</v>
      </c>
      <c r="N3289" t="n">
        <v>0</v>
      </c>
      <c r="O3289" t="n">
        <v>4</v>
      </c>
      <c r="P3289">
        <f>HYPERLINK("http://g1.globo.com/mundo/noticia/2013/02/ex-ditador-haitiano-baby-doc-vai-pela-1a-vez-a-tribunal-para-ser-julgado.html", "URL")</f>
        <v/>
      </c>
      <c r="Q3289">
        <f>HYPERLINK("https://raw.githubusercontent.com/marcosmapl/dataset_imigrantes/main/materias_filtered/g1/haitianos/2013/01_fev/html/g1_568b497e-232b-11ed-b24f-6dbe51e79fca_4239.html", "HTML")</f>
        <v/>
      </c>
      <c r="R3289">
        <f>HYPERLINK("https://raw.githubusercontent.com/marcosmapl/dataset_imigrantes/main/materias_filtered/g1/haitianos/2013/01_fev/txt/g1_568b497e-232b-11ed-b24f-6dbe51e79fca_4239.txt", "TXT")</f>
        <v/>
      </c>
    </row>
    <row r="3290">
      <c r="A3290" s="1" t="n">
        <v>3288</v>
      </c>
      <c r="B3290" t="n">
        <v>2013</v>
      </c>
      <c r="C3290" s="2" t="n">
        <v>41333.33541666667</v>
      </c>
      <c r="D3290" t="inlineStr">
        <is>
          <t>G1</t>
        </is>
      </c>
      <c r="E3290" t="inlineStr">
        <is>
          <t>HAITIANOS</t>
        </is>
      </c>
      <c r="F3290" t="inlineStr"/>
      <c r="G3290" t="inlineStr"/>
      <c r="H3290" t="inlineStr">
        <is>
          <t>SEM EMPREGO, HAITIANOS PERAMBULAM POR CIDADES DO ACRE</t>
        </is>
      </c>
      <c r="I3290" t="inlineStr"/>
      <c r="J3290" t="inlineStr"/>
      <c r="K3290" t="n">
        <v>0</v>
      </c>
      <c r="L3290" t="n">
        <v>1</v>
      </c>
      <c r="M3290" t="n">
        <v>0</v>
      </c>
      <c r="N3290" t="n">
        <v>0</v>
      </c>
      <c r="O3290" t="n">
        <v>4</v>
      </c>
      <c r="P3290">
        <f>HYPERLINK("http://g1.globo.com/brasil/noticia/2013/02/sem-emprego-haitianos-perambulam-por-cidades-do-acre.html", "URL")</f>
        <v/>
      </c>
      <c r="Q3290">
        <f>HYPERLINK("https://raw.githubusercontent.com/marcosmapl/dataset_imigrantes/main/materias_filtered/g1/haitianos/2013/01_fev/html/g1_23dfef2c-22ed-11ed-b24f-6dbe51e79fca_1680.html", "HTML")</f>
        <v/>
      </c>
      <c r="R3290">
        <f>HYPERLINK("https://raw.githubusercontent.com/marcosmapl/dataset_imigrantes/main/materias_filtered/g1/haitianos/2013/01_fev/txt/g1_23dfef2c-22ed-11ed-b24f-6dbe51e79fca_1680.txt", "TXT")</f>
        <v/>
      </c>
    </row>
    <row r="3291">
      <c r="A3291" s="1" t="n">
        <v>3289</v>
      </c>
      <c r="B3291" t="n">
        <v>2013</v>
      </c>
      <c r="C3291" s="2" t="n">
        <v>41332.44872685185</v>
      </c>
      <c r="D3291" t="inlineStr">
        <is>
          <t>A CRITICA</t>
        </is>
      </c>
      <c r="E3291" t="inlineStr">
        <is>
          <t>VENEZUELANOS</t>
        </is>
      </c>
      <c r="F3291" t="inlineStr"/>
      <c r="G3291" t="inlineStr">
        <is>
          <t>NAFÉRSON CRUZ</t>
        </is>
      </c>
      <c r="H3291" t="inlineStr">
        <is>
          <t>ABUSOS EM TERRITÓRIO VENEZUELANO REVOLTAM TURISTAS BRASILEIROS</t>
        </is>
      </c>
      <c r="I3291" t="inlineStr">
        <is>
          <t>RELATOS DE AMAZONENSES QUE FORAM À VENEZUELA DÃO CONTA DE QUE ATÉ ASSASSINATOS OCORREM NO PAÍS VIZINHO; DENÚNCIAS SERÃO LEVADAS AO ITAMARATY</t>
        </is>
      </c>
      <c r="J3291" t="inlineStr"/>
      <c r="K3291" t="n">
        <v>0</v>
      </c>
      <c r="L3291" t="n">
        <v>1</v>
      </c>
      <c r="M3291" t="n">
        <v>0</v>
      </c>
      <c r="N3291" t="n">
        <v>0</v>
      </c>
      <c r="O3291" t="n">
        <v>0</v>
      </c>
      <c r="P3291">
        <f>HYPERLINK("https://www.acritica.com/abusos-em-territorio-venezuelano-revoltam-turistas-brasileiros-1.127888", "URL")</f>
        <v/>
      </c>
      <c r="Q3291">
        <f>HYPERLINK("https://raw.githubusercontent.com/marcosmapl/dataset_imigrantes/main/materias_filtered/a_critica/venezuelanos/2013/01_fev/html/1.127888_1304.html", "HTML")</f>
        <v/>
      </c>
      <c r="R3291">
        <f>HYPERLINK("https://raw.githubusercontent.com/marcosmapl/dataset_imigrantes/main/materias_filtered/a_critica/venezuelanos/2013/01_fev/txt/1.127888_1304.txt", "TXT")</f>
        <v/>
      </c>
    </row>
    <row r="3292">
      <c r="A3292" s="1" t="n">
        <v>3290</v>
      </c>
      <c r="B3292" t="n">
        <v>2013</v>
      </c>
      <c r="C3292" s="2" t="n">
        <v>41331.82990740741</v>
      </c>
      <c r="D3292" t="inlineStr">
        <is>
          <t>A CRITICA</t>
        </is>
      </c>
      <c r="E3292" t="inlineStr">
        <is>
          <t>VENEZUELANOS</t>
        </is>
      </c>
      <c r="F3292" t="inlineStr"/>
      <c r="G3292" t="inlineStr">
        <is>
          <t>ACRÍTICA.COM</t>
        </is>
      </c>
      <c r="H3292" t="inlineStr">
        <is>
          <t>DEPUTADOS APROVAM FORMAÇÃO DA FRENTE PARLAMENTAR COM RORAIMA PARA AVALIAR TURISMO NA VENEZUELA</t>
        </is>
      </c>
      <c r="I3292" t="inlineStr">
        <is>
          <t>OS DEPUTADOS ESTADUAIS APROVARAM POR UNANIMIDADE, EM SEUS PRONUNCIAMENTOS, A FORMAÇÃO DE UMA FRENTE PARLAMENTAR PARA LUTAR PELOS DIREITOS DOS TURISTAS BRASILEIROS QUE VIAJAM À VENEZUELA</t>
        </is>
      </c>
      <c r="J3292" t="inlineStr"/>
      <c r="K3292" t="n">
        <v>0</v>
      </c>
      <c r="L3292" t="n">
        <v>1</v>
      </c>
      <c r="M3292" t="n">
        <v>0</v>
      </c>
      <c r="N3292" t="n">
        <v>0</v>
      </c>
      <c r="O3292" t="n">
        <v>1</v>
      </c>
      <c r="P3292">
        <f>HYPERLINK("https://www.acritica.com/deputados-aprovam-formac-o-da-frente-parlamentar-com-roraima-para-avaliar-turismo-na-venezuela-1.127982", "URL")</f>
        <v/>
      </c>
      <c r="Q3292">
        <f>HYPERLINK("https://raw.githubusercontent.com/marcosmapl/dataset_imigrantes/main/materias_filtered/a_critica/venezuelanos/2013/01_fev/html/1.127982_1206.html", "HTML")</f>
        <v/>
      </c>
      <c r="R3292">
        <f>HYPERLINK("https://raw.githubusercontent.com/marcosmapl/dataset_imigrantes/main/materias_filtered/a_critica/venezuelanos/2013/01_fev/txt/1.127982_1206.txt", "TXT")</f>
        <v/>
      </c>
    </row>
    <row r="3293">
      <c r="A3293" s="1" t="n">
        <v>3291</v>
      </c>
      <c r="B3293" t="n">
        <v>2013</v>
      </c>
      <c r="C3293" s="2" t="n">
        <v>41330.47081018519</v>
      </c>
      <c r="D3293" t="inlineStr">
        <is>
          <t>A CRITICA</t>
        </is>
      </c>
      <c r="E3293" t="inlineStr">
        <is>
          <t>VENEZUELANOS</t>
        </is>
      </c>
      <c r="F3293" t="inlineStr"/>
      <c r="G3293" t="inlineStr">
        <is>
          <t>CAROLINA SILVA</t>
        </is>
      </c>
      <c r="H3293" t="inlineStr">
        <is>
          <t>TURISTAS BRASILEIROS DENUNCIAM CONSTRANGIMENTOS SOFRIDOS EM FÉRIAS NA VENEZUELA</t>
        </is>
      </c>
      <c r="I3293" t="inlineStr">
        <is>
          <t>O TERRITÓRIO VENEZUELANO TORNOU-SE UM DOS DESTINOS FAVORITOS DE TURISTAS BRASILEIROS, PRINCIPALMENTE OS DA REGIÃO NORTE, QUE NA MAIORIA DAS VEZES, BUSCAM CURTIR AS FÉRIAS NA ILHA DE MARGARITA SEM GASTAR MUITO</t>
        </is>
      </c>
      <c r="J3293" t="inlineStr"/>
      <c r="K3293" t="n">
        <v>0</v>
      </c>
      <c r="L3293" t="n">
        <v>1</v>
      </c>
      <c r="M3293" t="n">
        <v>0</v>
      </c>
      <c r="N3293" t="n">
        <v>0</v>
      </c>
      <c r="O3293" t="n">
        <v>0</v>
      </c>
      <c r="P3293">
        <f>HYPERLINK("https://www.acritica.com/turistas-brasileiros-denunciam-constrangimentos-sofridos-em-ferias-na-venezuela-1.119371", "URL")</f>
        <v/>
      </c>
      <c r="Q3293">
        <f>HYPERLINK("https://raw.githubusercontent.com/marcosmapl/dataset_imigrantes/main/materias_filtered/a_critica/venezuelanos/2013/01_fev/html/1.119371_35.html", "HTML")</f>
        <v/>
      </c>
      <c r="R3293">
        <f>HYPERLINK("https://raw.githubusercontent.com/marcosmapl/dataset_imigrantes/main/materias_filtered/a_critica/venezuelanos/2013/01_fev/txt/1.119371_35.txt", "TXT")</f>
        <v/>
      </c>
    </row>
    <row r="3294">
      <c r="A3294" s="1" t="n">
        <v>3292</v>
      </c>
      <c r="B3294" t="n">
        <v>2013</v>
      </c>
      <c r="C3294" s="2" t="n">
        <v>41328.92291666667</v>
      </c>
      <c r="D3294" t="inlineStr">
        <is>
          <t>G1</t>
        </is>
      </c>
      <c r="E3294" t="inlineStr">
        <is>
          <t>HAITIANOS</t>
        </is>
      </c>
      <c r="F3294" t="inlineStr"/>
      <c r="G3294" t="inlineStr">
        <is>
          <t>GRAZIELA MAIADO G1 AM</t>
        </is>
      </c>
      <c r="H3294" t="inlineStr">
        <is>
          <t>NOVE HAITIANOS SÃO DETIDOS VIVENDO EM SITUAÇÃO IRREGULAR, EM MANAUS</t>
        </is>
      </c>
      <c r="I3294" t="inlineStr"/>
      <c r="J3294" t="inlineStr">
        <is>
          <t>MANAUS, AMAZONAS, POLÍCIA FEDERAL</t>
        </is>
      </c>
      <c r="K3294" t="n">
        <v>3</v>
      </c>
      <c r="L3294" t="n">
        <v>4</v>
      </c>
      <c r="M3294" t="n">
        <v>0</v>
      </c>
      <c r="N3294" t="n">
        <v>0</v>
      </c>
      <c r="O3294" t="n">
        <v>15</v>
      </c>
      <c r="P3294">
        <f>HYPERLINK("http://g1.globo.com/am/amazonas/noticia/2013/02/nove-haitianos-sao-detidos-vivendo-em-situacao-irregular-em-manaus.html", "URL")</f>
        <v/>
      </c>
      <c r="Q3294">
        <f>HYPERLINK("https://raw.githubusercontent.com/marcosmapl/dataset_imigrantes/main/materias_filtered/g1/haitianos/2013/01_fev/html/g1_86e648de-22f5-11ed-b24f-6dbe51e79fca_1956.html", "HTML")</f>
        <v/>
      </c>
      <c r="R3294">
        <f>HYPERLINK("https://raw.githubusercontent.com/marcosmapl/dataset_imigrantes/main/materias_filtered/g1/haitianos/2013/01_fev/txt/g1_86e648de-22f5-11ed-b24f-6dbe51e79fca_1956.txt", "TXT")</f>
        <v/>
      </c>
    </row>
    <row r="3295">
      <c r="A3295" s="1" t="n">
        <v>3293</v>
      </c>
      <c r="B3295" t="n">
        <v>2013</v>
      </c>
      <c r="C3295" s="2" t="n">
        <v>41328.73541666667</v>
      </c>
      <c r="D3295" t="inlineStr">
        <is>
          <t>G1</t>
        </is>
      </c>
      <c r="E3295" t="inlineStr">
        <is>
          <t>VENEZUELANOS</t>
        </is>
      </c>
      <c r="F3295" t="inlineStr"/>
      <c r="G3295" t="inlineStr">
        <is>
          <t>CE PRESSE</t>
        </is>
      </c>
      <c r="H3295" t="inlineStr">
        <is>
          <t>OPOSIÇÃO VENEZUELANA ESCOLHERÁ CANDIDATO PRESIDENCIAL ÚNICO</t>
        </is>
      </c>
      <c r="I3295" t="inlineStr"/>
      <c r="J3295" t="inlineStr"/>
      <c r="K3295" t="n">
        <v>0</v>
      </c>
      <c r="L3295" t="n">
        <v>1</v>
      </c>
      <c r="M3295" t="n">
        <v>0</v>
      </c>
      <c r="N3295" t="n">
        <v>0</v>
      </c>
      <c r="O3295" t="n">
        <v>4</v>
      </c>
      <c r="P3295">
        <f>HYPERLINK("http://g1.globo.com/mundo/noticia/2013/02/oposicao-venezuelana-escolhera-candidato-presidencial-unico.html", "URL")</f>
        <v/>
      </c>
      <c r="Q3295">
        <f>HYPERLINK("https://raw.githubusercontent.com/marcosmapl/dataset_imigrantes/main/materias_filtered/g1/venezuelanos/2013/01_fev/html/g1_20d3b28a-2312-11ed-b24f-6dbe51e79fca_2950.html", "HTML")</f>
        <v/>
      </c>
      <c r="R3295">
        <f>HYPERLINK("https://raw.githubusercontent.com/marcosmapl/dataset_imigrantes/main/materias_filtered/g1/venezuelanos/2013/01_fev/txt/g1_20d3b28a-2312-11ed-b24f-6dbe51e79fca_2950.txt", "TXT")</f>
        <v/>
      </c>
    </row>
    <row r="3296">
      <c r="A3296" s="1" t="n">
        <v>3294</v>
      </c>
      <c r="B3296" t="n">
        <v>2013</v>
      </c>
      <c r="C3296" s="2" t="n">
        <v>41326.77291666667</v>
      </c>
      <c r="D3296" t="inlineStr">
        <is>
          <t>G1</t>
        </is>
      </c>
      <c r="E3296" t="inlineStr">
        <is>
          <t>HAITIANOS</t>
        </is>
      </c>
      <c r="F3296" t="inlineStr"/>
      <c r="G3296" t="inlineStr">
        <is>
          <t>CE PRESSE</t>
        </is>
      </c>
      <c r="H3296" t="inlineStr">
        <is>
          <t>JUIZ ORDENA QUE DITADOR HAITIANO SEJA LEVADO À CORTE, APÓS FALTA</t>
        </is>
      </c>
      <c r="I3296" t="inlineStr"/>
      <c r="J3296" t="inlineStr"/>
      <c r="K3296" t="n">
        <v>0</v>
      </c>
      <c r="L3296" t="n">
        <v>1</v>
      </c>
      <c r="M3296" t="n">
        <v>0</v>
      </c>
      <c r="N3296" t="n">
        <v>0</v>
      </c>
      <c r="O3296" t="n">
        <v>4</v>
      </c>
      <c r="P3296">
        <f>HYPERLINK("http://g1.globo.com/mundo/noticia/2013/02/juiz-ordena-que-ditador-haitiano-seja-levado-a-corte-apos-falta.html", "URL")</f>
        <v/>
      </c>
      <c r="Q3296">
        <f>HYPERLINK("https://raw.githubusercontent.com/marcosmapl/dataset_imigrantes/main/materias_filtered/g1/haitianos/2013/01_fev/html/g1_1328c0b8-2311-11ed-b24f-6dbe51e79fca_2896.html", "HTML")</f>
        <v/>
      </c>
      <c r="R3296">
        <f>HYPERLINK("https://raw.githubusercontent.com/marcosmapl/dataset_imigrantes/main/materias_filtered/g1/haitianos/2013/01_fev/txt/g1_1328c0b8-2311-11ed-b24f-6dbe51e79fca_2896.txt", "TXT")</f>
        <v/>
      </c>
    </row>
    <row r="3297">
      <c r="A3297" s="1" t="n">
        <v>3295</v>
      </c>
      <c r="B3297" t="n">
        <v>2013</v>
      </c>
      <c r="C3297" s="2" t="n">
        <v>41324.77708333333</v>
      </c>
      <c r="D3297" t="inlineStr">
        <is>
          <t>G1</t>
        </is>
      </c>
      <c r="E3297" t="inlineStr">
        <is>
          <t>VENEZUELANOS</t>
        </is>
      </c>
      <c r="F3297" t="inlineStr"/>
      <c r="G3297" t="inlineStr">
        <is>
          <t>CE PRESSE</t>
        </is>
      </c>
      <c r="H3297" t="inlineStr">
        <is>
          <t>EUA INSISTEM EM RESPEITO À CONSTITUIÇÃO VENEZUELANA APÓS RETORNO DE CHÁVEZ</t>
        </is>
      </c>
      <c r="I3297" t="inlineStr"/>
      <c r="J3297" t="inlineStr"/>
      <c r="K3297" t="n">
        <v>0</v>
      </c>
      <c r="L3297" t="n">
        <v>1</v>
      </c>
      <c r="M3297" t="n">
        <v>0</v>
      </c>
      <c r="N3297" t="n">
        <v>0</v>
      </c>
      <c r="O3297" t="n">
        <v>4</v>
      </c>
      <c r="P3297">
        <f>HYPERLINK("http://g1.globo.com/mundo/noticia/2013/02/eua-insistem-em-respeito-a-constituicao-venezuelana-apos-retorno-de-chavez.html", "URL")</f>
        <v/>
      </c>
      <c r="Q3297">
        <f>HYPERLINK("https://raw.githubusercontent.com/marcosmapl/dataset_imigrantes/main/materias_filtered/g1/venezuelanos/2013/01_fev/html/g1_2dd6b5e4-2313-11ed-b24f-6dbe51e79fca_2998.html", "HTML")</f>
        <v/>
      </c>
      <c r="R3297">
        <f>HYPERLINK("https://raw.githubusercontent.com/marcosmapl/dataset_imigrantes/main/materias_filtered/g1/venezuelanos/2013/01_fev/txt/g1_2dd6b5e4-2313-11ed-b24f-6dbe51e79fca_2998.txt", "TXT")</f>
        <v/>
      </c>
    </row>
    <row r="3298">
      <c r="A3298" s="1" t="n">
        <v>3296</v>
      </c>
      <c r="B3298" t="n">
        <v>2013</v>
      </c>
      <c r="C3298" s="2" t="n">
        <v>41324.425</v>
      </c>
      <c r="D3298" t="inlineStr">
        <is>
          <t>G1</t>
        </is>
      </c>
      <c r="E3298" t="inlineStr">
        <is>
          <t>VENEZUELANOS</t>
        </is>
      </c>
      <c r="F3298" t="inlineStr"/>
      <c r="G3298" t="inlineStr"/>
      <c r="H3298" t="inlineStr">
        <is>
          <t>JUSTIÇA VENEZUELANA QUER EMPOSSAR HUGO CHÁVEZ ASSIM QUE POSSÍVEL</t>
        </is>
      </c>
      <c r="I3298" t="inlineStr"/>
      <c r="J3298" t="inlineStr">
        <is>
          <t>HUGO CHÁVEZ, NICOLÁS MADURO, VENEZUELA</t>
        </is>
      </c>
      <c r="K3298" t="n">
        <v>3</v>
      </c>
      <c r="L3298" t="n">
        <v>3</v>
      </c>
      <c r="M3298" t="n">
        <v>0</v>
      </c>
      <c r="N3298" t="n">
        <v>0</v>
      </c>
      <c r="O3298" t="n">
        <v>12</v>
      </c>
      <c r="P3298">
        <f>HYPERLINK("http://g1.globo.com/bom-dia-brasil/noticia/2013/02/justica-venezuelana-quer-empossar-hugo-chavez-assim-que-possivel.html", "URL")</f>
        <v/>
      </c>
      <c r="Q3298">
        <f>HYPERLINK("https://raw.githubusercontent.com/marcosmapl/dataset_imigrantes/main/materias_filtered/g1/venezuelanos/2013/01_fev/html/g1_c8922474-2313-11ed-b24f-6dbe51e79fca_3026.html", "HTML")</f>
        <v/>
      </c>
      <c r="R3298">
        <f>HYPERLINK("https://raw.githubusercontent.com/marcosmapl/dataset_imigrantes/main/materias_filtered/g1/venezuelanos/2013/01_fev/txt/g1_c8922474-2313-11ed-b24f-6dbe51e79fca_3026.txt", "TXT")</f>
        <v/>
      </c>
    </row>
    <row r="3299">
      <c r="A3299" s="1" t="n">
        <v>3297</v>
      </c>
      <c r="B3299" t="n">
        <v>2013</v>
      </c>
      <c r="C3299" s="2" t="n">
        <v>41324.04583333333</v>
      </c>
      <c r="D3299" t="inlineStr">
        <is>
          <t>G1</t>
        </is>
      </c>
      <c r="E3299" t="inlineStr">
        <is>
          <t>VENEZUELANOS</t>
        </is>
      </c>
      <c r="F3299" t="inlineStr"/>
      <c r="G3299" t="inlineStr">
        <is>
          <t>S ORTIZQUITO, EQUADOR</t>
        </is>
      </c>
      <c r="H3299" t="inlineStr">
        <is>
          <t>JUSTIÇA VENEZUELANA DEVE EMPOSSAR CHÁVEZ COM RETORNO AO PAÍS</t>
        </is>
      </c>
      <c r="I3299" t="inlineStr"/>
      <c r="J3299" t="inlineStr"/>
      <c r="K3299" t="n">
        <v>0</v>
      </c>
      <c r="L3299" t="n">
        <v>0</v>
      </c>
      <c r="M3299" t="n">
        <v>0</v>
      </c>
      <c r="N3299" t="n">
        <v>0</v>
      </c>
      <c r="O3299" t="n">
        <v>5</v>
      </c>
      <c r="P3299">
        <f>HYPERLINK("http://g1.globo.com/jornal-da-globo/noticia/2013/02/justica-venezuelana-deve-empossar-chavez-com-retorno-ao-pais.html", "URL")</f>
        <v/>
      </c>
      <c r="Q3299">
        <f>HYPERLINK("https://raw.githubusercontent.com/marcosmapl/dataset_imigrantes/main/materias_filtered/g1/venezuelanos/2013/01_fev/html/g1_1de11cb2-2311-11ed-b24f-6dbe51e79fca_2899.html", "HTML")</f>
        <v/>
      </c>
      <c r="R3299">
        <f>HYPERLINK("https://raw.githubusercontent.com/marcosmapl/dataset_imigrantes/main/materias_filtered/g1/venezuelanos/2013/01_fev/txt/g1_1de11cb2-2311-11ed-b24f-6dbe51e79fca_2899.txt", "TXT")</f>
        <v/>
      </c>
    </row>
    <row r="3300">
      <c r="A3300" s="1" t="n">
        <v>3298</v>
      </c>
      <c r="B3300" t="n">
        <v>2013</v>
      </c>
      <c r="C3300" s="2" t="n">
        <v>41323.53605324074</v>
      </c>
      <c r="D3300" t="inlineStr">
        <is>
          <t>A CRITICA</t>
        </is>
      </c>
      <c r="E3300" t="inlineStr">
        <is>
          <t>VENEZUELANOS</t>
        </is>
      </c>
      <c r="F3300" t="inlineStr"/>
      <c r="G3300" t="inlineStr">
        <is>
          <t>PAULA LABOISSIÈRE/ AGÊNCIA BRASIL</t>
        </is>
      </c>
      <c r="H3300" t="inlineStr">
        <is>
          <t>PELO TWITTER, CHÁVEZ ANUNCIA QUE ESTÁ DE VOLTA À VENEZUELA</t>
        </is>
      </c>
      <c r="I3300" t="inlineStr">
        <is>
          <t>---</t>
        </is>
      </c>
      <c r="J3300" t="inlineStr"/>
      <c r="K3300" t="n">
        <v>0</v>
      </c>
      <c r="L3300" t="n">
        <v>1</v>
      </c>
      <c r="M3300" t="n">
        <v>0</v>
      </c>
      <c r="N3300" t="n">
        <v>0</v>
      </c>
      <c r="O3300" t="n">
        <v>0</v>
      </c>
      <c r="P3300">
        <f>HYPERLINK("https://www.acritica.com/pelo-twitter-chavez-anuncia-que-esta-de-volta-a-venezuela-1.127355", "URL")</f>
        <v/>
      </c>
      <c r="Q3300">
        <f>HYPERLINK("https://raw.githubusercontent.com/marcosmapl/dataset_imigrantes/main/materias_filtered/a_critica/venezuelanos/2013/01_fev/html/1.127355_594.html", "HTML")</f>
        <v/>
      </c>
      <c r="R3300">
        <f>HYPERLINK("https://raw.githubusercontent.com/marcosmapl/dataset_imigrantes/main/materias_filtered/a_critica/venezuelanos/2013/01_fev/txt/1.127355_594.txt", "TXT")</f>
        <v/>
      </c>
    </row>
    <row r="3301">
      <c r="A3301" s="1" t="n">
        <v>3299</v>
      </c>
      <c r="B3301" t="n">
        <v>2013</v>
      </c>
      <c r="C3301" s="2" t="n">
        <v>41322.7794212963</v>
      </c>
      <c r="D3301" t="inlineStr">
        <is>
          <t>A CRITICA</t>
        </is>
      </c>
      <c r="E3301" t="inlineStr">
        <is>
          <t>VENEZUELANOS</t>
        </is>
      </c>
      <c r="F3301" t="inlineStr">
        <is>
          <t>ESPORTES</t>
        </is>
      </c>
      <c r="G3301" t="inlineStr">
        <is>
          <t>BRUNO TADEU</t>
        </is>
      </c>
      <c r="H3301" t="inlineStr">
        <is>
          <t>EMPRESÁRIOS DA BOLA LUCRAM COM O FUTEBOL AMAZONENSE</t>
        </is>
      </c>
      <c r="I3301" t="inlineStr">
        <is>
          <t>AGENTES APROVEITAM A DESVALORIZAÇÃO DAS CETEGORIAS DE BASE, PELOS CLUBES, PARA LUCRAR COM JOGADORES AMAZONENSES</t>
        </is>
      </c>
      <c r="J3301" t="inlineStr"/>
      <c r="K3301" t="n">
        <v>0</v>
      </c>
      <c r="L3301" t="n">
        <v>1</v>
      </c>
      <c r="M3301" t="n">
        <v>0</v>
      </c>
      <c r="N3301" t="n">
        <v>0</v>
      </c>
      <c r="O3301" t="n">
        <v>0</v>
      </c>
      <c r="P3301">
        <f>HYPERLINK("https://www.acritica.com/esportes/empresarios-da-bola-lucram-com-o-futebol-amazonense-1.127132", "URL")</f>
        <v/>
      </c>
      <c r="Q3301">
        <f>HYPERLINK("https://raw.githubusercontent.com/marcosmapl/dataset_imigrantes/main/materias_filtered/a_critica/venezuelanos/2013/01_fev/html/1.127132_1232.html", "HTML")</f>
        <v/>
      </c>
      <c r="R3301">
        <f>HYPERLINK("https://raw.githubusercontent.com/marcosmapl/dataset_imigrantes/main/materias_filtered/a_critica/venezuelanos/2013/01_fev/txt/1.127132_1232.txt", "TXT")</f>
        <v/>
      </c>
    </row>
    <row r="3302">
      <c r="A3302" s="1" t="n">
        <v>3300</v>
      </c>
      <c r="B3302" t="n">
        <v>2013</v>
      </c>
      <c r="C3302" s="2" t="n">
        <v>41320.76810185185</v>
      </c>
      <c r="D3302" t="inlineStr">
        <is>
          <t>A CRITICA</t>
        </is>
      </c>
      <c r="E3302" t="inlineStr">
        <is>
          <t>VENEZUELANOS</t>
        </is>
      </c>
      <c r="F3302" t="inlineStr"/>
      <c r="G3302" t="inlineStr">
        <is>
          <t>DA BBC BRASIL</t>
        </is>
      </c>
      <c r="H3302" t="inlineStr">
        <is>
          <t>CHÁVEZ APARECE EM FOTOS, MAS TEM DIFICULDADES PARA FALAR</t>
        </is>
      </c>
      <c r="I3302" t="inlineStr">
        <is>
          <t>NAS FOTOS DIVULGADAS NESTA SEXTA-FEIRA, CHÁVEZ APARECE DEITADO EM UMA CAMA AO LADO DAS DUAS FILHAS, MARIA GABRIELA E ROSA VIRGINIA, QUE O ACOMPANHAM DESDE QUE VIAJOU A CUBA, NO INÍCIO DE DEZEMBRO.</t>
        </is>
      </c>
      <c r="J3302" t="inlineStr"/>
      <c r="K3302" t="n">
        <v>0</v>
      </c>
      <c r="L3302" t="n">
        <v>1</v>
      </c>
      <c r="M3302" t="n">
        <v>0</v>
      </c>
      <c r="N3302" t="n">
        <v>0</v>
      </c>
      <c r="O3302" t="n">
        <v>0</v>
      </c>
      <c r="P3302">
        <f>HYPERLINK("https://www.acritica.com/chavez-aparece-em-fotos-mas-tem-dificuldades-para-falar-1.127005", "URL")</f>
        <v/>
      </c>
      <c r="Q3302">
        <f>HYPERLINK("https://raw.githubusercontent.com/marcosmapl/dataset_imigrantes/main/materias_filtered/a_critica/venezuelanos/2013/01_fev/html/1.127005_471.html", "HTML")</f>
        <v/>
      </c>
      <c r="R3302">
        <f>HYPERLINK("https://raw.githubusercontent.com/marcosmapl/dataset_imigrantes/main/materias_filtered/a_critica/venezuelanos/2013/01_fev/txt/1.127005_471.txt", "TXT")</f>
        <v/>
      </c>
    </row>
    <row r="3303">
      <c r="A3303" s="1" t="n">
        <v>3301</v>
      </c>
      <c r="B3303" t="n">
        <v>2013</v>
      </c>
      <c r="C3303" s="2" t="n">
        <v>41318.64795138889</v>
      </c>
      <c r="D3303" t="inlineStr">
        <is>
          <t>A CRITICA</t>
        </is>
      </c>
      <c r="E3303" t="inlineStr">
        <is>
          <t>VENEZUELANOS</t>
        </is>
      </c>
      <c r="F3303" t="inlineStr">
        <is>
          <t>ESPORTES</t>
        </is>
      </c>
      <c r="G3303" t="inlineStr">
        <is>
          <t>ACRÍTICA.COM</t>
        </is>
      </c>
      <c r="H3303" t="inlineStr">
        <is>
          <t>FLUMINENSE TERÁ PRESSÃO DA TORCIDA DO CARACAS NA ESTREIA DA LIBERTADORES</t>
        </is>
      </c>
      <c r="I3303" t="inlineStr">
        <is>
          <t>O CLUBE VENEZUELANO POSSUI UMA VIBRANTE TORCIDA, CONHECIDA COMO “LOS DEMONIOS ROJOS”, E CONSIDERADA UMA DAS PIORES ORGANIZADAS DA AMÉRICA DO SUL</t>
        </is>
      </c>
      <c r="J3303" t="inlineStr"/>
      <c r="K3303" t="n">
        <v>0</v>
      </c>
      <c r="L3303" t="n">
        <v>1</v>
      </c>
      <c r="M3303" t="n">
        <v>0</v>
      </c>
      <c r="N3303" t="n">
        <v>0</v>
      </c>
      <c r="O3303" t="n">
        <v>0</v>
      </c>
      <c r="P3303">
        <f>HYPERLINK("https://www.acritica.com/esportes/fluminense-tera-press-o-da-torcida-do-caracas-na-estreia-da-libertadores-1.126870", "URL")</f>
        <v/>
      </c>
      <c r="Q3303">
        <f>HYPERLINK("https://raw.githubusercontent.com/marcosmapl/dataset_imigrantes/main/materias_filtered/a_critica/venezuelanos/2013/01_fev/html/1.126870_1073.html", "HTML")</f>
        <v/>
      </c>
      <c r="R3303">
        <f>HYPERLINK("https://raw.githubusercontent.com/marcosmapl/dataset_imigrantes/main/materias_filtered/a_critica/venezuelanos/2013/01_fev/txt/1.126870_1073.txt", "TXT")</f>
        <v/>
      </c>
    </row>
    <row r="3304">
      <c r="A3304" s="1" t="n">
        <v>3302</v>
      </c>
      <c r="B3304" t="n">
        <v>2013</v>
      </c>
      <c r="C3304" s="2" t="n">
        <v>41317.82701388889</v>
      </c>
      <c r="D3304" t="inlineStr">
        <is>
          <t>A CRITICA</t>
        </is>
      </c>
      <c r="E3304" t="inlineStr">
        <is>
          <t>HAITIANOS</t>
        </is>
      </c>
      <c r="F3304" t="inlineStr"/>
      <c r="G3304" t="inlineStr">
        <is>
          <t>ACRÍTICA.COM</t>
        </is>
      </c>
      <c r="H3304" t="inlineStr">
        <is>
          <t>ORIGINALIDADE E DIVERSÃO MARCAM O MANAUS FANTASY DE 2013</t>
        </is>
      </c>
      <c r="I3304" t="inlineStr">
        <is>
          <t>OS GRUPOS “CUKA FRESCA” E “TÔ A TOA” COMANDARAM A MÚSICA AO LADO DO CANTOR EDUARDO DORNELLAS E DO MC SAPÃO, ATRAÇÃO NACIONAL VINDA DO RIO DE JANEIRO</t>
        </is>
      </c>
      <c r="J3304" t="inlineStr"/>
      <c r="K3304" t="n">
        <v>0</v>
      </c>
      <c r="L3304" t="n">
        <v>1</v>
      </c>
      <c r="M3304" t="n">
        <v>0</v>
      </c>
      <c r="N3304" t="n">
        <v>0</v>
      </c>
      <c r="O3304" t="n">
        <v>1</v>
      </c>
      <c r="P3304">
        <f>HYPERLINK("https://www.acritica.com/originalidade-e-divers-o-marcam-o-manaus-fantasy-de-2013-1.126755", "URL")</f>
        <v/>
      </c>
      <c r="Q3304">
        <f>HYPERLINK("https://raw.githubusercontent.com/marcosmapl/dataset_imigrantes/main/materias_filtered/a_critica/haitianos/2013/01_fev/html/1.126755_870.html", "HTML")</f>
        <v/>
      </c>
      <c r="R3304">
        <f>HYPERLINK("https://raw.githubusercontent.com/marcosmapl/dataset_imigrantes/main/materias_filtered/a_critica/haitianos/2013/01_fev/txt/1.126755_870.txt", "TXT")</f>
        <v/>
      </c>
    </row>
    <row r="3305">
      <c r="A3305" s="1" t="n">
        <v>3303</v>
      </c>
      <c r="B3305" t="n">
        <v>2013</v>
      </c>
      <c r="C3305" s="2" t="n">
        <v>41313.70277777778</v>
      </c>
      <c r="D3305" t="inlineStr">
        <is>
          <t>G1</t>
        </is>
      </c>
      <c r="E3305" t="inlineStr">
        <is>
          <t>HAITIANOS</t>
        </is>
      </c>
      <c r="F3305" t="inlineStr"/>
      <c r="G3305" t="inlineStr">
        <is>
          <t xml:space="preserve"> MARCELDO G1 AC</t>
        </is>
      </c>
      <c r="H3305" t="inlineStr">
        <is>
          <t>BLOCO NÓ NA MADEIRA ARRECADA ALIMENTOS PARA HAITIANOS NO ACRE</t>
        </is>
      </c>
      <c r="I3305" t="inlineStr"/>
      <c r="J3305" t="inlineStr">
        <is>
          <t>RIO BRANCO</t>
        </is>
      </c>
      <c r="K3305" t="n">
        <v>1</v>
      </c>
      <c r="L3305" t="n">
        <v>4</v>
      </c>
      <c r="M3305" t="n">
        <v>0</v>
      </c>
      <c r="N3305" t="n">
        <v>0</v>
      </c>
      <c r="O3305" t="n">
        <v>13</v>
      </c>
      <c r="P3305">
        <f>HYPERLINK("http://g1.globo.com/ac/acre/noticia/2013/02/bloco-no-na-madeira-arrecada-alimentos-para-haitianos-no-acre.html", "URL")</f>
        <v/>
      </c>
      <c r="Q3305">
        <f>HYPERLINK("https://raw.githubusercontent.com/marcosmapl/dataset_imigrantes/main/materias_filtered/g1/haitianos/2013/01_fev/html/g1_75bd9aa0-22f8-11ed-b24f-6dbe51e79fca_2136.html", "HTML")</f>
        <v/>
      </c>
      <c r="R3305">
        <f>HYPERLINK("https://raw.githubusercontent.com/marcosmapl/dataset_imigrantes/main/materias_filtered/g1/haitianos/2013/01_fev/txt/g1_75bd9aa0-22f8-11ed-b24f-6dbe51e79fca_2136.txt", "TXT")</f>
        <v/>
      </c>
    </row>
    <row r="3306">
      <c r="A3306" s="1" t="n">
        <v>3304</v>
      </c>
      <c r="B3306" t="n">
        <v>2013</v>
      </c>
      <c r="C3306" s="2" t="n">
        <v>41313.47708333333</v>
      </c>
      <c r="D3306" t="inlineStr">
        <is>
          <t>G1</t>
        </is>
      </c>
      <c r="E3306" t="inlineStr">
        <is>
          <t>HAITIANOS</t>
        </is>
      </c>
      <c r="F3306" t="inlineStr"/>
      <c r="G3306" t="inlineStr">
        <is>
          <t>CIA EFE</t>
        </is>
      </c>
      <c r="H3306" t="inlineStr">
        <is>
          <t>OIM PROPÕE REALOCAR 200 MIL HAITIANOS SEM LAR TRÊS ANOS APÓS TERREMOTO</t>
        </is>
      </c>
      <c r="I3306" t="inlineStr"/>
      <c r="J3306" t="inlineStr"/>
      <c r="K3306" t="n">
        <v>0</v>
      </c>
      <c r="L3306" t="n">
        <v>1</v>
      </c>
      <c r="M3306" t="n">
        <v>0</v>
      </c>
      <c r="N3306" t="n">
        <v>0</v>
      </c>
      <c r="O3306" t="n">
        <v>4</v>
      </c>
      <c r="P3306">
        <f>HYPERLINK("http://g1.globo.com/mundo/noticia/2013/02/oim-propoe-realocar-200-mil-haitianos-sem-lar-tres-anos-apos-terremoto.html", "URL")</f>
        <v/>
      </c>
      <c r="Q3306">
        <f>HYPERLINK("https://raw.githubusercontent.com/marcosmapl/dataset_imigrantes/main/materias_filtered/g1/haitianos/2013/01_fev/html/g1_cb804a36-22f4-11ed-b24f-6dbe51e79fca_1910.html", "HTML")</f>
        <v/>
      </c>
      <c r="R3306">
        <f>HYPERLINK("https://raw.githubusercontent.com/marcosmapl/dataset_imigrantes/main/materias_filtered/g1/haitianos/2013/01_fev/txt/g1_cb804a36-22f4-11ed-b24f-6dbe51e79fca_1910.txt", "TXT")</f>
        <v/>
      </c>
    </row>
    <row r="3307">
      <c r="A3307" s="1" t="n">
        <v>3305</v>
      </c>
      <c r="B3307" t="n">
        <v>2013</v>
      </c>
      <c r="C3307" s="2" t="n">
        <v>41312.34375</v>
      </c>
      <c r="D3307" t="inlineStr">
        <is>
          <t>G1</t>
        </is>
      </c>
      <c r="E3307" t="inlineStr">
        <is>
          <t>HAITIANOS</t>
        </is>
      </c>
      <c r="F3307" t="inlineStr"/>
      <c r="G3307" t="inlineStr">
        <is>
          <t>SSA VASCONCELOSDO G1 RO</t>
        </is>
      </c>
      <c r="H3307" t="inlineStr">
        <is>
          <t>HAITIANOS SÃO MAIORIA ENTRE IMIGRANTES RESIDENTES EM RONDÔNIA</t>
        </is>
      </c>
      <c r="I3307" t="inlineStr"/>
      <c r="J3307" t="inlineStr">
        <is>
          <t>ACRE, RONDÔNIA, PORTO VELHO</t>
        </is>
      </c>
      <c r="K3307" t="n">
        <v>3</v>
      </c>
      <c r="L3307" t="n">
        <v>6</v>
      </c>
      <c r="M3307" t="n">
        <v>0</v>
      </c>
      <c r="N3307" t="n">
        <v>0</v>
      </c>
      <c r="O3307" t="n">
        <v>19</v>
      </c>
      <c r="P3307">
        <f>HYPERLINK("http://g1.globo.com/ro/rondonia/noticia/2013/02/haitianos-sao-maioria-entre-imigrantes-residentes-em-rondonia.html", "URL")</f>
        <v/>
      </c>
      <c r="Q3307">
        <f>HYPERLINK("https://raw.githubusercontent.com/marcosmapl/dataset_imigrantes/main/materias_filtered/g1/haitianos/2013/01_fev/html/g1_4e8d8014-22ec-11ed-b24f-6dbe51e79fca_1653.html", "HTML")</f>
        <v/>
      </c>
      <c r="R3307">
        <f>HYPERLINK("https://raw.githubusercontent.com/marcosmapl/dataset_imigrantes/main/materias_filtered/g1/haitianos/2013/01_fev/txt/g1_4e8d8014-22ec-11ed-b24f-6dbe51e79fca_1653.txt", "TXT")</f>
        <v/>
      </c>
    </row>
    <row r="3308">
      <c r="A3308" s="1" t="n">
        <v>3306</v>
      </c>
      <c r="B3308" t="n">
        <v>2013</v>
      </c>
      <c r="C3308" s="2" t="n">
        <v>41310.20065972222</v>
      </c>
      <c r="D3308" t="inlineStr">
        <is>
          <t>A CRITICA</t>
        </is>
      </c>
      <c r="E3308" t="inlineStr">
        <is>
          <t>HAITIANOS</t>
        </is>
      </c>
      <c r="F3308" t="inlineStr">
        <is>
          <t>MANAUS</t>
        </is>
      </c>
      <c r="G3308" t="inlineStr">
        <is>
          <t>CAMILA PEREIRA</t>
        </is>
      </c>
      <c r="H3308" t="inlineStr">
        <is>
          <t>HAITIANO MORRE EM UNIDADE BÁSICA DE SAÚDE</t>
        </is>
      </c>
      <c r="I3308" t="inlineStr">
        <is>
          <t>UMA DAS DIFICULDADES ENCONTRADAS PELOS FAMILIARES É QUE O INSTITUTO MÉDICO LEGAL NÃO FAZ A REMOÇÃO DO CORPO, POR CONTA DO CASO E HORÁRIO.</t>
        </is>
      </c>
      <c r="J3308" t="inlineStr"/>
      <c r="K3308" t="n">
        <v>0</v>
      </c>
      <c r="L3308" t="n">
        <v>1</v>
      </c>
      <c r="M3308" t="n">
        <v>0</v>
      </c>
      <c r="N3308" t="n">
        <v>0</v>
      </c>
      <c r="O3308" t="n">
        <v>0</v>
      </c>
      <c r="P3308">
        <f>HYPERLINK("https://www.acritica.com/manaus/haitiano-morre-em-unidade-basica-de-saude-1.126323", "URL")</f>
        <v/>
      </c>
      <c r="Q3308">
        <f>HYPERLINK("https://raw.githubusercontent.com/marcosmapl/dataset_imigrantes/main/materias_filtered/a_critica/haitianos/2013/01_fev/html/1.126323_195.html", "HTML")</f>
        <v/>
      </c>
      <c r="R3308">
        <f>HYPERLINK("https://raw.githubusercontent.com/marcosmapl/dataset_imigrantes/main/materias_filtered/a_critica/haitianos/2013/01_fev/txt/1.126323_195.txt", "TXT")</f>
        <v/>
      </c>
    </row>
    <row r="3309">
      <c r="A3309" s="1" t="n">
        <v>3307</v>
      </c>
      <c r="B3309" t="n">
        <v>2013</v>
      </c>
      <c r="C3309" s="2" t="n">
        <v>41307.72074074074</v>
      </c>
      <c r="D3309" t="inlineStr">
        <is>
          <t>A CRITICA</t>
        </is>
      </c>
      <c r="E3309" t="inlineStr">
        <is>
          <t>HAITIANOS</t>
        </is>
      </c>
      <c r="F3309" t="inlineStr">
        <is>
          <t>MANAUS</t>
        </is>
      </c>
      <c r="G3309" t="inlineStr">
        <is>
          <t>ACRÍTICA.COM</t>
        </is>
      </c>
      <c r="H3309" t="inlineStr">
        <is>
          <t>BATALHÃO APREENDE 830 QUILOS DE PESCADO ILEGAL EM FEIRA DE MANAUS</t>
        </is>
      </c>
      <c r="I3309" t="inlineStr">
        <is>
          <t>A MERCADORIA FOI DOADA A UMA CASA DE APOIO A IMIGRANTES HAITIANOS, SEGUNDO O BATALHÃO AMBIENTAL</t>
        </is>
      </c>
      <c r="J3309" t="inlineStr"/>
      <c r="K3309" t="n">
        <v>0</v>
      </c>
      <c r="L3309" t="n">
        <v>1</v>
      </c>
      <c r="M3309" t="n">
        <v>0</v>
      </c>
      <c r="N3309" t="n">
        <v>0</v>
      </c>
      <c r="O3309" t="n">
        <v>0</v>
      </c>
      <c r="P3309">
        <f>HYPERLINK("https://www.acritica.com/manaus/batalh-o-apreende-830-quilos-de-pescado-ilegal-em-feira-de-manaus-1.121499", "URL")</f>
        <v/>
      </c>
      <c r="Q3309">
        <f>HYPERLINK("https://raw.githubusercontent.com/marcosmapl/dataset_imigrantes/main/materias_filtered/a_critica/haitianos/2013/01_fev/html/1.121499_146.html", "HTML")</f>
        <v/>
      </c>
      <c r="R3309">
        <f>HYPERLINK("https://raw.githubusercontent.com/marcosmapl/dataset_imigrantes/main/materias_filtered/a_critica/haitianos/2013/01_fev/txt/1.121499_146.txt", "TXT")</f>
        <v/>
      </c>
    </row>
    <row r="3310">
      <c r="A3310" s="1" t="n">
        <v>3308</v>
      </c>
      <c r="B3310" t="n">
        <v>2013</v>
      </c>
      <c r="C3310" s="2" t="n">
        <v>41306.55555555555</v>
      </c>
      <c r="D3310" t="inlineStr">
        <is>
          <t>G1</t>
        </is>
      </c>
      <c r="E3310" t="inlineStr">
        <is>
          <t>HAITIANOS</t>
        </is>
      </c>
      <c r="F3310" t="inlineStr"/>
      <c r="G3310" t="inlineStr">
        <is>
          <t xml:space="preserve"> MARCEL
DO G1 AC</t>
        </is>
      </c>
      <c r="H3310" t="inlineStr">
        <is>
          <t>ACRE RECEBE ATÉ 30 HAITIANOS POR DIA TRÊS ANOS APÓS TERREMOTO NO PAÍS</t>
        </is>
      </c>
      <c r="I3310" t="inlineStr"/>
      <c r="J3310" t="inlineStr">
        <is>
          <t>BRASILÉIA, HAITI</t>
        </is>
      </c>
      <c r="K3310" t="n">
        <v>2</v>
      </c>
      <c r="L3310" t="n">
        <v>12</v>
      </c>
      <c r="M3310" t="n">
        <v>0</v>
      </c>
      <c r="N3310" t="n">
        <v>0</v>
      </c>
      <c r="O3310" t="n">
        <v>17</v>
      </c>
      <c r="P3310">
        <f>HYPERLINK("http://g1.globo.com/ac/acre/noticia/2013/02/acre-recebe-ate-30-haitianos-por-dia-tres-anos-apos-terremoto-no-pais.html", "URL")</f>
        <v/>
      </c>
      <c r="Q3310">
        <f>HYPERLINK("https://raw.githubusercontent.com/marcosmapl/dataset_imigrantes/main/materias_filtered/g1/haitianos/2013/01_fev/html/g1_9db54014-231e-11ed-b24f-6dbe51e79fca_3573.html", "HTML")</f>
        <v/>
      </c>
      <c r="R3310">
        <f>HYPERLINK("https://raw.githubusercontent.com/marcosmapl/dataset_imigrantes/main/materias_filtered/g1/haitianos/2013/01_fev/txt/g1_9db54014-231e-11ed-b24f-6dbe51e79fca_3573.txt", "TXT")</f>
        <v/>
      </c>
    </row>
    <row r="3311">
      <c r="A3311" s="1" t="n">
        <v>3309</v>
      </c>
      <c r="B3311" t="n">
        <v>2013</v>
      </c>
      <c r="C3311" s="2" t="n">
        <v>41305.7850925926</v>
      </c>
      <c r="D3311" t="inlineStr">
        <is>
          <t>A CRITICA</t>
        </is>
      </c>
      <c r="E3311" t="inlineStr">
        <is>
          <t>HAITIANOS</t>
        </is>
      </c>
      <c r="F3311" t="inlineStr"/>
      <c r="G3311" t="inlineStr">
        <is>
          <t>FLÁVIA ALBUQUERQUE/ AGÊNCIA BRASIL</t>
        </is>
      </c>
      <c r="H3311" t="inlineStr">
        <is>
          <t>AUMENTO DO TRABALHO ESCRAVO EM ÁREAS URBANAS PREOCUPA, DIZ SECRETÁRIO</t>
        </is>
      </c>
      <c r="I3311" t="inlineStr">
        <is>
          <t>O SECRETÁRIO NACIONAL DE PROMOÇÃO E DEFESA DOS DIREITOS HUMANOS DA SECRETARIA DE DIREITOS HUMANOS DA PRESIDÊNCIA DA REPÚBLICA, GABRIEL DOS SANTOS ROCHA, DIZ QUE  A MAIOR INCIDÊNCIA DA PRÁTICA É EM ÁREA URBANA E ENTRE IMIGRANTES</t>
        </is>
      </c>
      <c r="J3311" t="inlineStr"/>
      <c r="K3311" t="n">
        <v>0</v>
      </c>
      <c r="L3311" t="n">
        <v>1</v>
      </c>
      <c r="M3311" t="n">
        <v>0</v>
      </c>
      <c r="N3311" t="n">
        <v>0</v>
      </c>
      <c r="O3311" t="n">
        <v>0</v>
      </c>
      <c r="P3311">
        <f>HYPERLINK("https://www.acritica.com/aumento-do-trabalho-escravo-em-areas-urbanas-preocupa-diz-secretario-1.125979", "URL")</f>
        <v/>
      </c>
      <c r="Q3311">
        <f>HYPERLINK("https://raw.githubusercontent.com/marcosmapl/dataset_imigrantes/main/materias_filtered/a_critica/haitianos/2013/00_jan/html/1.125979_1022.html", "HTML")</f>
        <v/>
      </c>
      <c r="R3311">
        <f>HYPERLINK("https://raw.githubusercontent.com/marcosmapl/dataset_imigrantes/main/materias_filtered/a_critica/haitianos/2013/00_jan/txt/1.125979_1022.txt", "TXT")</f>
        <v/>
      </c>
    </row>
    <row r="3312">
      <c r="A3312" s="1" t="n">
        <v>3310</v>
      </c>
      <c r="B3312" t="n">
        <v>2013</v>
      </c>
      <c r="C3312" s="2" t="n">
        <v>41300.09444444445</v>
      </c>
      <c r="D3312" t="inlineStr">
        <is>
          <t>G1</t>
        </is>
      </c>
      <c r="E3312" t="inlineStr">
        <is>
          <t>VENEZUELANOS</t>
        </is>
      </c>
      <c r="F3312" t="inlineStr"/>
      <c r="G3312" t="inlineStr">
        <is>
          <t>1, COM AGÊNCIAS INTERNACIONAIS*</t>
        </is>
      </c>
      <c r="H3312" t="inlineStr">
        <is>
          <t>MOTIM EM PRISÃO VENEZUELANA DEIXA MAIS DE 50 MORTOS</t>
        </is>
      </c>
      <c r="I3312" t="inlineStr"/>
      <c r="J3312" t="inlineStr">
        <is>
          <t>VENEZUELA</t>
        </is>
      </c>
      <c r="K3312" t="n">
        <v>1</v>
      </c>
      <c r="L3312" t="n">
        <v>5</v>
      </c>
      <c r="M3312" t="n">
        <v>0</v>
      </c>
      <c r="N3312" t="n">
        <v>0</v>
      </c>
      <c r="O3312" t="n">
        <v>12</v>
      </c>
      <c r="P3312">
        <f>HYPERLINK("http://g1.globo.com/mundo/noticia/2013/01/motim-em-prisao-venezuelana-deixa-mais-de-50-mortos.html", "URL")</f>
        <v/>
      </c>
      <c r="Q3312">
        <f>HYPERLINK("https://raw.githubusercontent.com/marcosmapl/dataset_imigrantes/main/materias_filtered/g1/venezuelanos/2013/00_jan/html/g1_018f78e0-2322-11ed-b24f-6dbe51e79fca_3729.html", "HTML")</f>
        <v/>
      </c>
      <c r="R3312">
        <f>HYPERLINK("https://raw.githubusercontent.com/marcosmapl/dataset_imigrantes/main/materias_filtered/g1/venezuelanos/2013/00_jan/txt/g1_018f78e0-2322-11ed-b24f-6dbe51e79fca_3729.txt", "TXT")</f>
        <v/>
      </c>
    </row>
    <row r="3313">
      <c r="A3313" s="1" t="n">
        <v>3311</v>
      </c>
      <c r="B3313" t="n">
        <v>2013</v>
      </c>
      <c r="C3313" s="2" t="n">
        <v>41300.0125</v>
      </c>
      <c r="D3313" t="inlineStr">
        <is>
          <t>G1</t>
        </is>
      </c>
      <c r="E3313" t="inlineStr">
        <is>
          <t>VENEZUELANOS</t>
        </is>
      </c>
      <c r="F3313" t="inlineStr"/>
      <c r="G3313" t="inlineStr">
        <is>
          <t>CE PRESSE</t>
        </is>
      </c>
      <c r="H3313" t="inlineStr">
        <is>
          <t>PELO MENOS 50 MORTOS EM CONFRONTO EM PRISÃO VENEZUELANA (HOSPITAL)</t>
        </is>
      </c>
      <c r="I3313" t="inlineStr"/>
      <c r="J3313" t="inlineStr"/>
      <c r="K3313" t="n">
        <v>0</v>
      </c>
      <c r="L3313" t="n">
        <v>1</v>
      </c>
      <c r="M3313" t="n">
        <v>0</v>
      </c>
      <c r="N3313" t="n">
        <v>0</v>
      </c>
      <c r="O3313" t="n">
        <v>4</v>
      </c>
      <c r="P3313">
        <f>HYPERLINK("http://g1.globo.com/mundo/noticia/2013/01/pelo-menos-50-mortos-em-confronto-em-prisao-venezuelana-hospital.html", "URL")</f>
        <v/>
      </c>
      <c r="Q3313">
        <f>HYPERLINK("https://raw.githubusercontent.com/marcosmapl/dataset_imigrantes/main/materias_filtered/g1/venezuelanos/2013/00_jan/html/g1_a4dd5416-2329-11ed-b24f-6dbe51e79fca_4129.html", "HTML")</f>
        <v/>
      </c>
      <c r="R3313">
        <f>HYPERLINK("https://raw.githubusercontent.com/marcosmapl/dataset_imigrantes/main/materias_filtered/g1/venezuelanos/2013/00_jan/txt/g1_a4dd5416-2329-11ed-b24f-6dbe51e79fca_4129.txt", "TXT")</f>
        <v/>
      </c>
    </row>
    <row r="3314">
      <c r="A3314" s="1" t="n">
        <v>3312</v>
      </c>
      <c r="B3314" t="n">
        <v>2013</v>
      </c>
      <c r="C3314" s="2" t="n">
        <v>41295.5237037037</v>
      </c>
      <c r="D3314" t="inlineStr">
        <is>
          <t>A CRITICA</t>
        </is>
      </c>
      <c r="E3314" t="inlineStr">
        <is>
          <t>VENEZUELANOS</t>
        </is>
      </c>
      <c r="F3314" t="inlineStr">
        <is>
          <t>MANAUS</t>
        </is>
      </c>
      <c r="G3314" t="inlineStr">
        <is>
          <t>ACRÍTICA.COM</t>
        </is>
      </c>
      <c r="H3314" t="inlineStr">
        <is>
          <t>VENEZUELANO DEGOLA COMPANHEIRA E É MORTO POR PM NO AMAZONAS</t>
        </is>
      </c>
      <c r="I3314" t="inlineStr">
        <is>
          <t>AS TESTEMUNHAS E O POLICIAL ENVOLVIDO NO CRIME SERÃO OUVIDOS NA DELEGACIA INTERATIVA DO MUNICÍPIO DE MANACAPURU</t>
        </is>
      </c>
      <c r="J3314" t="inlineStr"/>
      <c r="K3314" t="n">
        <v>0</v>
      </c>
      <c r="L3314" t="n">
        <v>1</v>
      </c>
      <c r="M3314" t="n">
        <v>0</v>
      </c>
      <c r="N3314" t="n">
        <v>0</v>
      </c>
      <c r="O3314" t="n">
        <v>0</v>
      </c>
      <c r="P3314">
        <f>HYPERLINK("https://www.acritica.com/manaus/venezuelano-degola-companheira-e-e-morto-por-pm-no-amazonas-1.123769", "URL")</f>
        <v/>
      </c>
      <c r="Q3314">
        <f>HYPERLINK("https://raw.githubusercontent.com/marcosmapl/dataset_imigrantes/main/materias_filtered/a_critica/venezuelanos/2013/00_jan/html/1.123769_178.html", "HTML")</f>
        <v/>
      </c>
      <c r="R3314">
        <f>HYPERLINK("https://raw.githubusercontent.com/marcosmapl/dataset_imigrantes/main/materias_filtered/a_critica/venezuelanos/2013/00_jan/txt/1.123769_178.txt", "TXT")</f>
        <v/>
      </c>
    </row>
    <row r="3315">
      <c r="A3315" s="1" t="n">
        <v>3313</v>
      </c>
      <c r="B3315" t="n">
        <v>2013</v>
      </c>
      <c r="C3315" s="2" t="n">
        <v>41293.59434027778</v>
      </c>
      <c r="D3315" t="inlineStr">
        <is>
          <t>A CRITICA</t>
        </is>
      </c>
      <c r="E3315" t="inlineStr">
        <is>
          <t>HAITIANOS</t>
        </is>
      </c>
      <c r="F3315" t="inlineStr"/>
      <c r="G3315" t="inlineStr">
        <is>
          <t>ACRITICA.COM*</t>
        </is>
      </c>
      <c r="H3315" t="inlineStr">
        <is>
          <t>AMAZONAS PROMOVE MUTIRÃO PARA EMISSÃO DE CARTEIRA DE TRABALHO AOS IMIGRANTES HAITIANOS</t>
        </is>
      </c>
      <c r="I3315" t="inlineStr">
        <is>
          <t>O  ATENDIMENTO SERÁ FEITO NA MANHÃ DESTE SÁBADO (19) NA SEDE DA SUPERINTENDÊNCIA DO TRABALHO, NA AVENIDA ANDRÉ ARAÚJO, 140,  BAIRRO ALEIXO, ZONA CENTRO-SUL DE MANAUS, DAS 8H ÀS 12H. O ATENDIMENTO CONTARÁ COM O APOIO DA SECRETARIA DE ESTADO E ASSISTÊNCIA SOCIAL (SEAS).</t>
        </is>
      </c>
      <c r="J3315" t="inlineStr"/>
      <c r="K3315" t="n">
        <v>0</v>
      </c>
      <c r="L3315" t="n">
        <v>1</v>
      </c>
      <c r="M3315" t="n">
        <v>0</v>
      </c>
      <c r="N3315" t="n">
        <v>0</v>
      </c>
      <c r="O3315" t="n">
        <v>0</v>
      </c>
      <c r="P3315">
        <f>HYPERLINK("https://www.acritica.com/amazonas-promove-mutir-o-para-emiss-o-de-carteira-de-trabalho-aos-imigrantes-haitianos-1.123973", "URL")</f>
        <v/>
      </c>
      <c r="Q3315">
        <f>HYPERLINK("https://raw.githubusercontent.com/marcosmapl/dataset_imigrantes/main/materias_filtered/a_critica/haitianos/2013/00_jan/html/1.123973_1298.html", "HTML")</f>
        <v/>
      </c>
      <c r="R3315">
        <f>HYPERLINK("https://raw.githubusercontent.com/marcosmapl/dataset_imigrantes/main/materias_filtered/a_critica/haitianos/2013/00_jan/txt/1.123973_1298.txt", "TXT")</f>
        <v/>
      </c>
    </row>
    <row r="3316">
      <c r="A3316" s="1" t="n">
        <v>3314</v>
      </c>
      <c r="B3316" t="n">
        <v>2013</v>
      </c>
      <c r="C3316" s="2" t="n">
        <v>41289.67291666667</v>
      </c>
      <c r="D3316" t="inlineStr">
        <is>
          <t>G1</t>
        </is>
      </c>
      <c r="E3316" t="inlineStr">
        <is>
          <t>VENEZUELANOS</t>
        </is>
      </c>
      <c r="F3316" t="inlineStr"/>
      <c r="G3316" t="inlineStr">
        <is>
          <t>REUTERS</t>
        </is>
      </c>
      <c r="H3316" t="inlineStr">
        <is>
          <t>COLÔMBIA ESPERA AJUDA VENEZUELANA MESMO SE CHÁVEZ MORRER</t>
        </is>
      </c>
      <c r="I3316" t="inlineStr"/>
      <c r="J3316" t="inlineStr">
        <is>
          <t>COLÔMBIA, FARC, HUGO CHÁVEZ, JUAN MANUEL SANTOS, NICOLÁS MADURO, VENEZUELA</t>
        </is>
      </c>
      <c r="K3316" t="n">
        <v>6</v>
      </c>
      <c r="L3316" t="n">
        <v>4</v>
      </c>
      <c r="M3316" t="n">
        <v>0</v>
      </c>
      <c r="N3316" t="n">
        <v>0</v>
      </c>
      <c r="O3316" t="n">
        <v>18</v>
      </c>
      <c r="P3316">
        <f>HYPERLINK("http://g1.globo.com/mundo/noticia/2013/01/colombia-espera-ajuda-venezuelana-em-negociacao-com-farc-mesmo-se-chavez-morrer.html", "URL")</f>
        <v/>
      </c>
      <c r="Q3316">
        <f>HYPERLINK("https://raw.githubusercontent.com/marcosmapl/dataset_imigrantes/main/materias_filtered/g1/venezuelanos/2013/00_jan/html/g1_f12a7056-2329-11ed-b24f-6dbe51e79fca_4148.html", "HTML")</f>
        <v/>
      </c>
      <c r="R3316">
        <f>HYPERLINK("https://raw.githubusercontent.com/marcosmapl/dataset_imigrantes/main/materias_filtered/g1/venezuelanos/2013/00_jan/txt/g1_f12a7056-2329-11ed-b24f-6dbe51e79fca_4148.txt", "TXT")</f>
        <v/>
      </c>
    </row>
    <row r="3317">
      <c r="A3317" s="1" t="n">
        <v>3315</v>
      </c>
      <c r="B3317" t="n">
        <v>2013</v>
      </c>
      <c r="C3317" s="2" t="n">
        <v>41289.32916666667</v>
      </c>
      <c r="D3317" t="inlineStr">
        <is>
          <t>G1</t>
        </is>
      </c>
      <c r="E3317" t="inlineStr">
        <is>
          <t>VENEZUELANOS</t>
        </is>
      </c>
      <c r="F3317" t="inlineStr"/>
      <c r="G3317" t="inlineStr">
        <is>
          <t>ERS</t>
        </is>
      </c>
      <c r="H3317" t="inlineStr">
        <is>
          <t>OPOSIÇÃO VENEZUELANA PEDE À OEA DIREITO DE PALAVRA SOBRE CHÁVEZ</t>
        </is>
      </c>
      <c r="I3317" t="inlineStr"/>
      <c r="J3317" t="inlineStr"/>
      <c r="K3317" t="n">
        <v>0</v>
      </c>
      <c r="L3317" t="n">
        <v>1</v>
      </c>
      <c r="M3317" t="n">
        <v>0</v>
      </c>
      <c r="N3317" t="n">
        <v>0</v>
      </c>
      <c r="O3317" t="n">
        <v>4</v>
      </c>
      <c r="P3317">
        <f>HYPERLINK("http://g1.globo.com/mundo/noticia/2013/01/oposicao-venezuelana-pede-a-oea-direito-de-palavra-sobre-chavez.html", "URL")</f>
        <v/>
      </c>
      <c r="Q3317">
        <f>HYPERLINK("https://raw.githubusercontent.com/marcosmapl/dataset_imigrantes/main/materias_filtered/g1/venezuelanos/2013/00_jan/html/g1_99f8dc8e-2322-11ed-b24f-6dbe51e79fca_3760.html", "HTML")</f>
        <v/>
      </c>
      <c r="R3317">
        <f>HYPERLINK("https://raw.githubusercontent.com/marcosmapl/dataset_imigrantes/main/materias_filtered/g1/venezuelanos/2013/00_jan/txt/g1_99f8dc8e-2322-11ed-b24f-6dbe51e79fca_3760.txt", "TXT")</f>
        <v/>
      </c>
    </row>
    <row r="3318">
      <c r="A3318" s="1" t="n">
        <v>3316</v>
      </c>
      <c r="B3318" t="n">
        <v>2013</v>
      </c>
      <c r="C3318" s="2" t="n">
        <v>41289.32916666667</v>
      </c>
      <c r="D3318" t="inlineStr">
        <is>
          <t>G1</t>
        </is>
      </c>
      <c r="E3318" t="inlineStr">
        <is>
          <t>VENEZUELANOS</t>
        </is>
      </c>
      <c r="F3318" t="inlineStr"/>
      <c r="G3318" t="inlineStr">
        <is>
          <t>ERS</t>
        </is>
      </c>
      <c r="H3318" t="inlineStr">
        <is>
          <t>OPOSIÇÃO VENEZUELANA PEDE À OEA DIREITO DE PALAVRA SOBRE CHÁVEZ</t>
        </is>
      </c>
      <c r="I3318" t="inlineStr"/>
      <c r="J3318" t="inlineStr"/>
      <c r="K3318" t="n">
        <v>0</v>
      </c>
      <c r="L3318" t="n">
        <v>1</v>
      </c>
      <c r="M3318" t="n">
        <v>0</v>
      </c>
      <c r="N3318" t="n">
        <v>0</v>
      </c>
      <c r="O3318" t="n">
        <v>4</v>
      </c>
      <c r="P3318">
        <f>HYPERLINK("http://g1.globo.com/mundo/noticia/2013/01/oposicao-venezuelana-pede-a-oea-direito-de-palavra-sobre-chavez-1.html", "URL")</f>
        <v/>
      </c>
      <c r="Q3318">
        <f>HYPERLINK("https://raw.githubusercontent.com/marcosmapl/dataset_imigrantes/main/materias_filtered/g1/venezuelanos/2013/00_jan/html/g1_c36da276-231c-11ed-b24f-6dbe51e79fca_3463.html", "HTML")</f>
        <v/>
      </c>
      <c r="R3318">
        <f>HYPERLINK("https://raw.githubusercontent.com/marcosmapl/dataset_imigrantes/main/materias_filtered/g1/venezuelanos/2013/00_jan/txt/g1_c36da276-231c-11ed-b24f-6dbe51e79fca_3463.txt", "TXT")</f>
        <v/>
      </c>
    </row>
    <row r="3319">
      <c r="A3319" s="1" t="n">
        <v>3317</v>
      </c>
      <c r="B3319" t="n">
        <v>2013</v>
      </c>
      <c r="C3319" s="2" t="n">
        <v>41288.72225694444</v>
      </c>
      <c r="D3319" t="inlineStr">
        <is>
          <t>A CRITICA</t>
        </is>
      </c>
      <c r="E3319" t="inlineStr">
        <is>
          <t>VENEZUELANOS</t>
        </is>
      </c>
      <c r="F3319" t="inlineStr"/>
      <c r="G3319" t="inlineStr">
        <is>
          <t>RENATA GIRALDI*/ AGÊNCIA BRASIL</t>
        </is>
      </c>
      <c r="H3319" t="inlineStr">
        <is>
          <t>CHÁVEZ ESTÁ CONSCIENTE, EM CONTATO COM A FAMÍLIA E ALIADOS, DIZ MINISTRO</t>
        </is>
      </c>
      <c r="I3319" t="inlineStr">
        <is>
          <t>PRESIDENTE ESTÁ HOSPITALIZADO HÁ UM MÊS. MINISTRO DA  COMUNICAÇÃO E INFORMAÇÃO, ERNESTO VILLEGAS,  INFORMA QUE O ESTADO DE SAÚDE DE CHÁVEZ INSPIRA CUIDADOS DEVIDOS A INSUFICIÊNCIA RESPIRATÓRIA</t>
        </is>
      </c>
      <c r="J3319" t="inlineStr"/>
      <c r="K3319" t="n">
        <v>0</v>
      </c>
      <c r="L3319" t="n">
        <v>1</v>
      </c>
      <c r="M3319" t="n">
        <v>0</v>
      </c>
      <c r="N3319" t="n">
        <v>0</v>
      </c>
      <c r="O3319" t="n">
        <v>1</v>
      </c>
      <c r="P3319">
        <f>HYPERLINK("https://www.acritica.com/chavez-esta-consciente-em-contato-com-a-familia-e-aliados-diz-ministro-1.124681", "URL")</f>
        <v/>
      </c>
      <c r="Q3319">
        <f>HYPERLINK("https://raw.githubusercontent.com/marcosmapl/dataset_imigrantes/main/materias_filtered/a_critica/venezuelanos/2013/00_jan/html/1.124681_972.html", "HTML")</f>
        <v/>
      </c>
      <c r="R3319">
        <f>HYPERLINK("https://raw.githubusercontent.com/marcosmapl/dataset_imigrantes/main/materias_filtered/a_critica/venezuelanos/2013/00_jan/txt/1.124681_972.txt", "TXT")</f>
        <v/>
      </c>
    </row>
    <row r="3320">
      <c r="A3320" s="1" t="n">
        <v>3318</v>
      </c>
      <c r="B3320" t="n">
        <v>2013</v>
      </c>
      <c r="C3320" s="2" t="n">
        <v>41288.50555555556</v>
      </c>
      <c r="D3320" t="inlineStr">
        <is>
          <t>G1</t>
        </is>
      </c>
      <c r="E3320" t="inlineStr">
        <is>
          <t>HAITIANOS</t>
        </is>
      </c>
      <c r="F3320" t="inlineStr"/>
      <c r="G3320" t="inlineStr">
        <is>
          <t>ISON SEVERIANODO G1 AM</t>
        </is>
      </c>
      <c r="H3320" t="inlineStr">
        <is>
          <t>PASTORAL CRITICA FALTA DE RECURSOS PARA AUXÍLIO A HAITIANOS REFUGIADOS NO AM</t>
        </is>
      </c>
      <c r="I3320" t="inlineStr"/>
      <c r="J3320" t="inlineStr">
        <is>
          <t>MANAUS, AMAZONAS</t>
        </is>
      </c>
      <c r="K3320" t="n">
        <v>2</v>
      </c>
      <c r="L3320" t="n">
        <v>5</v>
      </c>
      <c r="M3320" t="n">
        <v>0</v>
      </c>
      <c r="N3320" t="n">
        <v>0</v>
      </c>
      <c r="O3320" t="n">
        <v>18</v>
      </c>
      <c r="P3320">
        <f>HYPERLINK("http://g1.globo.com/am/amazonas/noticia/2013/01/pastoral-critica-falta-de-recursos-para-auxilio-haitianos-refugiados-no-am.html", "URL")</f>
        <v/>
      </c>
      <c r="Q3320">
        <f>HYPERLINK("https://raw.githubusercontent.com/marcosmapl/dataset_imigrantes/main/materias_filtered/g1/haitianos/2013/00_jan/html/g1_24e5477c-22f8-11ed-b24f-6dbe51e79fca_2117.html", "HTML")</f>
        <v/>
      </c>
      <c r="R3320">
        <f>HYPERLINK("https://raw.githubusercontent.com/marcosmapl/dataset_imigrantes/main/materias_filtered/g1/haitianos/2013/00_jan/txt/g1_24e5477c-22f8-11ed-b24f-6dbe51e79fca_2117.txt", "TXT")</f>
        <v/>
      </c>
    </row>
    <row r="3321">
      <c r="A3321" s="1" t="n">
        <v>3319</v>
      </c>
      <c r="B3321" t="n">
        <v>2013</v>
      </c>
      <c r="C3321" s="2" t="n">
        <v>41287.71078703704</v>
      </c>
      <c r="D3321" t="inlineStr">
        <is>
          <t>A CRITICA</t>
        </is>
      </c>
      <c r="E3321" t="inlineStr">
        <is>
          <t>HAITIANOS</t>
        </is>
      </c>
      <c r="F3321" t="inlineStr">
        <is>
          <t>MANAUS</t>
        </is>
      </c>
      <c r="G3321" t="inlineStr">
        <is>
          <t>ACRÍTICA.COM</t>
        </is>
      </c>
      <c r="H3321" t="inlineStr">
        <is>
          <t>CASA DO IMIGRANTE ABUSA DE BOA VONTADE DE IGREJA E TRANSFERE PERUANOS PARA PARÓQUIA SEM AUTORIZAÇÃO</t>
        </is>
      </c>
      <c r="I3321" t="inlineStr">
        <is>
          <t>O PADRE DA PARÓQUIA DE SÃO GERALDO, NO BAIRRO DE MESMO NOME, ZONA CENTRO-SUL DE MANAUS, VALDECIR MAYER NOLINARI, DENUNCIOU AO ACRITICA.COM QUE O GOVERNO DO ESTADO ENCAMINHOU PERUANOS QUE ESTAVAM NA CASA DO IMIGRANTE PARA O TEMPLO RELIGIOSO SEM AUTORIZAÇÃO</t>
        </is>
      </c>
      <c r="J3321" t="inlineStr"/>
      <c r="K3321" t="n">
        <v>0</v>
      </c>
      <c r="L3321" t="n">
        <v>1</v>
      </c>
      <c r="M3321" t="n">
        <v>0</v>
      </c>
      <c r="N3321" t="n">
        <v>0</v>
      </c>
      <c r="O3321" t="n">
        <v>0</v>
      </c>
      <c r="P3321">
        <f>HYPERLINK("https://www.acritica.com/manaus/casa-do-imigrante-abusa-de-boa-vontade-de-igreja-e-transfere-peruanos-para-paroquia-sem-autorizac-o-1.124744", "URL")</f>
        <v/>
      </c>
      <c r="Q3321">
        <f>HYPERLINK("https://raw.githubusercontent.com/marcosmapl/dataset_imigrantes/main/materias_filtered/a_critica/haitianos/2013/00_jan/html/1.124744_569.html", "HTML")</f>
        <v/>
      </c>
      <c r="R3321">
        <f>HYPERLINK("https://raw.githubusercontent.com/marcosmapl/dataset_imigrantes/main/materias_filtered/a_critica/haitianos/2013/00_jan/txt/1.124744_569.txt", "TXT")</f>
        <v/>
      </c>
    </row>
    <row r="3322">
      <c r="A3322" s="1" t="n">
        <v>3320</v>
      </c>
      <c r="B3322" t="n">
        <v>2013</v>
      </c>
      <c r="C3322" s="2" t="n">
        <v>41286.975</v>
      </c>
      <c r="D3322" t="inlineStr">
        <is>
          <t>G1</t>
        </is>
      </c>
      <c r="E3322" t="inlineStr">
        <is>
          <t>HAITIANOS</t>
        </is>
      </c>
      <c r="F3322" t="inlineStr"/>
      <c r="G3322" t="inlineStr"/>
      <c r="H3322" t="inlineStr">
        <is>
          <t>TRÊS ANOS APÓS TERREMOTO HAITI AINDA TEME A FOME</t>
        </is>
      </c>
      <c r="I3322" t="inlineStr"/>
      <c r="J3322" t="inlineStr"/>
      <c r="K3322" t="n">
        <v>0</v>
      </c>
      <c r="L3322" t="n">
        <v>1</v>
      </c>
      <c r="M3322" t="n">
        <v>0</v>
      </c>
      <c r="N3322" t="n">
        <v>0</v>
      </c>
      <c r="O3322" t="n">
        <v>4</v>
      </c>
      <c r="P3322">
        <f>HYPERLINK("http://g1.globo.com/mundo/noticia/2013/01/tres-anos-apos-terremoto-haiti-ainda-teme-a-fome.html", "URL")</f>
        <v/>
      </c>
      <c r="Q3322">
        <f>HYPERLINK("https://raw.githubusercontent.com/marcosmapl/dataset_imigrantes/main/materias_filtered/g1/haitianos/2013/00_jan/html/g1_2ac56d46-2309-11ed-b24f-6dbe51e79fca_2431.html", "HTML")</f>
        <v/>
      </c>
      <c r="R3322">
        <f>HYPERLINK("https://raw.githubusercontent.com/marcosmapl/dataset_imigrantes/main/materias_filtered/g1/haitianos/2013/00_jan/txt/g1_2ac56d46-2309-11ed-b24f-6dbe51e79fca_2431.txt", "TXT")</f>
        <v/>
      </c>
    </row>
    <row r="3323">
      <c r="A3323" s="1" t="n">
        <v>3321</v>
      </c>
      <c r="B3323" t="n">
        <v>2013</v>
      </c>
      <c r="C3323" s="2" t="n">
        <v>41286.69599537037</v>
      </c>
      <c r="D3323" t="inlineStr">
        <is>
          <t>A CRITICA</t>
        </is>
      </c>
      <c r="E3323" t="inlineStr">
        <is>
          <t>HAITIANOS</t>
        </is>
      </c>
      <c r="F3323" t="inlineStr"/>
      <c r="G3323" t="inlineStr">
        <is>
          <t>RENATA GIRALDI/AGÊNCIA BRASIL</t>
        </is>
      </c>
      <c r="H3323" t="inlineStr">
        <is>
          <t>HAITI RELEMBRA TRÊS ANOS DO PIOR TERREMOTO DE SUA HISTÓRIA RECENTE</t>
        </is>
      </c>
      <c r="I3323" t="inlineStr">
        <is>
          <t>A RECONSTRUÇÃO DO PAÍS TEM SIDO PREJUDICADA POR OUTROS DESASTRES NATURAIS, COMO SECAS, ENCHENTES E FURACÕES, E PELA DIFICULDADE DO GOVERNO PARA COORDENAR RECURSOS PÚBLICOS.</t>
        </is>
      </c>
      <c r="J3323" t="inlineStr"/>
      <c r="K3323" t="n">
        <v>0</v>
      </c>
      <c r="L3323" t="n">
        <v>1</v>
      </c>
      <c r="M3323" t="n">
        <v>0</v>
      </c>
      <c r="N3323" t="n">
        <v>0</v>
      </c>
      <c r="O3323" t="n">
        <v>0</v>
      </c>
      <c r="P3323">
        <f>HYPERLINK("https://www.acritica.com/haiti-relembra-tres-anos-do-pior-terremoto-de-sua-historia-recente-1.124748", "URL")</f>
        <v/>
      </c>
      <c r="Q3323">
        <f>HYPERLINK("https://raw.githubusercontent.com/marcosmapl/dataset_imigrantes/main/materias_filtered/a_critica/haitianos/2013/00_jan/html/1.124748_1105.html", "HTML")</f>
        <v/>
      </c>
      <c r="R3323">
        <f>HYPERLINK("https://raw.githubusercontent.com/marcosmapl/dataset_imigrantes/main/materias_filtered/a_critica/haitianos/2013/00_jan/txt/1.124748_1105.txt", "TXT")</f>
        <v/>
      </c>
    </row>
    <row r="3324">
      <c r="A3324" s="1" t="n">
        <v>3322</v>
      </c>
      <c r="B3324" t="n">
        <v>2013</v>
      </c>
      <c r="C3324" s="2" t="n">
        <v>41286.6375</v>
      </c>
      <c r="D3324" t="inlineStr">
        <is>
          <t>G1</t>
        </is>
      </c>
      <c r="E3324" t="inlineStr">
        <is>
          <t>HAITIANOS</t>
        </is>
      </c>
      <c r="F3324" t="inlineStr"/>
      <c r="G3324" t="inlineStr">
        <is>
          <t>CE PRESSE</t>
        </is>
      </c>
      <c r="H3324" t="inlineStr">
        <is>
          <t>PRESIDENTE HAITIANO LAMENTA LENTA RECONSTRUÇÃO APÓS TERREMOTO DE 2010</t>
        </is>
      </c>
      <c r="I3324" t="inlineStr"/>
      <c r="J3324" t="inlineStr"/>
      <c r="K3324" t="n">
        <v>0</v>
      </c>
      <c r="L3324" t="n">
        <v>1</v>
      </c>
      <c r="M3324" t="n">
        <v>0</v>
      </c>
      <c r="N3324" t="n">
        <v>0</v>
      </c>
      <c r="O3324" t="n">
        <v>4</v>
      </c>
      <c r="P3324">
        <f>HYPERLINK("http://g1.globo.com/mundo/noticia/2013/01/presidente-haitiano-lamenta-lenta-reconstrucao-apos-terremoto-de-2010.html", "URL")</f>
        <v/>
      </c>
      <c r="Q3324">
        <f>HYPERLINK("https://raw.githubusercontent.com/marcosmapl/dataset_imigrantes/main/materias_filtered/g1/haitianos/2013/00_jan/html/g1_3528248e-231f-11ed-b24f-6dbe51e79fca_3609.html", "HTML")</f>
        <v/>
      </c>
      <c r="R3324">
        <f>HYPERLINK("https://raw.githubusercontent.com/marcosmapl/dataset_imigrantes/main/materias_filtered/g1/haitianos/2013/00_jan/txt/g1_3528248e-231f-11ed-b24f-6dbe51e79fca_3609.txt", "TXT")</f>
        <v/>
      </c>
    </row>
    <row r="3325">
      <c r="A3325" s="1" t="n">
        <v>3323</v>
      </c>
      <c r="B3325" t="n">
        <v>2013</v>
      </c>
      <c r="C3325" s="2" t="n">
        <v>41286.63541666666</v>
      </c>
      <c r="D3325" t="inlineStr">
        <is>
          <t>G1</t>
        </is>
      </c>
      <c r="E3325" t="inlineStr">
        <is>
          <t>HAITIANOS</t>
        </is>
      </c>
      <c r="F3325" t="inlineStr"/>
      <c r="G3325" t="inlineStr">
        <is>
          <t>CE PRESSE</t>
        </is>
      </c>
      <c r="H3325" t="inlineStr">
        <is>
          <t>LÍDER HAITIANO LAMENTA LENTA RECONSTRUÇÃO APÓS TERREMOTO DE 2010</t>
        </is>
      </c>
      <c r="I3325" t="inlineStr"/>
      <c r="J3325" t="inlineStr"/>
      <c r="K3325" t="n">
        <v>0</v>
      </c>
      <c r="L3325" t="n">
        <v>1</v>
      </c>
      <c r="M3325" t="n">
        <v>0</v>
      </c>
      <c r="N3325" t="n">
        <v>0</v>
      </c>
      <c r="O3325" t="n">
        <v>4</v>
      </c>
      <c r="P3325">
        <f>HYPERLINK("http://g1.globo.com/mundo/noticia/2013/01/lider-haitiano-lamenta-lenta-reconstrucao-apos-terremoto-de-2010.html", "URL")</f>
        <v/>
      </c>
      <c r="Q3325">
        <f>HYPERLINK("https://raw.githubusercontent.com/marcosmapl/dataset_imigrantes/main/materias_filtered/g1/haitianos/2013/00_jan/html/g1_f2c2f0d0-2308-11ed-b24f-6dbe51e79fca_2415.html", "HTML")</f>
        <v/>
      </c>
      <c r="R3325">
        <f>HYPERLINK("https://raw.githubusercontent.com/marcosmapl/dataset_imigrantes/main/materias_filtered/g1/haitianos/2013/00_jan/txt/g1_f2c2f0d0-2308-11ed-b24f-6dbe51e79fca_2415.txt", "TXT")</f>
        <v/>
      </c>
    </row>
    <row r="3326">
      <c r="A3326" s="1" t="n">
        <v>3324</v>
      </c>
      <c r="B3326" t="n">
        <v>2013</v>
      </c>
      <c r="C3326" s="2" t="n">
        <v>41286.37291666667</v>
      </c>
      <c r="D3326" t="inlineStr">
        <is>
          <t>G1</t>
        </is>
      </c>
      <c r="E3326" t="inlineStr">
        <is>
          <t>HAITIANOS</t>
        </is>
      </c>
      <c r="F3326" t="inlineStr"/>
      <c r="G3326" t="inlineStr">
        <is>
          <t>BC</t>
        </is>
      </c>
      <c r="H3326" t="inlineStr">
        <is>
          <t>TRÊS ANOS APÓS TERREMOTO, POUCO DINHEIRO CHEGA A INSTITUIÇÕES HAITIANAS</t>
        </is>
      </c>
      <c r="I3326" t="inlineStr"/>
      <c r="J3326" t="inlineStr">
        <is>
          <t>HAITI</t>
        </is>
      </c>
      <c r="K3326" t="n">
        <v>1</v>
      </c>
      <c r="L3326" t="n">
        <v>5</v>
      </c>
      <c r="M3326" t="n">
        <v>0</v>
      </c>
      <c r="N3326" t="n">
        <v>0</v>
      </c>
      <c r="O3326" t="n">
        <v>9</v>
      </c>
      <c r="P3326">
        <f>HYPERLINK("http://g1.globo.com/mundo/noticia/2013/01/tres-anos-apos-terremoto-pouco-dinheiro-externo-chega-a-instituicoes-haitianas.html", "URL")</f>
        <v/>
      </c>
      <c r="Q3326">
        <f>HYPERLINK("https://raw.githubusercontent.com/marcosmapl/dataset_imigrantes/main/materias_filtered/g1/haitianos/2013/00_jan/html/g1_30f40512-2311-11ed-b24f-6dbe51e79fca_2905.html", "HTML")</f>
        <v/>
      </c>
      <c r="R3326">
        <f>HYPERLINK("https://raw.githubusercontent.com/marcosmapl/dataset_imigrantes/main/materias_filtered/g1/haitianos/2013/00_jan/txt/g1_30f40512-2311-11ed-b24f-6dbe51e79fca_2905.txt", "TXT")</f>
        <v/>
      </c>
    </row>
    <row r="3327">
      <c r="A3327" s="1" t="n">
        <v>3325</v>
      </c>
      <c r="B3327" t="n">
        <v>2013</v>
      </c>
      <c r="C3327" s="2" t="n">
        <v>41284.55940972222</v>
      </c>
      <c r="D3327" t="inlineStr">
        <is>
          <t>A CRITICA</t>
        </is>
      </c>
      <c r="E3327" t="inlineStr">
        <is>
          <t>HAITIANOS</t>
        </is>
      </c>
      <c r="F3327" t="inlineStr"/>
      <c r="G3327" t="inlineStr">
        <is>
          <t>RENATA GIRALDI /AGÊNCIA BRASIL</t>
        </is>
      </c>
      <c r="H3327" t="inlineStr">
        <is>
          <t>NO HAITI, 500 MIL PESSOAS PRECISAM DE AJUDA E MAIS DE 81 MIL SOFREM DE DESNUTRIÇÃO, DIZ ONU</t>
        </is>
      </c>
      <c r="I3327" t="inlineStr">
        <is>
          <t>PELAS AUTORIDADES DA ONU, A INSEGURANÇA ALIMENTAR AFETA 2,1 MILHÕES DE HAITIANOS. PARA A MINUSTAH, É FUNDAMENTAL INVESTIR US$ 144 MILHÕES NO HAITI</t>
        </is>
      </c>
      <c r="J3327" t="inlineStr"/>
      <c r="K3327" t="n">
        <v>0</v>
      </c>
      <c r="L3327" t="n">
        <v>1</v>
      </c>
      <c r="M3327" t="n">
        <v>0</v>
      </c>
      <c r="N3327" t="n">
        <v>0</v>
      </c>
      <c r="O3327" t="n">
        <v>0</v>
      </c>
      <c r="P3327">
        <f>HYPERLINK("https://www.acritica.com/no-haiti-500-mil-pessoas-precisam-de-ajuda-e-mais-de-81-mil-sofrem-de-desnutric-o-diz-onu-1.141737", "URL")</f>
        <v/>
      </c>
      <c r="Q3327">
        <f>HYPERLINK("https://raw.githubusercontent.com/marcosmapl/dataset_imigrantes/main/materias_filtered/a_critica/haitianos/2013/00_jan/html/1.141737_1235.html", "HTML")</f>
        <v/>
      </c>
      <c r="R3327">
        <f>HYPERLINK("https://raw.githubusercontent.com/marcosmapl/dataset_imigrantes/main/materias_filtered/a_critica/haitianos/2013/00_jan/txt/1.141737_1235.txt", "TXT")</f>
        <v/>
      </c>
    </row>
    <row r="3328">
      <c r="A3328" s="1" t="n">
        <v>3326</v>
      </c>
      <c r="B3328" t="n">
        <v>2013</v>
      </c>
      <c r="C3328" s="2" t="n">
        <v>41282.89375</v>
      </c>
      <c r="D3328" t="inlineStr">
        <is>
          <t>G1</t>
        </is>
      </c>
      <c r="E3328" t="inlineStr">
        <is>
          <t>VENEZUELANOS</t>
        </is>
      </c>
      <c r="F3328" t="inlineStr"/>
      <c r="G3328" t="inlineStr">
        <is>
          <t>CE PRESSE</t>
        </is>
      </c>
      <c r="H3328" t="inlineStr">
        <is>
          <t>CAPRILES PEDE QUE JUSTIÇA SE PRONUNCIE SOBRE CRISE CONSTITUCIONAL VENEZUELANA</t>
        </is>
      </c>
      <c r="I3328" t="inlineStr"/>
      <c r="J3328" t="inlineStr"/>
      <c r="K3328" t="n">
        <v>0</v>
      </c>
      <c r="L3328" t="n">
        <v>1</v>
      </c>
      <c r="M3328" t="n">
        <v>0</v>
      </c>
      <c r="N3328" t="n">
        <v>0</v>
      </c>
      <c r="O3328" t="n">
        <v>4</v>
      </c>
      <c r="P3328">
        <f>HYPERLINK("http://g1.globo.com/mundo/noticia/2013/01/capriles-pede-que-justica-se-pronuncie-sobre-crise-constitucional-venezuelana-2.html", "URL")</f>
        <v/>
      </c>
      <c r="Q3328">
        <f>HYPERLINK("https://raw.githubusercontent.com/marcosmapl/dataset_imigrantes/main/materias_filtered/g1/venezuelanos/2013/00_jan/html/g1_d947f4d2-230a-11ed-b24f-6dbe51e79fca_2532.html", "HTML")</f>
        <v/>
      </c>
      <c r="R3328">
        <f>HYPERLINK("https://raw.githubusercontent.com/marcosmapl/dataset_imigrantes/main/materias_filtered/g1/venezuelanos/2013/00_jan/txt/g1_d947f4d2-230a-11ed-b24f-6dbe51e79fca_2532.txt", "TXT")</f>
        <v/>
      </c>
    </row>
    <row r="3329">
      <c r="A3329" s="1" t="n">
        <v>3327</v>
      </c>
      <c r="B3329" t="n">
        <v>2013</v>
      </c>
      <c r="C3329" s="2" t="n">
        <v>41282.68333333333</v>
      </c>
      <c r="D3329" t="inlineStr">
        <is>
          <t>G1</t>
        </is>
      </c>
      <c r="E3329" t="inlineStr">
        <is>
          <t>VENEZUELANOS</t>
        </is>
      </c>
      <c r="F3329" t="inlineStr"/>
      <c r="G3329" t="inlineStr">
        <is>
          <t>CE PRESSE</t>
        </is>
      </c>
      <c r="H3329" t="inlineStr">
        <is>
          <t>CAPRILES PEDE QUE JUSTIÇA SE PRONUNCIE SOBRE CRISE CONSTITUCIONAL VENEZUELANA</t>
        </is>
      </c>
      <c r="I3329" t="inlineStr"/>
      <c r="J3329" t="inlineStr"/>
      <c r="K3329" t="n">
        <v>0</v>
      </c>
      <c r="L3329" t="n">
        <v>1</v>
      </c>
      <c r="M3329" t="n">
        <v>0</v>
      </c>
      <c r="N3329" t="n">
        <v>0</v>
      </c>
      <c r="O3329" t="n">
        <v>4</v>
      </c>
      <c r="P3329">
        <f>HYPERLINK("http://g1.globo.com/mundo/noticia/2013/01/capriles-pede-que-justica-se-pronuncie-sobre-crise-constitucional-venezuelana.html", "URL")</f>
        <v/>
      </c>
      <c r="Q3329">
        <f>HYPERLINK("https://raw.githubusercontent.com/marcosmapl/dataset_imigrantes/main/materias_filtered/g1/venezuelanos/2013/00_jan/html/g1_e06ac7a0-232b-11ed-b24f-6dbe51e79fca_4276.html", "HTML")</f>
        <v/>
      </c>
      <c r="R3329">
        <f>HYPERLINK("https://raw.githubusercontent.com/marcosmapl/dataset_imigrantes/main/materias_filtered/g1/venezuelanos/2013/00_jan/txt/g1_e06ac7a0-232b-11ed-b24f-6dbe51e79fca_4276.txt", "TXT")</f>
        <v/>
      </c>
    </row>
    <row r="3330">
      <c r="A3330" s="1" t="n">
        <v>3328</v>
      </c>
      <c r="B3330" t="n">
        <v>2013</v>
      </c>
      <c r="C3330" s="2" t="n">
        <v>41282.57708333333</v>
      </c>
      <c r="D3330" t="inlineStr">
        <is>
          <t>G1</t>
        </is>
      </c>
      <c r="E3330" t="inlineStr">
        <is>
          <t>VENEZUELANOS</t>
        </is>
      </c>
      <c r="F3330" t="inlineStr"/>
      <c r="G3330" t="inlineStr">
        <is>
          <t>CE PRESSE</t>
        </is>
      </c>
      <c r="H3330" t="inlineStr">
        <is>
          <t>OPOSIÇÃO VENEZUELANA DENUNCIA RISCO DE 'VIOLAÇÃO DA ORDEM CONSTITUCIONAL'</t>
        </is>
      </c>
      <c r="I3330" t="inlineStr"/>
      <c r="J3330" t="inlineStr"/>
      <c r="K3330" t="n">
        <v>0</v>
      </c>
      <c r="L3330" t="n">
        <v>1</v>
      </c>
      <c r="M3330" t="n">
        <v>0</v>
      </c>
      <c r="N3330" t="n">
        <v>0</v>
      </c>
      <c r="O3330" t="n">
        <v>4</v>
      </c>
      <c r="P3330">
        <f>HYPERLINK("http://g1.globo.com/mundo/noticia/2013/01/oposicao-venezuelana-denuncia-risco-de-violacao-da-ordem-constitucional-1.html", "URL")</f>
        <v/>
      </c>
      <c r="Q3330">
        <f>HYPERLINK("https://raw.githubusercontent.com/marcosmapl/dataset_imigrantes/main/materias_filtered/g1/venezuelanos/2013/00_jan/html/g1_6ac0db7a-232b-11ed-b24f-6dbe51e79fca_4244.html", "HTML")</f>
        <v/>
      </c>
      <c r="R3330">
        <f>HYPERLINK("https://raw.githubusercontent.com/marcosmapl/dataset_imigrantes/main/materias_filtered/g1/venezuelanos/2013/00_jan/txt/g1_6ac0db7a-232b-11ed-b24f-6dbe51e79fca_4244.txt", "TXT")</f>
        <v/>
      </c>
    </row>
    <row r="3331">
      <c r="A3331" s="1" t="n">
        <v>3329</v>
      </c>
      <c r="B3331" t="n">
        <v>2013</v>
      </c>
      <c r="C3331" s="2" t="n">
        <v>41282.55833333333</v>
      </c>
      <c r="D3331" t="inlineStr">
        <is>
          <t>G1</t>
        </is>
      </c>
      <c r="E3331" t="inlineStr">
        <is>
          <t>VENEZUELANOS</t>
        </is>
      </c>
      <c r="F3331" t="inlineStr"/>
      <c r="G3331" t="inlineStr">
        <is>
          <t>CE PRESSE</t>
        </is>
      </c>
      <c r="H3331" t="inlineStr">
        <is>
          <t>OPOSIÇÃO VENEZUELANA DENUNCIA RISCO DE 'VIOLAÇÃO DA ORDEM CONSTITUCIONAL'</t>
        </is>
      </c>
      <c r="I3331" t="inlineStr"/>
      <c r="J3331" t="inlineStr"/>
      <c r="K3331" t="n">
        <v>0</v>
      </c>
      <c r="L3331" t="n">
        <v>1</v>
      </c>
      <c r="M3331" t="n">
        <v>0</v>
      </c>
      <c r="N3331" t="n">
        <v>0</v>
      </c>
      <c r="O3331" t="n">
        <v>4</v>
      </c>
      <c r="P3331">
        <f>HYPERLINK("http://g1.globo.com/mundo/noticia/2013/01/oposicao-venezuelana-denuncia-risco-de-violacao-da-ordem-constitucional.html", "URL")</f>
        <v/>
      </c>
      <c r="Q3331">
        <f>HYPERLINK("https://raw.githubusercontent.com/marcosmapl/dataset_imigrantes/main/materias_filtered/g1/venezuelanos/2013/00_jan/html/g1_11c756be-232d-11ed-b24f-6dbe51e79fca_4341.html", "HTML")</f>
        <v/>
      </c>
      <c r="R3331">
        <f>HYPERLINK("https://raw.githubusercontent.com/marcosmapl/dataset_imigrantes/main/materias_filtered/g1/venezuelanos/2013/00_jan/txt/g1_11c756be-232d-11ed-b24f-6dbe51e79fca_4341.txt", "TXT")</f>
        <v/>
      </c>
    </row>
    <row r="3332">
      <c r="A3332" s="1" t="n">
        <v>3330</v>
      </c>
      <c r="B3332" t="n">
        <v>2013</v>
      </c>
      <c r="C3332" s="2" t="n">
        <v>41282.52847222222</v>
      </c>
      <c r="D3332" t="inlineStr">
        <is>
          <t>G1</t>
        </is>
      </c>
      <c r="E3332" t="inlineStr">
        <is>
          <t>VENEZUELANOS</t>
        </is>
      </c>
      <c r="F3332" t="inlineStr"/>
      <c r="G3332" t="inlineStr">
        <is>
          <t>1, COM AGÊNCIAS INTERNACIONAIS</t>
        </is>
      </c>
      <c r="H3332" t="inlineStr">
        <is>
          <t>OPOSIÇÃO VENEZUELANA VÊ RISCO DE 'VIOLAÇÃO DA ORDEM CONSTITUCIONAL'</t>
        </is>
      </c>
      <c r="I3332" t="inlineStr"/>
      <c r="J3332" t="inlineStr">
        <is>
          <t>CUBA, HUGO CHÁVEZ, OEA, VENEZUELA</t>
        </is>
      </c>
      <c r="K3332" t="n">
        <v>4</v>
      </c>
      <c r="L3332" t="n">
        <v>5</v>
      </c>
      <c r="M3332" t="n">
        <v>0</v>
      </c>
      <c r="N3332" t="n">
        <v>0</v>
      </c>
      <c r="O3332" t="n">
        <v>16</v>
      </c>
      <c r="P3332">
        <f>HYPERLINK("http://g1.globo.com/mundo/noticia/2013/01/oposicao-venezuelana-ve-risco-de-violacao-da-ordem-constitucional.html", "URL")</f>
        <v/>
      </c>
      <c r="Q3332">
        <f>HYPERLINK("https://raw.githubusercontent.com/marcosmapl/dataset_imigrantes/main/materias_filtered/g1/venezuelanos/2013/00_jan/html/g1_2a6ea132-2313-11ed-b24f-6dbe51e79fca_2997.html", "HTML")</f>
        <v/>
      </c>
      <c r="R3332">
        <f>HYPERLINK("https://raw.githubusercontent.com/marcosmapl/dataset_imigrantes/main/materias_filtered/g1/venezuelanos/2013/00_jan/txt/g1_2a6ea132-2313-11ed-b24f-6dbe51e79fca_2997.txt", "TXT")</f>
        <v/>
      </c>
    </row>
    <row r="3333">
      <c r="A3333" s="1" t="n">
        <v>3331</v>
      </c>
      <c r="B3333" t="n">
        <v>2013</v>
      </c>
      <c r="C3333" s="2" t="n">
        <v>41282.34444444445</v>
      </c>
      <c r="D3333" t="inlineStr">
        <is>
          <t>G1</t>
        </is>
      </c>
      <c r="E3333" t="inlineStr">
        <is>
          <t>VENEZUELANOS</t>
        </is>
      </c>
      <c r="F3333" t="inlineStr"/>
      <c r="G3333" t="inlineStr"/>
      <c r="H3333" t="inlineStr">
        <is>
          <t>OPOSIÇÃO DIZ QUE DEMOCRACIA VENEZUELANA ESTÁ DOENTE</t>
        </is>
      </c>
      <c r="I3333" t="inlineStr"/>
      <c r="J3333" t="inlineStr">
        <is>
          <t>HUGO CHÁVEZ, VENEZUELA</t>
        </is>
      </c>
      <c r="K3333" t="n">
        <v>2</v>
      </c>
      <c r="L3333" t="n">
        <v>3</v>
      </c>
      <c r="M3333" t="n">
        <v>0</v>
      </c>
      <c r="N3333" t="n">
        <v>0</v>
      </c>
      <c r="O3333" t="n">
        <v>10</v>
      </c>
      <c r="P3333">
        <f>HYPERLINK("http://g1.globo.com/bom-dia-brasil/noticia/2013/01/oposicao-diz-que-democracia-venezuelana-esta-doente.html", "URL")</f>
        <v/>
      </c>
      <c r="Q3333">
        <f>HYPERLINK("https://raw.githubusercontent.com/marcosmapl/dataset_imigrantes/main/materias_filtered/g1/venezuelanos/2013/00_jan/html/g1_9c6f33ca-2307-11ed-b24f-6dbe51e79fca_2330.html", "HTML")</f>
        <v/>
      </c>
      <c r="R3333">
        <f>HYPERLINK("https://raw.githubusercontent.com/marcosmapl/dataset_imigrantes/main/materias_filtered/g1/venezuelanos/2013/00_jan/txt/g1_9c6f33ca-2307-11ed-b24f-6dbe51e79fca_2330.txt", "TXT")</f>
        <v/>
      </c>
    </row>
    <row r="3334">
      <c r="A3334" s="1" t="n">
        <v>3332</v>
      </c>
      <c r="B3334" t="n">
        <v>2013</v>
      </c>
      <c r="C3334" s="2" t="n">
        <v>41279.83333333334</v>
      </c>
      <c r="D3334" t="inlineStr">
        <is>
          <t>G1</t>
        </is>
      </c>
      <c r="E3334" t="inlineStr">
        <is>
          <t>VENEZUELANOS</t>
        </is>
      </c>
      <c r="F3334" t="inlineStr"/>
      <c r="G3334" t="inlineStr">
        <is>
          <t>CE PRESSE</t>
        </is>
      </c>
      <c r="H3334" t="inlineStr">
        <is>
          <t>DIOSDADO CABELLO É REELEITO PRESIDENTE DA ASSEMBLEIA VENEZUELANA</t>
        </is>
      </c>
      <c r="I3334" t="inlineStr"/>
      <c r="J3334" t="inlineStr"/>
      <c r="K3334" t="n">
        <v>0</v>
      </c>
      <c r="L3334" t="n">
        <v>1</v>
      </c>
      <c r="M3334" t="n">
        <v>0</v>
      </c>
      <c r="N3334" t="n">
        <v>0</v>
      </c>
      <c r="O3334" t="n">
        <v>4</v>
      </c>
      <c r="P3334">
        <f>HYPERLINK("http://g1.globo.com/mundo/noticia/2013/01/diosdado-cabello-e-reeleito-presidente-da-assembleia-venezuelana-3.html", "URL")</f>
        <v/>
      </c>
      <c r="Q3334">
        <f>HYPERLINK("https://raw.githubusercontent.com/marcosmapl/dataset_imigrantes/main/materias_filtered/g1/venezuelanos/2013/00_jan/html/g1_ab1ed338-230e-11ed-b24f-6dbe51e79fca_2750.html", "HTML")</f>
        <v/>
      </c>
      <c r="R3334">
        <f>HYPERLINK("https://raw.githubusercontent.com/marcosmapl/dataset_imigrantes/main/materias_filtered/g1/venezuelanos/2013/00_jan/txt/g1_ab1ed338-230e-11ed-b24f-6dbe51e79fca_2750.txt", "TXT")</f>
        <v/>
      </c>
    </row>
    <row r="3335">
      <c r="A3335" s="1" t="n">
        <v>3333</v>
      </c>
      <c r="B3335" t="n">
        <v>2013</v>
      </c>
      <c r="C3335" s="2" t="n">
        <v>41279.82916666667</v>
      </c>
      <c r="D3335" t="inlineStr">
        <is>
          <t>G1</t>
        </is>
      </c>
      <c r="E3335" t="inlineStr">
        <is>
          <t>VENEZUELANOS</t>
        </is>
      </c>
      <c r="F3335" t="inlineStr"/>
      <c r="G3335" t="inlineStr"/>
      <c r="H3335" t="inlineStr">
        <is>
          <t>ALIADO DE CHÁVEZ É REELEITO PRESIDENTE DE ASSEMBLEIA VENEZUELANA</t>
        </is>
      </c>
      <c r="I3335" t="inlineStr"/>
      <c r="J3335" t="inlineStr"/>
      <c r="K3335" t="n">
        <v>0</v>
      </c>
      <c r="L3335" t="n">
        <v>1</v>
      </c>
      <c r="M3335" t="n">
        <v>0</v>
      </c>
      <c r="N3335" t="n">
        <v>0</v>
      </c>
      <c r="O3335" t="n">
        <v>4</v>
      </c>
      <c r="P3335">
        <f>HYPERLINK("http://g1.globo.com/mundo/noticia/2013/01/aliado-de-chavez-e-reeleito-presidente-de-assembleia-venezuelana.html", "URL")</f>
        <v/>
      </c>
      <c r="Q3335">
        <f>HYPERLINK("https://raw.githubusercontent.com/marcosmapl/dataset_imigrantes/main/materias_filtered/g1/venezuelanos/2013/00_jan/html/g1_12d15d06-231f-11ed-b24f-6dbe51e79fca_3599.html", "HTML")</f>
        <v/>
      </c>
      <c r="R3335">
        <f>HYPERLINK("https://raw.githubusercontent.com/marcosmapl/dataset_imigrantes/main/materias_filtered/g1/venezuelanos/2013/00_jan/txt/g1_12d15d06-231f-11ed-b24f-6dbe51e79fca_3599.txt", "TXT")</f>
        <v/>
      </c>
    </row>
    <row r="3336">
      <c r="A3336" s="1" t="n">
        <v>3334</v>
      </c>
      <c r="B3336" t="n">
        <v>2013</v>
      </c>
      <c r="C3336" s="2" t="n">
        <v>41279.7625</v>
      </c>
      <c r="D3336" t="inlineStr">
        <is>
          <t>G1</t>
        </is>
      </c>
      <c r="E3336" t="inlineStr">
        <is>
          <t>VENEZUELANOS</t>
        </is>
      </c>
      <c r="F3336" t="inlineStr"/>
      <c r="G3336" t="inlineStr">
        <is>
          <t>CE PRESSE</t>
        </is>
      </c>
      <c r="H3336" t="inlineStr">
        <is>
          <t>DIOSDADO CABELLO É REELEITO PRESIDENTE DA ASSEMBLEIA VENEZUELANA</t>
        </is>
      </c>
      <c r="I3336" t="inlineStr"/>
      <c r="J3336" t="inlineStr"/>
      <c r="K3336" t="n">
        <v>0</v>
      </c>
      <c r="L3336" t="n">
        <v>1</v>
      </c>
      <c r="M3336" t="n">
        <v>0</v>
      </c>
      <c r="N3336" t="n">
        <v>0</v>
      </c>
      <c r="O3336" t="n">
        <v>4</v>
      </c>
      <c r="P3336">
        <f>HYPERLINK("http://g1.globo.com/mundo/noticia/2013/01/diosdado-cabello-e-reeleito-presidente-da-assembleia-venezuelana-2.html", "URL")</f>
        <v/>
      </c>
      <c r="Q3336">
        <f>HYPERLINK("https://raw.githubusercontent.com/marcosmapl/dataset_imigrantes/main/materias_filtered/g1/venezuelanos/2013/00_jan/html/g1_fcbd5206-2317-11ed-b24f-6dbe51e79fca_3238.html", "HTML")</f>
        <v/>
      </c>
      <c r="R3336">
        <f>HYPERLINK("https://raw.githubusercontent.com/marcosmapl/dataset_imigrantes/main/materias_filtered/g1/venezuelanos/2013/00_jan/txt/g1_fcbd5206-2317-11ed-b24f-6dbe51e79fca_3238.txt", "TXT")</f>
        <v/>
      </c>
    </row>
    <row r="3337">
      <c r="A3337" s="1" t="n">
        <v>3335</v>
      </c>
      <c r="B3337" t="n">
        <v>2013</v>
      </c>
      <c r="C3337" s="2" t="n">
        <v>41279.71666666667</v>
      </c>
      <c r="D3337" t="inlineStr">
        <is>
          <t>G1</t>
        </is>
      </c>
      <c r="E3337" t="inlineStr">
        <is>
          <t>VENEZUELANOS</t>
        </is>
      </c>
      <c r="F3337" t="inlineStr"/>
      <c r="G3337" t="inlineStr">
        <is>
          <t>CE PRESSE</t>
        </is>
      </c>
      <c r="H3337" t="inlineStr">
        <is>
          <t>DIOSDADO CABELLO É REELEITO PRESIDENTE DA ASSEMBLEIA VENEZUELANA</t>
        </is>
      </c>
      <c r="I3337" t="inlineStr"/>
      <c r="J3337" t="inlineStr"/>
      <c r="K3337" t="n">
        <v>0</v>
      </c>
      <c r="L3337" t="n">
        <v>1</v>
      </c>
      <c r="M3337" t="n">
        <v>0</v>
      </c>
      <c r="N3337" t="n">
        <v>0</v>
      </c>
      <c r="O3337" t="n">
        <v>4</v>
      </c>
      <c r="P3337">
        <f>HYPERLINK("http://g1.globo.com/mundo/noticia/2013/01/diosdado-cabello-e-reeleito-presidente-da-assembleia-venezuelana-1.html", "URL")</f>
        <v/>
      </c>
      <c r="Q3337">
        <f>HYPERLINK("https://raw.githubusercontent.com/marcosmapl/dataset_imigrantes/main/materias_filtered/g1/venezuelanos/2013/00_jan/html/g1_fabf5c7c-230f-11ed-b24f-6dbe51e79fca_2831.html", "HTML")</f>
        <v/>
      </c>
      <c r="R3337">
        <f>HYPERLINK("https://raw.githubusercontent.com/marcosmapl/dataset_imigrantes/main/materias_filtered/g1/venezuelanos/2013/00_jan/txt/g1_fabf5c7c-230f-11ed-b24f-6dbe51e79fca_2831.txt", "TXT")</f>
        <v/>
      </c>
    </row>
    <row r="3338">
      <c r="A3338" s="1" t="n">
        <v>3336</v>
      </c>
      <c r="B3338" t="n">
        <v>2013</v>
      </c>
      <c r="C3338" s="2" t="n">
        <v>41279.70416666667</v>
      </c>
      <c r="D3338" t="inlineStr">
        <is>
          <t>G1</t>
        </is>
      </c>
      <c r="E3338" t="inlineStr">
        <is>
          <t>VENEZUELANOS</t>
        </is>
      </c>
      <c r="F3338" t="inlineStr"/>
      <c r="G3338" t="inlineStr">
        <is>
          <t>CE PRESSE</t>
        </is>
      </c>
      <c r="H3338" t="inlineStr">
        <is>
          <t>DIOSDADO CABELLO É REELEITO PRESIDENTE DA ASSEMBLEIA VENEZUELANA</t>
        </is>
      </c>
      <c r="I3338" t="inlineStr"/>
      <c r="J3338" t="inlineStr"/>
      <c r="K3338" t="n">
        <v>0</v>
      </c>
      <c r="L3338" t="n">
        <v>1</v>
      </c>
      <c r="M3338" t="n">
        <v>0</v>
      </c>
      <c r="N3338" t="n">
        <v>0</v>
      </c>
      <c r="O3338" t="n">
        <v>4</v>
      </c>
      <c r="P3338">
        <f>HYPERLINK("http://g1.globo.com/mundo/noticia/2013/01/diosdado-cabello-e-reeleito-presidente-da-assembleia-venezuelana.html", "URL")</f>
        <v/>
      </c>
      <c r="Q3338">
        <f>HYPERLINK("https://raw.githubusercontent.com/marcosmapl/dataset_imigrantes/main/materias_filtered/g1/venezuelanos/2013/00_jan/html/g1_d3ad0974-2308-11ed-b24f-6dbe51e79fca_2406.html", "HTML")</f>
        <v/>
      </c>
      <c r="R3338">
        <f>HYPERLINK("https://raw.githubusercontent.com/marcosmapl/dataset_imigrantes/main/materias_filtered/g1/venezuelanos/2013/00_jan/txt/g1_d3ad0974-2308-11ed-b24f-6dbe51e79fca_2406.txt", "TXT")</f>
        <v/>
      </c>
    </row>
    <row r="3339">
      <c r="A3339" s="1" t="n">
        <v>3337</v>
      </c>
      <c r="B3339" t="n">
        <v>2013</v>
      </c>
      <c r="C3339" s="2" t="n">
        <v>41279.63541666666</v>
      </c>
      <c r="D3339" t="inlineStr">
        <is>
          <t>G1</t>
        </is>
      </c>
      <c r="E3339" t="inlineStr">
        <is>
          <t>VENEZUELANOS</t>
        </is>
      </c>
      <c r="F3339" t="inlineStr"/>
      <c r="G3339" t="inlineStr">
        <is>
          <t>CE PRESSE</t>
        </is>
      </c>
      <c r="H3339" t="inlineStr">
        <is>
          <t>ARTIGOS DA CONSTITUIÇÃO VENEZUELANA NO CENTRO DA POLÊMICA</t>
        </is>
      </c>
      <c r="I3339" t="inlineStr"/>
      <c r="J3339" t="inlineStr"/>
      <c r="K3339" t="n">
        <v>0</v>
      </c>
      <c r="L3339" t="n">
        <v>1</v>
      </c>
      <c r="M3339" t="n">
        <v>0</v>
      </c>
      <c r="N3339" t="n">
        <v>0</v>
      </c>
      <c r="O3339" t="n">
        <v>4</v>
      </c>
      <c r="P3339">
        <f>HYPERLINK("http://g1.globo.com/mundo/noticia/2013/01/artigos-da-constituicao-venezuelana-no-centro-da-polemica.html", "URL")</f>
        <v/>
      </c>
      <c r="Q3339">
        <f>HYPERLINK("https://raw.githubusercontent.com/marcosmapl/dataset_imigrantes/main/materias_filtered/g1/venezuelanos/2013/00_jan/html/g1_4131a58e-231a-11ed-b24f-6dbe51e79fca_3325.html", "HTML")</f>
        <v/>
      </c>
      <c r="R3339">
        <f>HYPERLINK("https://raw.githubusercontent.com/marcosmapl/dataset_imigrantes/main/materias_filtered/g1/venezuelanos/2013/00_jan/txt/g1_4131a58e-231a-11ed-b24f-6dbe51e79fca_3325.txt", "TXT")</f>
        <v/>
      </c>
    </row>
    <row r="3340">
      <c r="A3340" s="1" t="n">
        <v>3338</v>
      </c>
      <c r="B3340" t="n">
        <v>2013</v>
      </c>
      <c r="C3340" s="2" t="n">
        <v>41279.61041666667</v>
      </c>
      <c r="D3340" t="inlineStr">
        <is>
          <t>G1</t>
        </is>
      </c>
      <c r="E3340" t="inlineStr">
        <is>
          <t>VENEZUELANOS</t>
        </is>
      </c>
      <c r="F3340" t="inlineStr"/>
      <c r="G3340" t="inlineStr">
        <is>
          <t>FP</t>
        </is>
      </c>
      <c r="H3340" t="inlineStr">
        <is>
          <t>ASSEMBLEIA VENEZUELANA INICIA SESSÃO SOB INCERTEZA SOBRE CHÁVEZ</t>
        </is>
      </c>
      <c r="I3340" t="inlineStr"/>
      <c r="J3340" t="inlineStr">
        <is>
          <t>HUGO CHÁVEZ, VENEZUELA</t>
        </is>
      </c>
      <c r="K3340" t="n">
        <v>2</v>
      </c>
      <c r="L3340" t="n">
        <v>4</v>
      </c>
      <c r="M3340" t="n">
        <v>0</v>
      </c>
      <c r="N3340" t="n">
        <v>0</v>
      </c>
      <c r="O3340" t="n">
        <v>17</v>
      </c>
      <c r="P3340">
        <f>HYPERLINK("http://g1.globo.com/mundo/noticia/2013/01/assembleia-venezuelana-inicia-sessoes-em-meio-a-debate-sobre-posse-de-chavez.html", "URL")</f>
        <v/>
      </c>
      <c r="Q3340">
        <f>HYPERLINK("https://raw.githubusercontent.com/marcosmapl/dataset_imigrantes/main/materias_filtered/g1/venezuelanos/2013/00_jan/html/g1_92152f8c-231c-11ed-b24f-6dbe51e79fca_3453.html", "HTML")</f>
        <v/>
      </c>
      <c r="R3340">
        <f>HYPERLINK("https://raw.githubusercontent.com/marcosmapl/dataset_imigrantes/main/materias_filtered/g1/venezuelanos/2013/00_jan/txt/g1_92152f8c-231c-11ed-b24f-6dbe51e79fca_3453.txt", "TXT")</f>
        <v/>
      </c>
    </row>
    <row r="3341">
      <c r="A3341" s="1" t="n">
        <v>3339</v>
      </c>
      <c r="B3341" t="n">
        <v>2013</v>
      </c>
      <c r="C3341" s="2" t="n">
        <v>41279.60208333333</v>
      </c>
      <c r="D3341" t="inlineStr">
        <is>
          <t>G1</t>
        </is>
      </c>
      <c r="E3341" t="inlineStr">
        <is>
          <t>VENEZUELANOS</t>
        </is>
      </c>
      <c r="F3341" t="inlineStr"/>
      <c r="G3341" t="inlineStr"/>
      <c r="H3341" t="inlineStr">
        <is>
          <t>ASSEMBLEIA NACIONAL VENEZUELANA ESCOLHE POSSÍVEL PRESIDENTE</t>
        </is>
      </c>
      <c r="I3341" t="inlineStr"/>
      <c r="J3341" t="inlineStr"/>
      <c r="K3341" t="n">
        <v>0</v>
      </c>
      <c r="L3341" t="n">
        <v>1</v>
      </c>
      <c r="M3341" t="n">
        <v>0</v>
      </c>
      <c r="N3341" t="n">
        <v>0</v>
      </c>
      <c r="O3341" t="n">
        <v>4</v>
      </c>
      <c r="P3341">
        <f>HYPERLINK("http://g1.globo.com/mundo/noticia/2013/01/assembleia-nacional-venezuelana-escolhe-possivel-presidente.html", "URL")</f>
        <v/>
      </c>
      <c r="Q3341">
        <f>HYPERLINK("https://raw.githubusercontent.com/marcosmapl/dataset_imigrantes/main/materias_filtered/g1/venezuelanos/2013/00_jan/html/g1_a3d75004-230a-11ed-b24f-6dbe51e79fca_2517.html", "HTML")</f>
        <v/>
      </c>
      <c r="R3341">
        <f>HYPERLINK("https://raw.githubusercontent.com/marcosmapl/dataset_imigrantes/main/materias_filtered/g1/venezuelanos/2013/00_jan/txt/g1_a3d75004-230a-11ed-b24f-6dbe51e79fca_2517.txt", "TXT")</f>
        <v/>
      </c>
    </row>
    <row r="3342">
      <c r="A3342" s="1" t="n">
        <v>3340</v>
      </c>
      <c r="B3342" t="n">
        <v>2013</v>
      </c>
      <c r="C3342" s="2" t="n">
        <v>41279.60208333333</v>
      </c>
      <c r="D3342" t="inlineStr">
        <is>
          <t>G1</t>
        </is>
      </c>
      <c r="E3342" t="inlineStr">
        <is>
          <t>VENEZUELANOS</t>
        </is>
      </c>
      <c r="F3342" t="inlineStr"/>
      <c r="G3342" t="inlineStr"/>
      <c r="H3342" t="inlineStr">
        <is>
          <t>ASSEMBLEIA NACIONAL VENEZUELANA ESCOLHE POTENCIAL PRESIDENTE INTER</t>
        </is>
      </c>
      <c r="I3342" t="inlineStr"/>
      <c r="J3342" t="inlineStr"/>
      <c r="K3342" t="n">
        <v>0</v>
      </c>
      <c r="L3342" t="n">
        <v>1</v>
      </c>
      <c r="M3342" t="n">
        <v>0</v>
      </c>
      <c r="N3342" t="n">
        <v>0</v>
      </c>
      <c r="O3342" t="n">
        <v>4</v>
      </c>
      <c r="P3342">
        <f>HYPERLINK("http://g1.globo.com/mundo/noticia/2013/01/assembleia-nacional-venezuelana-escolhe-potencial-presidente-inter-1.html", "URL")</f>
        <v/>
      </c>
      <c r="Q3342">
        <f>HYPERLINK("https://raw.githubusercontent.com/marcosmapl/dataset_imigrantes/main/materias_filtered/g1/venezuelanos/2013/00_jan/html/g1_c73883a8-2308-11ed-b24f-6dbe51e79fca_2403.html", "HTML")</f>
        <v/>
      </c>
      <c r="R3342">
        <f>HYPERLINK("https://raw.githubusercontent.com/marcosmapl/dataset_imigrantes/main/materias_filtered/g1/venezuelanos/2013/00_jan/txt/g1_c73883a8-2308-11ed-b24f-6dbe51e79fca_2403.txt", "TXT")</f>
        <v/>
      </c>
    </row>
    <row r="3343">
      <c r="A3343" s="1" t="n">
        <v>3341</v>
      </c>
      <c r="B3343" t="n">
        <v>2013</v>
      </c>
      <c r="C3343" s="2" t="n">
        <v>41279.59583333333</v>
      </c>
      <c r="D3343" t="inlineStr">
        <is>
          <t>G1</t>
        </is>
      </c>
      <c r="E3343" t="inlineStr">
        <is>
          <t>VENEZUELANOS</t>
        </is>
      </c>
      <c r="F3343" t="inlineStr"/>
      <c r="G3343" t="inlineStr"/>
      <c r="H3343" t="inlineStr">
        <is>
          <t>ASSEMBLEIA NACIONAL VENEZUELANA ESCOLHE POTENCIAL PRESIDENTE INTER</t>
        </is>
      </c>
      <c r="I3343" t="inlineStr"/>
      <c r="J3343" t="inlineStr"/>
      <c r="K3343" t="n">
        <v>0</v>
      </c>
      <c r="L3343" t="n">
        <v>1</v>
      </c>
      <c r="M3343" t="n">
        <v>0</v>
      </c>
      <c r="N3343" t="n">
        <v>0</v>
      </c>
      <c r="O3343" t="n">
        <v>4</v>
      </c>
      <c r="P3343">
        <f>HYPERLINK("http://g1.globo.com/mundo/noticia/2013/01/assembleia-nacional-venezuelana-escolhe-potencial-presidente-inter.html", "URL")</f>
        <v/>
      </c>
      <c r="Q3343">
        <f>HYPERLINK("https://raw.githubusercontent.com/marcosmapl/dataset_imigrantes/main/materias_filtered/g1/venezuelanos/2013/00_jan/html/g1_2fa9e184-231d-11ed-b24f-6dbe51e79fca_3488.html", "HTML")</f>
        <v/>
      </c>
      <c r="R3343">
        <f>HYPERLINK("https://raw.githubusercontent.com/marcosmapl/dataset_imigrantes/main/materias_filtered/g1/venezuelanos/2013/00_jan/txt/g1_2fa9e184-231d-11ed-b24f-6dbe51e79fca_3488.txt", "TXT")</f>
        <v/>
      </c>
    </row>
    <row r="3344">
      <c r="A3344" s="1" t="n">
        <v>3342</v>
      </c>
      <c r="B3344" t="n">
        <v>2013</v>
      </c>
      <c r="C3344" s="2" t="n">
        <v>41279.59166666667</v>
      </c>
      <c r="D3344" t="inlineStr">
        <is>
          <t>G1</t>
        </is>
      </c>
      <c r="E3344" t="inlineStr">
        <is>
          <t>VENEZUELANOS</t>
        </is>
      </c>
      <c r="F3344" t="inlineStr"/>
      <c r="G3344" t="inlineStr"/>
      <c r="H3344" t="inlineStr">
        <is>
          <t>ASSEMBLÉIA NACIONAL VENEZUELANA REABRE SOB INCERTEZA</t>
        </is>
      </c>
      <c r="I3344" t="inlineStr"/>
      <c r="J3344" t="inlineStr"/>
      <c r="K3344" t="n">
        <v>0</v>
      </c>
      <c r="L3344" t="n">
        <v>1</v>
      </c>
      <c r="M3344" t="n">
        <v>0</v>
      </c>
      <c r="N3344" t="n">
        <v>0</v>
      </c>
      <c r="O3344" t="n">
        <v>4</v>
      </c>
      <c r="P3344">
        <f>HYPERLINK("http://g1.globo.com/mundo/noticia/2013/01/assembleia-nacional-venezuelana-reabre-sob-incerteza-2.html", "URL")</f>
        <v/>
      </c>
      <c r="Q3344">
        <f>HYPERLINK("https://raw.githubusercontent.com/marcosmapl/dataset_imigrantes/main/materias_filtered/g1/venezuelanos/2013/00_jan/html/g1_49e1be32-230e-11ed-b24f-6dbe51e79fca_2732.html", "HTML")</f>
        <v/>
      </c>
      <c r="R3344">
        <f>HYPERLINK("https://raw.githubusercontent.com/marcosmapl/dataset_imigrantes/main/materias_filtered/g1/venezuelanos/2013/00_jan/txt/g1_49e1be32-230e-11ed-b24f-6dbe51e79fca_2732.txt", "TXT")</f>
        <v/>
      </c>
    </row>
    <row r="3345">
      <c r="A3345" s="1" t="n">
        <v>3343</v>
      </c>
      <c r="B3345" t="n">
        <v>2013</v>
      </c>
      <c r="C3345" s="2" t="n">
        <v>41279.5875</v>
      </c>
      <c r="D3345" t="inlineStr">
        <is>
          <t>G1</t>
        </is>
      </c>
      <c r="E3345" t="inlineStr">
        <is>
          <t>VENEZUELANOS</t>
        </is>
      </c>
      <c r="F3345" t="inlineStr"/>
      <c r="G3345" t="inlineStr"/>
      <c r="H3345" t="inlineStr">
        <is>
          <t>ASSEMBLÉIA NACIONAL VENEZUELANA REABRE SOB INCERTEZA</t>
        </is>
      </c>
      <c r="I3345" t="inlineStr"/>
      <c r="J3345" t="inlineStr"/>
      <c r="K3345" t="n">
        <v>0</v>
      </c>
      <c r="L3345" t="n">
        <v>1</v>
      </c>
      <c r="M3345" t="n">
        <v>0</v>
      </c>
      <c r="N3345" t="n">
        <v>0</v>
      </c>
      <c r="O3345" t="n">
        <v>4</v>
      </c>
      <c r="P3345">
        <f>HYPERLINK("http://g1.globo.com/mundo/noticia/2013/01/assembleia-nacional-venezuelana-reabre-sob-incerteza-1.html", "URL")</f>
        <v/>
      </c>
      <c r="Q3345">
        <f>HYPERLINK("https://raw.githubusercontent.com/marcosmapl/dataset_imigrantes/main/materias_filtered/g1/venezuelanos/2013/00_jan/html/g1_77579576-231d-11ed-b24f-6dbe51e79fca_3502.html", "HTML")</f>
        <v/>
      </c>
      <c r="R3345">
        <f>HYPERLINK("https://raw.githubusercontent.com/marcosmapl/dataset_imigrantes/main/materias_filtered/g1/venezuelanos/2013/00_jan/txt/g1_77579576-231d-11ed-b24f-6dbe51e79fca_3502.txt", "TXT")</f>
        <v/>
      </c>
    </row>
    <row r="3346">
      <c r="A3346" s="1" t="n">
        <v>3344</v>
      </c>
      <c r="B3346" t="n">
        <v>2013</v>
      </c>
      <c r="C3346" s="2" t="n">
        <v>41279.58541666667</v>
      </c>
      <c r="D3346" t="inlineStr">
        <is>
          <t>G1</t>
        </is>
      </c>
      <c r="E3346" t="inlineStr">
        <is>
          <t>VENEZUELANOS</t>
        </is>
      </c>
      <c r="F3346" t="inlineStr"/>
      <c r="G3346" t="inlineStr"/>
      <c r="H3346" t="inlineStr">
        <is>
          <t>ASSEMBLÉIA NACIONAL VENEZUELANA REABRE SOB INCERTEZA</t>
        </is>
      </c>
      <c r="I3346" t="inlineStr"/>
      <c r="J3346" t="inlineStr"/>
      <c r="K3346" t="n">
        <v>0</v>
      </c>
      <c r="L3346" t="n">
        <v>1</v>
      </c>
      <c r="M3346" t="n">
        <v>0</v>
      </c>
      <c r="N3346" t="n">
        <v>0</v>
      </c>
      <c r="O3346" t="n">
        <v>4</v>
      </c>
      <c r="P3346">
        <f>HYPERLINK("http://g1.globo.com/mundo/noticia/2013/01/assembleia-nacional-venezuelana-reabre-sob-incerteza.html", "URL")</f>
        <v/>
      </c>
      <c r="Q3346">
        <f>HYPERLINK("https://raw.githubusercontent.com/marcosmapl/dataset_imigrantes/main/materias_filtered/g1/venezuelanos/2013/00_jan/html/g1_67c2d4f6-2325-11ed-b24f-6dbe51e79fca_3911.html", "HTML")</f>
        <v/>
      </c>
      <c r="R3346">
        <f>HYPERLINK("https://raw.githubusercontent.com/marcosmapl/dataset_imigrantes/main/materias_filtered/g1/venezuelanos/2013/00_jan/txt/g1_67c2d4f6-2325-11ed-b24f-6dbe51e79fca_3911.txt", "TXT")</f>
        <v/>
      </c>
    </row>
    <row r="3347">
      <c r="A3347" s="1" t="n">
        <v>3345</v>
      </c>
      <c r="B3347" t="n">
        <v>2013</v>
      </c>
      <c r="C3347" s="2" t="n">
        <v>41278.89743055555</v>
      </c>
      <c r="D3347" t="inlineStr">
        <is>
          <t>A CRITICA</t>
        </is>
      </c>
      <c r="E3347" t="inlineStr">
        <is>
          <t>VENEZUELANOS</t>
        </is>
      </c>
      <c r="F3347" t="inlineStr"/>
      <c r="G3347" t="inlineStr">
        <is>
          <t>THAIS LEITÃO/ AGÊNCIA BRASIL</t>
        </is>
      </c>
      <c r="H3347" t="inlineStr">
        <is>
          <t>DISPUTA POLÍTICA AUMENTA NA VENEZUELA COM AFASTAMENTO DE CHÁVEZ; AVALIA PROFESSOR</t>
        </is>
      </c>
      <c r="I3347" t="inlineStr">
        <is>
          <t>A POSSE DE  HUGO CHÁVEZ, QUE FOI REELEITO EM OUTUBRO, ESTÁ MARCADA PARA A PRÓXIMA SEMANA, NO DIA 10. CASO ELE NÃO POSSA ASSUMIR, A CONSTITUIÇÃO PREVÊ QUE HAJA NOVA ELEIÇÃO PARA A PRESIDÊNCIA DA REPÚBLICA EM UM PRAZO DE ATÉ 30 DIAS.</t>
        </is>
      </c>
      <c r="J3347" t="inlineStr"/>
      <c r="K3347" t="n">
        <v>0</v>
      </c>
      <c r="L3347" t="n">
        <v>1</v>
      </c>
      <c r="M3347" t="n">
        <v>0</v>
      </c>
      <c r="N3347" t="n">
        <v>0</v>
      </c>
      <c r="O3347" t="n">
        <v>0</v>
      </c>
      <c r="P3347">
        <f>HYPERLINK("https://www.acritica.com/disputa-politica-aumenta-na-venezuela-com-afastamento-de-chavez-avalia-professor-1.142368", "URL")</f>
        <v/>
      </c>
      <c r="Q3347">
        <f>HYPERLINK("https://raw.githubusercontent.com/marcosmapl/dataset_imigrantes/main/materias_filtered/a_critica/venezuelanos/2013/00_jan/html/1.142368_481.html", "HTML")</f>
        <v/>
      </c>
      <c r="R3347">
        <f>HYPERLINK("https://raw.githubusercontent.com/marcosmapl/dataset_imigrantes/main/materias_filtered/a_critica/venezuelanos/2013/00_jan/txt/1.142368_481.txt", "TXT")</f>
        <v/>
      </c>
    </row>
    <row r="3348">
      <c r="A3348" s="1" t="n">
        <v>3346</v>
      </c>
      <c r="B3348" t="n">
        <v>2013</v>
      </c>
      <c r="C3348" s="2" t="n">
        <v>41277.50584490741</v>
      </c>
      <c r="D3348" t="inlineStr">
        <is>
          <t>A CRITICA</t>
        </is>
      </c>
      <c r="E3348" t="inlineStr">
        <is>
          <t>VENEZUELANOS</t>
        </is>
      </c>
      <c r="F3348" t="inlineStr"/>
      <c r="G3348" t="inlineStr">
        <is>
          <t>RENATA GIRALDI*/AGÊNCIA BRASIL</t>
        </is>
      </c>
      <c r="H3348" t="inlineStr">
        <is>
          <t>AUTORIDADES DA VENEZUELA RECONHECEM QUE ESTADO DE SAÚDE DE CHÁVEZ É DELICADO</t>
        </is>
      </c>
      <c r="I3348" t="inlineStr">
        <is>
          <t>DESDE O DIA 11, O PRESIDENTE VENEZUELANO ESTÁ HOSPITALIZADO EM HAVANA, CUBA, PARA TRATAMENTO DE COMBATE AO CÂNCER. ELE FOI SUBMETIDO A UMA CIRURGIA PARA A RETIRADA DE UM TUMOR MALIGNO NA REGIÃO PÉLVICA E APRESENTOU COMPLICAÇÕES, COMO HEMORRAGIA E INFECÇÃO RESPIRATÓRIA. NOS ÚLTIMOS DIAS, AUMENTARAM AS INFORMAÇÕES, NÃO OFICIAIS, QUE SEU ESTADO DE SAÚDE PIOROU</t>
        </is>
      </c>
      <c r="J3348" t="inlineStr"/>
      <c r="K3348" t="n">
        <v>0</v>
      </c>
      <c r="L3348" t="n">
        <v>1</v>
      </c>
      <c r="M3348" t="n">
        <v>0</v>
      </c>
      <c r="N3348" t="n">
        <v>0</v>
      </c>
      <c r="O3348" t="n">
        <v>0</v>
      </c>
      <c r="P3348">
        <f>HYPERLINK("https://www.acritica.com/autoridades-da-venezuela-reconhecem-que-estado-de-saude-de-chavez-e-delicado-1.144277", "URL")</f>
        <v/>
      </c>
      <c r="Q3348">
        <f>HYPERLINK("https://raw.githubusercontent.com/marcosmapl/dataset_imigrantes/main/materias_filtered/a_critica/venezuelanos/2013/00_jan/html/1.144277_965.html", "HTML")</f>
        <v/>
      </c>
      <c r="R3348">
        <f>HYPERLINK("https://raw.githubusercontent.com/marcosmapl/dataset_imigrantes/main/materias_filtered/a_critica/venezuelanos/2013/00_jan/txt/1.144277_965.txt", "TXT")</f>
        <v/>
      </c>
    </row>
    <row r="3349">
      <c r="A3349" s="1" t="n">
        <v>3347</v>
      </c>
      <c r="B3349" t="n">
        <v>2013</v>
      </c>
      <c r="C3349" s="2" t="n">
        <v>41276.99795138889</v>
      </c>
      <c r="D3349" t="inlineStr">
        <is>
          <t>A CRITICA</t>
        </is>
      </c>
      <c r="E3349" t="inlineStr">
        <is>
          <t>HAITIANOS</t>
        </is>
      </c>
      <c r="F3349" t="inlineStr">
        <is>
          <t>MANAUS</t>
        </is>
      </c>
      <c r="G3349" t="inlineStr">
        <is>
          <t>CAMILA PEREIRA</t>
        </is>
      </c>
      <c r="H3349" t="inlineStr">
        <is>
          <t>ARTUR PEDE AJUDA DE CAMELÔS E EMPRESÁRIOS PARA LIMPAR O CENTRO DE MANAUS</t>
        </is>
      </c>
      <c r="I3349" t="inlineStr">
        <is>
          <t>O PREFEITO DE MANAUS DISSE QUE ‘NÃO TEM CABIMENTO GASTAR DINHEIRO COM LIXO’. ELE REUNIU COM VENDEDORES AMBULANTES E EMPRESÁRIOS PARA PEDIR AJUDA PARA LIMPAR A CIDADE; TODAS AS NOITES, NA ÁREA DO CENTRO COMERCIAL E REDONDEZAS SÃO RECOLHIDAS APROXIMADAMENTE 280 TONELADAS DE LIXO</t>
        </is>
      </c>
      <c r="J3349" t="inlineStr"/>
      <c r="K3349" t="n">
        <v>0</v>
      </c>
      <c r="L3349" t="n">
        <v>1</v>
      </c>
      <c r="M3349" t="n">
        <v>0</v>
      </c>
      <c r="N3349" t="n">
        <v>0</v>
      </c>
      <c r="O3349" t="n">
        <v>0</v>
      </c>
      <c r="P3349">
        <f>HYPERLINK("https://www.acritica.com/manaus/artur-pede-ajuda-de-camelos-e-empresarios-para-limpar-o-centro-de-manaus-1.144353", "URL")</f>
        <v/>
      </c>
      <c r="Q3349">
        <f>HYPERLINK("https://raw.githubusercontent.com/marcosmapl/dataset_imigrantes/main/materias_filtered/a_critica/haitianos/2013/00_jan/html/1.144353_1380.html", "HTML")</f>
        <v/>
      </c>
      <c r="R3349">
        <f>HYPERLINK("https://raw.githubusercontent.com/marcosmapl/dataset_imigrantes/main/materias_filtered/a_critica/haitianos/2013/00_jan/txt/1.144353_1380.txt", "TXT")</f>
        <v/>
      </c>
    </row>
    <row r="3350">
      <c r="A3350" s="1" t="n">
        <v>3348</v>
      </c>
      <c r="B3350" t="n">
        <v>2013</v>
      </c>
      <c r="C3350" s="2" t="n">
        <v>41276.76666666667</v>
      </c>
      <c r="D3350" t="inlineStr">
        <is>
          <t>G1</t>
        </is>
      </c>
      <c r="E3350" t="inlineStr">
        <is>
          <t>VENEZUELANOS</t>
        </is>
      </c>
      <c r="F3350" t="inlineStr"/>
      <c r="G3350" t="inlineStr">
        <is>
          <t>ERS</t>
        </is>
      </c>
      <c r="H3350" t="inlineStr">
        <is>
          <t>OPOSIÇÃO VENEZUELANA EXIGE "TODA A VERDADE" SOBRE SAÚDE DE CHÁVEZ</t>
        </is>
      </c>
      <c r="I3350" t="inlineStr"/>
      <c r="J3350" t="inlineStr"/>
      <c r="K3350" t="n">
        <v>0</v>
      </c>
      <c r="L3350" t="n">
        <v>1</v>
      </c>
      <c r="M3350" t="n">
        <v>0</v>
      </c>
      <c r="N3350" t="n">
        <v>0</v>
      </c>
      <c r="O3350" t="n">
        <v>4</v>
      </c>
      <c r="P3350">
        <f>HYPERLINK("http://g1.globo.com/mundo/noticia/2013/01/oposicao-venezuelana-exige-toda-a-verdade-sobre-saude-de-chavez-1.html", "URL")</f>
        <v/>
      </c>
      <c r="Q3350">
        <f>HYPERLINK("https://raw.githubusercontent.com/marcosmapl/dataset_imigrantes/main/materias_filtered/g1/venezuelanos/2013/00_jan/html/g1_0014a286-231f-11ed-b24f-6dbe51e79fca_3594.html", "HTML")</f>
        <v/>
      </c>
      <c r="R3350">
        <f>HYPERLINK("https://raw.githubusercontent.com/marcosmapl/dataset_imigrantes/main/materias_filtered/g1/venezuelanos/2013/00_jan/txt/g1_0014a286-231f-11ed-b24f-6dbe51e79fca_3594.txt", "TXT")</f>
        <v/>
      </c>
    </row>
    <row r="3351">
      <c r="A3351" s="1" t="n">
        <v>3349</v>
      </c>
      <c r="B3351" t="n">
        <v>2013</v>
      </c>
      <c r="C3351" s="2" t="n">
        <v>41276.76666666667</v>
      </c>
      <c r="D3351" t="inlineStr">
        <is>
          <t>G1</t>
        </is>
      </c>
      <c r="E3351" t="inlineStr">
        <is>
          <t>VENEZUELANOS</t>
        </is>
      </c>
      <c r="F3351" t="inlineStr"/>
      <c r="G3351" t="inlineStr">
        <is>
          <t>ERS</t>
        </is>
      </c>
      <c r="H3351" t="inlineStr">
        <is>
          <t>OPOSIÇÃO VENEZUELANA EXIGE "TODA A VERDADE" SOBRE SAÚDE DE CHÁVEZ</t>
        </is>
      </c>
      <c r="I3351" t="inlineStr"/>
      <c r="J3351" t="inlineStr"/>
      <c r="K3351" t="n">
        <v>0</v>
      </c>
      <c r="L3351" t="n">
        <v>1</v>
      </c>
      <c r="M3351" t="n">
        <v>0</v>
      </c>
      <c r="N3351" t="n">
        <v>0</v>
      </c>
      <c r="O3351" t="n">
        <v>4</v>
      </c>
      <c r="P3351">
        <f>HYPERLINK("http://g1.globo.com/mundo/noticia/2013/01/oposicao-venezuelana-exige-toda-a-verdade-sobre-saude-de-chavez.html", "URL")</f>
        <v/>
      </c>
      <c r="Q3351">
        <f>HYPERLINK("https://raw.githubusercontent.com/marcosmapl/dataset_imigrantes/main/materias_filtered/g1/venezuelanos/2013/00_jan/html/g1_35c3fc5e-232b-11ed-b24f-6dbe51e79fca_4230.html", "HTML")</f>
        <v/>
      </c>
      <c r="R3351">
        <f>HYPERLINK("https://raw.githubusercontent.com/marcosmapl/dataset_imigrantes/main/materias_filtered/g1/venezuelanos/2013/00_jan/txt/g1_35c3fc5e-232b-11ed-b24f-6dbe51e79fca_4230.txt", "TXT")</f>
        <v/>
      </c>
    </row>
    <row r="3352">
      <c r="A3352" s="1" t="n">
        <v>3350</v>
      </c>
      <c r="B3352" t="n">
        <v>2013</v>
      </c>
      <c r="C3352" s="2" t="n">
        <v>41276.66666666666</v>
      </c>
      <c r="D3352" t="inlineStr">
        <is>
          <t>G1</t>
        </is>
      </c>
      <c r="E3352" t="inlineStr">
        <is>
          <t>VENEZUELANOS</t>
        </is>
      </c>
      <c r="F3352" t="inlineStr"/>
      <c r="G3352" t="inlineStr">
        <is>
          <t>RANCE PRESSE</t>
        </is>
      </c>
      <c r="H3352" t="inlineStr">
        <is>
          <t>OPOSIÇÃO VENEZUELANA EXIGE 'A VERDADE' SOBRE SAÚDE DE CHÁVEZ</t>
        </is>
      </c>
      <c r="I3352" t="inlineStr"/>
      <c r="J3352" t="inlineStr">
        <is>
          <t>HUGO CHÁVEZ, VENEZUELA</t>
        </is>
      </c>
      <c r="K3352" t="n">
        <v>2</v>
      </c>
      <c r="L3352" t="n">
        <v>4</v>
      </c>
      <c r="M3352" t="n">
        <v>0</v>
      </c>
      <c r="N3352" t="n">
        <v>0</v>
      </c>
      <c r="O3352" t="n">
        <v>16</v>
      </c>
      <c r="P3352">
        <f>HYPERLINK("http://g1.globo.com/mundo/noticia/2013/01/oposicao-venezuelana-exige-verdade-sobre-saude-de-chavez.html", "URL")</f>
        <v/>
      </c>
      <c r="Q3352">
        <f>HYPERLINK("https://raw.githubusercontent.com/marcosmapl/dataset_imigrantes/main/materias_filtered/g1/venezuelanos/2013/00_jan/html/g1_39e7b5ae-2327-11ed-b24f-6dbe51e79fca_4023.html", "HTML")</f>
        <v/>
      </c>
      <c r="R3352">
        <f>HYPERLINK("https://raw.githubusercontent.com/marcosmapl/dataset_imigrantes/main/materias_filtered/g1/venezuelanos/2013/00_jan/txt/g1_39e7b5ae-2327-11ed-b24f-6dbe51e79fca_4023.txt", "TXT")</f>
        <v/>
      </c>
    </row>
    <row r="3353">
      <c r="A3353" s="1" t="n">
        <v>3351</v>
      </c>
      <c r="B3353" t="n">
        <v>2013</v>
      </c>
      <c r="C3353" s="2" t="n">
        <v>41276.42508101852</v>
      </c>
      <c r="D3353" t="inlineStr">
        <is>
          <t>A CRITICA</t>
        </is>
      </c>
      <c r="E3353" t="inlineStr">
        <is>
          <t>HAITIANOS</t>
        </is>
      </c>
      <c r="F3353" t="inlineStr">
        <is>
          <t>ENTRETENIMENTO</t>
        </is>
      </c>
      <c r="G3353" t="inlineStr">
        <is>
          <t>RAFAEL SEIXAS</t>
        </is>
      </c>
      <c r="H3353" t="inlineStr">
        <is>
          <t>M1 EVENTOS DIVULGA ALGUMAS FESTAS CONFIRMADAS EM 2013</t>
        </is>
      </c>
      <c r="I3353" t="inlineStr">
        <is>
          <t>PRODUTORA ESTÁ PREPARANDO GRANDES EVENTOS PARA ESTE ANO, COMEÇANDO PELO SHOW DE DESPEDIDA DE RUBINHO DO GRUPO OZ BAMBAZ</t>
        </is>
      </c>
      <c r="J3353" t="inlineStr"/>
      <c r="K3353" t="n">
        <v>0</v>
      </c>
      <c r="L3353" t="n">
        <v>1</v>
      </c>
      <c r="M3353" t="n">
        <v>0</v>
      </c>
      <c r="N3353" t="n">
        <v>0</v>
      </c>
      <c r="O3353" t="n">
        <v>0</v>
      </c>
      <c r="P3353">
        <f>HYPERLINK("https://www.acritica.com/entretenimento/m1-eventos-divulga-algumas-festas-confirmadas-em-2013-1.144501", "URL")</f>
        <v/>
      </c>
      <c r="Q3353">
        <f>HYPERLINK("https://raw.githubusercontent.com/marcosmapl/dataset_imigrantes/main/materias_filtered/a_critica/haitianos/2013/00_jan/html/1.144501_832.html", "HTML")</f>
        <v/>
      </c>
      <c r="R3353">
        <f>HYPERLINK("https://raw.githubusercontent.com/marcosmapl/dataset_imigrantes/main/materias_filtered/a_critica/haitianos/2013/00_jan/txt/1.144501_832.txt", "TXT")</f>
        <v/>
      </c>
    </row>
    <row r="3354">
      <c r="A3354" s="1" t="n">
        <v>3352</v>
      </c>
      <c r="B3354" t="n">
        <v>2013</v>
      </c>
      <c r="C3354" s="2" t="n">
        <v>41275.79482638889</v>
      </c>
      <c r="D3354" t="inlineStr">
        <is>
          <t>A CRITICA</t>
        </is>
      </c>
      <c r="E3354" t="inlineStr">
        <is>
          <t>VENEZUELANOS</t>
        </is>
      </c>
      <c r="F3354" t="inlineStr"/>
      <c r="G3354" t="inlineStr">
        <is>
          <t>DA TELAM</t>
        </is>
      </c>
      <c r="H3354" t="inlineStr">
        <is>
          <t>MINISTRO VENEZUELANO E GENRO DE CHAVEZ DIZ QUE PRESIDENTE ESTÁ ESTÁVEL E TRANQUILO</t>
        </is>
      </c>
      <c r="I3354" t="inlineStr">
        <is>
          <t>O GENRO DO PRESIDENTE, JORGE ARREAZA, PASSOU A INFORMAÇÃO PELO TWITTER E O MINISTRO DA COMUNICAÇÃO E INFORMAÇÃO DA VENEZUELA DISSE QUE CHAVEZ ASSISTIU PELA TV CULTO ECUMÊNICO SUA INTENÇÃO</t>
        </is>
      </c>
      <c r="J3354" t="inlineStr"/>
      <c r="K3354" t="n">
        <v>0</v>
      </c>
      <c r="L3354" t="n">
        <v>1</v>
      </c>
      <c r="M3354" t="n">
        <v>0</v>
      </c>
      <c r="N3354" t="n">
        <v>0</v>
      </c>
      <c r="O3354" t="n">
        <v>0</v>
      </c>
      <c r="P3354">
        <f>HYPERLINK("https://www.acritica.com/ministro-venezuelano-e-genro-de-chavez-diz-que-presidente-esta-estavel-e-tranquilo-1.144578", "URL")</f>
        <v/>
      </c>
      <c r="Q3354">
        <f>HYPERLINK("https://raw.githubusercontent.com/marcosmapl/dataset_imigrantes/main/materias_filtered/a_critica/venezuelanos/2013/00_jan/html/1.144578_1133.html", "HTML")</f>
        <v/>
      </c>
      <c r="R3354">
        <f>HYPERLINK("https://raw.githubusercontent.com/marcosmapl/dataset_imigrantes/main/materias_filtered/a_critica/venezuelanos/2013/00_jan/txt/1.144578_1133.txt", "TXT")</f>
        <v/>
      </c>
    </row>
    <row r="3355">
      <c r="A3355" s="1" t="n">
        <v>3353</v>
      </c>
      <c r="B3355" t="n">
        <v>2012</v>
      </c>
      <c r="C3355" s="2" t="n">
        <v>41264.57708333333</v>
      </c>
      <c r="D3355" t="inlineStr">
        <is>
          <t>G1</t>
        </is>
      </c>
      <c r="E3355" t="inlineStr">
        <is>
          <t>HAITIANOS</t>
        </is>
      </c>
      <c r="F3355" t="inlineStr"/>
      <c r="G3355" t="inlineStr">
        <is>
          <t>FP</t>
        </is>
      </c>
      <c r="H3355" t="inlineStr">
        <is>
          <t>TRÊS ANOS APÓS TERREMOTO, 360 MIL HAITIANOS AINDA VIVEM EM BARRACAS</t>
        </is>
      </c>
      <c r="I3355" t="inlineStr"/>
      <c r="J3355" t="inlineStr">
        <is>
          <t>HAITI</t>
        </is>
      </c>
      <c r="K3355" t="n">
        <v>1</v>
      </c>
      <c r="L3355" t="n">
        <v>5</v>
      </c>
      <c r="M3355" t="n">
        <v>0</v>
      </c>
      <c r="N3355" t="n">
        <v>0</v>
      </c>
      <c r="O3355" t="n">
        <v>11</v>
      </c>
      <c r="P3355">
        <f>HYPERLINK("http://g1.globo.com/mundo/noticia/2012/12/tres-anos-apos-terremoto-360-mil-haitianos-ainda-vivem-em-barracas.html", "URL")</f>
        <v/>
      </c>
      <c r="Q3355">
        <f>HYPERLINK("https://raw.githubusercontent.com/marcosmapl/dataset_imigrantes/main/materias_filtered/g1/haitianos/2012/11_dez/html/g1_f83ca3ba-22f6-11ed-b24f-6dbe51e79fca_2051.html", "HTML")</f>
        <v/>
      </c>
      <c r="R3355">
        <f>HYPERLINK("https://raw.githubusercontent.com/marcosmapl/dataset_imigrantes/main/materias_filtered/g1/haitianos/2012/11_dez/txt/g1_f83ca3ba-22f6-11ed-b24f-6dbe51e79fca_2051.txt", "TXT")</f>
        <v/>
      </c>
    </row>
    <row r="3356">
      <c r="A3356" s="1" t="n">
        <v>3354</v>
      </c>
      <c r="B3356" t="n">
        <v>2012</v>
      </c>
      <c r="C3356" s="2" t="n">
        <v>41263.51388888889</v>
      </c>
      <c r="D3356" t="inlineStr">
        <is>
          <t>G1</t>
        </is>
      </c>
      <c r="E3356" t="inlineStr">
        <is>
          <t>HAITIANOS</t>
        </is>
      </c>
      <c r="F3356" t="inlineStr"/>
      <c r="G3356" t="inlineStr">
        <is>
          <t>1, EM SÃO PAULO</t>
        </is>
      </c>
      <c r="H3356" t="inlineStr">
        <is>
          <t>MINISTÉRIO DO TRABALHO LANÇA GUIA DE TRABALHO PARA HAITIANOS</t>
        </is>
      </c>
      <c r="I3356" t="inlineStr"/>
      <c r="J3356" t="inlineStr"/>
      <c r="K3356" t="n">
        <v>0</v>
      </c>
      <c r="L3356" t="n">
        <v>0</v>
      </c>
      <c r="M3356" t="n">
        <v>0</v>
      </c>
      <c r="N3356" t="n">
        <v>0</v>
      </c>
      <c r="O3356" t="n">
        <v>7</v>
      </c>
      <c r="P3356">
        <f>HYPERLINK("http://g1.globo.com/concursos-e-emprego/noticia/2012/12/ministerio-do-trabalho-lanca-guia-de-trabalho-para-haitianos.html", "URL")</f>
        <v/>
      </c>
      <c r="Q3356">
        <f>HYPERLINK("https://raw.githubusercontent.com/marcosmapl/dataset_imigrantes/main/materias_filtered/g1/haitianos/2012/11_dez/html/g1_769b0cf8-22f5-11ed-b24f-6dbe51e79fca_1951.html", "HTML")</f>
        <v/>
      </c>
      <c r="R3356">
        <f>HYPERLINK("https://raw.githubusercontent.com/marcosmapl/dataset_imigrantes/main/materias_filtered/g1/haitianos/2012/11_dez/txt/g1_769b0cf8-22f5-11ed-b24f-6dbe51e79fca_1951.txt", "TXT")</f>
        <v/>
      </c>
    </row>
    <row r="3357">
      <c r="A3357" s="1" t="n">
        <v>3355</v>
      </c>
      <c r="B3357" t="n">
        <v>2012</v>
      </c>
      <c r="C3357" s="2" t="n">
        <v>41257.96736111111</v>
      </c>
      <c r="D3357" t="inlineStr">
        <is>
          <t>G1</t>
        </is>
      </c>
      <c r="E3357" t="inlineStr">
        <is>
          <t>HAITIANOS</t>
        </is>
      </c>
      <c r="F3357" t="inlineStr"/>
      <c r="G3357" t="inlineStr"/>
      <c r="H3357" t="inlineStr">
        <is>
          <t>VISTO PARA HAITIANOS PODE SER LIBERADO POR MEDO DE ATRAVESSADORES</t>
        </is>
      </c>
      <c r="I3357" t="inlineStr"/>
      <c r="J3357" t="inlineStr"/>
      <c r="K3357" t="n">
        <v>0</v>
      </c>
      <c r="L3357" t="n">
        <v>0</v>
      </c>
      <c r="M3357" t="n">
        <v>0</v>
      </c>
      <c r="N3357" t="n">
        <v>0</v>
      </c>
      <c r="O3357" t="n">
        <v>4</v>
      </c>
      <c r="P3357">
        <f>HYPERLINK("http://g1.globo.com/globo-news/noticia/2012/12/visto-para-haitianos-pode-ser-liberado-por-medo-de-atravessadores.html", "URL")</f>
        <v/>
      </c>
      <c r="Q3357">
        <f>HYPERLINK("https://raw.githubusercontent.com/marcosmapl/dataset_imigrantes/main/materias_filtered/g1/haitianos/2012/11_dez/html/g1_5195ca6e-22f1-11ed-b24f-6dbe51e79fca_1743.html", "HTML")</f>
        <v/>
      </c>
      <c r="R3357">
        <f>HYPERLINK("https://raw.githubusercontent.com/marcosmapl/dataset_imigrantes/main/materias_filtered/g1/haitianos/2012/11_dez/txt/g1_5195ca6e-22f1-11ed-b24f-6dbe51e79fca_1743.txt", "TXT")</f>
        <v/>
      </c>
    </row>
    <row r="3358">
      <c r="A3358" s="1" t="n">
        <v>3356</v>
      </c>
      <c r="B3358" t="n">
        <v>2012</v>
      </c>
      <c r="C3358" s="2" t="n">
        <v>41257.43376157407</v>
      </c>
      <c r="D3358" t="inlineStr">
        <is>
          <t>A CRITICA</t>
        </is>
      </c>
      <c r="E3358" t="inlineStr">
        <is>
          <t>VENEZUELANOS</t>
        </is>
      </c>
      <c r="F3358" t="inlineStr"/>
      <c r="G3358" t="inlineStr">
        <is>
          <t>RENATA GIRALDI*/AGÊNCIA BRASIL</t>
        </is>
      </c>
      <c r="H3358" t="inlineStr">
        <is>
          <t>SAÚDE DE CHÁVEZ EVOLUI DE ESTÁVEL PARA FAVORÁVEL, DIZ VICE-PRESIDENTE</t>
        </is>
      </c>
      <c r="I3358" t="inlineStr">
        <is>
          <t>APONTADO COMO SUCESSOR DE CHÁVEZ PELO PRÓPRIO PRESIDENTE, O VICE AGRADECEU AS ORAÇÕES E O APOIO QUE TEM SIDO DADO EM FAVOR DA RECUPERAÇÃO DO VENEZUELANO</t>
        </is>
      </c>
      <c r="J3358" t="inlineStr"/>
      <c r="K3358" t="n">
        <v>0</v>
      </c>
      <c r="L3358" t="n">
        <v>1</v>
      </c>
      <c r="M3358" t="n">
        <v>0</v>
      </c>
      <c r="N3358" t="n">
        <v>0</v>
      </c>
      <c r="O3358" t="n">
        <v>2</v>
      </c>
      <c r="P3358">
        <f>HYPERLINK("https://www.acritica.com/saude-de-chavez-evolui-de-estavel-para-favoravel-diz-vice-presidente-1.236894", "URL")</f>
        <v/>
      </c>
      <c r="Q3358">
        <f>HYPERLINK("https://raw.githubusercontent.com/marcosmapl/dataset_imigrantes/main/materias_filtered/a_critica/venezuelanos/2012/11_dez/html/1.236894_574.html", "HTML")</f>
        <v/>
      </c>
      <c r="R3358">
        <f>HYPERLINK("https://raw.githubusercontent.com/marcosmapl/dataset_imigrantes/main/materias_filtered/a_critica/venezuelanos/2012/11_dez/txt/1.236894_574.txt", "TXT")</f>
        <v/>
      </c>
    </row>
    <row r="3359">
      <c r="A3359" s="1" t="n">
        <v>3357</v>
      </c>
      <c r="B3359" t="n">
        <v>2012</v>
      </c>
      <c r="C3359" s="2" t="n">
        <v>41255.84305555555</v>
      </c>
      <c r="D3359" t="inlineStr">
        <is>
          <t>G1</t>
        </is>
      </c>
      <c r="E3359" t="inlineStr">
        <is>
          <t>HAITIANOS</t>
        </is>
      </c>
      <c r="F3359" t="inlineStr"/>
      <c r="G3359" t="inlineStr">
        <is>
          <t>1 RS</t>
        </is>
      </c>
      <c r="H3359" t="inlineStr">
        <is>
          <t>HAITIANOS DEMITIDOS EM IGREJINHA, RS, VÃO RECEBER ALOJAMENTO E ALIMENTAÇÃO</t>
        </is>
      </c>
      <c r="I3359" t="inlineStr"/>
      <c r="J3359" t="inlineStr">
        <is>
          <t>RIO GRANDE DO SUL, IGREJINHA</t>
        </is>
      </c>
      <c r="K3359" t="n">
        <v>2</v>
      </c>
      <c r="L3359" t="n">
        <v>4</v>
      </c>
      <c r="M3359" t="n">
        <v>0</v>
      </c>
      <c r="N3359" t="n">
        <v>0</v>
      </c>
      <c r="O3359" t="n">
        <v>18</v>
      </c>
      <c r="P3359">
        <f>HYPERLINK("http://g1.globo.com/rs/rio-grande-do-sul/noticia/2012/12/haitianos-demitidos-em-igrejinha-rs-vao-receber-alojamento-e-alimentacao.html", "URL")</f>
        <v/>
      </c>
      <c r="Q3359">
        <f>HYPERLINK("https://raw.githubusercontent.com/marcosmapl/dataset_imigrantes/main/materias_filtered/g1/haitianos/2012/11_dez/html/g1_e60ef080-22f6-11ed-b24f-6dbe51e79fca_2046.html", "HTML")</f>
        <v/>
      </c>
      <c r="R3359">
        <f>HYPERLINK("https://raw.githubusercontent.com/marcosmapl/dataset_imigrantes/main/materias_filtered/g1/haitianos/2012/11_dez/txt/g1_e60ef080-22f6-11ed-b24f-6dbe51e79fca_2046.txt", "TXT")</f>
        <v/>
      </c>
    </row>
    <row r="3360">
      <c r="A3360" s="1" t="n">
        <v>3358</v>
      </c>
      <c r="B3360" t="n">
        <v>2012</v>
      </c>
      <c r="C3360" s="2" t="n">
        <v>41254.98055555556</v>
      </c>
      <c r="D3360" t="inlineStr">
        <is>
          <t>G1</t>
        </is>
      </c>
      <c r="E3360" t="inlineStr">
        <is>
          <t>HAITIANOS</t>
        </is>
      </c>
      <c r="F3360" t="inlineStr"/>
      <c r="G3360" t="inlineStr">
        <is>
          <t>1 RS</t>
        </is>
      </c>
      <c r="H3360" t="inlineStr">
        <is>
          <t>MP INVESTIGA CASO DOS HAITIANOS DEMITIDOS EM IGREJINHA, RS</t>
        </is>
      </c>
      <c r="I3360" t="inlineStr"/>
      <c r="J3360" t="inlineStr">
        <is>
          <t>RIO GRANDE DO SUL, IGREJINHA</t>
        </is>
      </c>
      <c r="K3360" t="n">
        <v>2</v>
      </c>
      <c r="L3360" t="n">
        <v>4</v>
      </c>
      <c r="M3360" t="n">
        <v>0</v>
      </c>
      <c r="N3360" t="n">
        <v>0</v>
      </c>
      <c r="O3360" t="n">
        <v>17</v>
      </c>
      <c r="P3360">
        <f>HYPERLINK("http://g1.globo.com/rs/rio-grande-do-sul/noticia/2012/12/mp-investiga-caso-dos-haitianos-demitidos-em-igrejinha-rs.html", "URL")</f>
        <v/>
      </c>
      <c r="Q3360">
        <f>HYPERLINK("https://raw.githubusercontent.com/marcosmapl/dataset_imigrantes/main/materias_filtered/g1/haitianos/2012/11_dez/html/g1_1e075490-22f3-11ed-b24f-6dbe51e79fca_1824.html", "HTML")</f>
        <v/>
      </c>
      <c r="R3360">
        <f>HYPERLINK("https://raw.githubusercontent.com/marcosmapl/dataset_imigrantes/main/materias_filtered/g1/haitianos/2012/11_dez/txt/g1_1e075490-22f3-11ed-b24f-6dbe51e79fca_1824.txt", "TXT")</f>
        <v/>
      </c>
    </row>
    <row r="3361">
      <c r="A3361" s="1" t="n">
        <v>3359</v>
      </c>
      <c r="B3361" t="n">
        <v>2012</v>
      </c>
      <c r="C3361" s="2" t="n">
        <v>41253.94983796297</v>
      </c>
      <c r="D3361" t="inlineStr">
        <is>
          <t>A CRITICA</t>
        </is>
      </c>
      <c r="E3361" t="inlineStr">
        <is>
          <t>VENEZUELANOS</t>
        </is>
      </c>
      <c r="F3361" t="inlineStr"/>
      <c r="G3361" t="inlineStr">
        <is>
          <t>RENATA GIRALDI*AGÊNCIA BRASIL</t>
        </is>
      </c>
      <c r="H3361" t="inlineStr">
        <is>
          <t>CHAVEZ CHEGA A CUBA PARA SER OPERADO E FAZER TRATAMENTO CONTRA CÂNCER</t>
        </is>
      </c>
      <c r="I3361" t="inlineStr">
        <is>
          <t>CHÁVEZ FARÁ TRATAMENTO CONTRA CÂNCER E CIRURGIA PARA A RETIRADA DE UM TUMOR NA REGIÃO PÉLVICA. ANTEONTEM ELE ANUNCIOU A CIRURGIA NO MESMO LOCAL DO CORPO E INDICOU QUE PODE SER OBRIGADO A ABANDONAR  A PRESIDÊNCIA DA REPÚBLICA</t>
        </is>
      </c>
      <c r="J3361" t="inlineStr"/>
      <c r="K3361" t="n">
        <v>0</v>
      </c>
      <c r="L3361" t="n">
        <v>1</v>
      </c>
      <c r="M3361" t="n">
        <v>0</v>
      </c>
      <c r="N3361" t="n">
        <v>0</v>
      </c>
      <c r="O3361" t="n">
        <v>2</v>
      </c>
      <c r="P3361">
        <f>HYPERLINK("https://www.acritica.com/chavez-chega-a-cuba-para-ser-operado-e-fazer-tratamento-contra-cancer-1.236804", "URL")</f>
        <v/>
      </c>
      <c r="Q3361">
        <f>HYPERLINK("https://raw.githubusercontent.com/marcosmapl/dataset_imigrantes/main/materias_filtered/a_critica/venezuelanos/2012/11_dez/html/1.236804_483.html", "HTML")</f>
        <v/>
      </c>
      <c r="R3361">
        <f>HYPERLINK("https://raw.githubusercontent.com/marcosmapl/dataset_imigrantes/main/materias_filtered/a_critica/venezuelanos/2012/11_dez/txt/1.236804_483.txt", "TXT")</f>
        <v/>
      </c>
    </row>
    <row r="3362">
      <c r="A3362" s="1" t="n">
        <v>3360</v>
      </c>
      <c r="B3362" t="n">
        <v>2012</v>
      </c>
      <c r="C3362" s="2" t="n">
        <v>41240.43489583334</v>
      </c>
      <c r="D3362" t="inlineStr">
        <is>
          <t>A CRITICA</t>
        </is>
      </c>
      <c r="E3362" t="inlineStr">
        <is>
          <t>HAITIANOS</t>
        </is>
      </c>
      <c r="F3362" t="inlineStr"/>
      <c r="G3362" t="inlineStr">
        <is>
          <t>RENATA GIRALDI*/AGÊNCIA BRASIL</t>
        </is>
      </c>
      <c r="H3362" t="inlineStr">
        <is>
          <t>UM EM CADA CINCO UNIVERSITÁRIOS DE PAÍSES POBRES TENTAM OPORTUNIDADE NO EXTERIOR, DIZ UNCTAD</t>
        </is>
      </c>
      <c r="I3362" t="inlineStr">
        <is>
          <t>PELO MENOS UM EM CADA CINCO UNIVERSITÁRIOS DE 48 PAÍSES MENOS DESENVOLVIDOS VAI PARA O EXTERIOR EM BUSCA DE OPORTUNIDADES, SEGUNDO RELATÓRIO DIVULGADO PELA  CONFERÊNCIA DAS NAÇÕES UNIDAS SOBRE COMÉRCIO E DESENVOLVIMENTO (UNCTAD), EM GENEBRA, NA SUÍÇA.</t>
        </is>
      </c>
      <c r="J3362" t="inlineStr"/>
      <c r="K3362" t="n">
        <v>0</v>
      </c>
      <c r="L3362" t="n">
        <v>1</v>
      </c>
      <c r="M3362" t="n">
        <v>0</v>
      </c>
      <c r="N3362" t="n">
        <v>0</v>
      </c>
      <c r="O3362" t="n">
        <v>1</v>
      </c>
      <c r="P3362">
        <f>HYPERLINK("https://www.acritica.com/um-em-cada-cinco-universitarios-de-paises-pobres-tentam-oportunidade-no-exterior-diz-unctad-1.236046", "URL")</f>
        <v/>
      </c>
      <c r="Q3362">
        <f>HYPERLINK("https://raw.githubusercontent.com/marcosmapl/dataset_imigrantes/main/materias_filtered/a_critica/haitianos/2012/10_nov/html/1.236046_57.html", "HTML")</f>
        <v/>
      </c>
      <c r="R3362">
        <f>HYPERLINK("https://raw.githubusercontent.com/marcosmapl/dataset_imigrantes/main/materias_filtered/a_critica/haitianos/2012/10_nov/txt/1.236046_57.txt", "TXT")</f>
        <v/>
      </c>
    </row>
    <row r="3363">
      <c r="A3363" s="1" t="n">
        <v>3361</v>
      </c>
      <c r="B3363" t="n">
        <v>2012</v>
      </c>
      <c r="C3363" s="2" t="n">
        <v>41239.44930555556</v>
      </c>
      <c r="D3363" t="inlineStr">
        <is>
          <t>G1</t>
        </is>
      </c>
      <c r="E3363" t="inlineStr">
        <is>
          <t>HAITIANOS</t>
        </is>
      </c>
      <c r="F3363" t="inlineStr"/>
      <c r="G3363" t="inlineStr">
        <is>
          <t>1 AM</t>
        </is>
      </c>
      <c r="H3363" t="inlineStr">
        <is>
          <t>MINISTÉRIO AUMENTA REPASSE PARA ATENDIMENTO DE HAITIANOS NO AM</t>
        </is>
      </c>
      <c r="I3363" t="inlineStr"/>
      <c r="J3363" t="inlineStr">
        <is>
          <t>ACRE, AMAZONAS, GOVERNO FEDERAL</t>
        </is>
      </c>
      <c r="K3363" t="n">
        <v>3</v>
      </c>
      <c r="L3363" t="n">
        <v>5</v>
      </c>
      <c r="M3363" t="n">
        <v>0</v>
      </c>
      <c r="N3363" t="n">
        <v>0</v>
      </c>
      <c r="O3363" t="n">
        <v>14</v>
      </c>
      <c r="P3363">
        <f>HYPERLINK("http://g1.globo.com/am/amazonas/noticia/2012/11/ministerio-aumenta-repasse-para-atendimento-de-haitianos-no-am.html", "URL")</f>
        <v/>
      </c>
      <c r="Q3363">
        <f>HYPERLINK("https://raw.githubusercontent.com/marcosmapl/dataset_imigrantes/main/materias_filtered/g1/haitianos/2012/10_nov/html/g1_df4aaa52-22f4-11ed-b24f-6dbe51e79fca_1916.html", "HTML")</f>
        <v/>
      </c>
      <c r="R3363">
        <f>HYPERLINK("https://raw.githubusercontent.com/marcosmapl/dataset_imigrantes/main/materias_filtered/g1/haitianos/2012/10_nov/txt/g1_df4aaa52-22f4-11ed-b24f-6dbe51e79fca_1916.txt", "TXT")</f>
        <v/>
      </c>
    </row>
    <row r="3364">
      <c r="A3364" s="1" t="n">
        <v>3362</v>
      </c>
      <c r="B3364" t="n">
        <v>2012</v>
      </c>
      <c r="C3364" s="2" t="n">
        <v>41236.34166666667</v>
      </c>
      <c r="D3364" t="inlineStr">
        <is>
          <t>G1</t>
        </is>
      </c>
      <c r="E3364" t="inlineStr">
        <is>
          <t>VENEZUELANOS</t>
        </is>
      </c>
      <c r="F3364" t="inlineStr"/>
      <c r="G3364" t="inlineStr">
        <is>
          <t>RANCE PRESSE</t>
        </is>
      </c>
      <c r="H3364" t="inlineStr">
        <is>
          <t>JUÍZA VENEZUELANA AFIRMA EM LIVRO QUE FOI ESTUPRADA NA PRISÃO</t>
        </is>
      </c>
      <c r="I3364" t="inlineStr"/>
      <c r="J3364" t="inlineStr">
        <is>
          <t>HUGO CHÁVEZ</t>
        </is>
      </c>
      <c r="K3364" t="n">
        <v>1</v>
      </c>
      <c r="L3364" t="n">
        <v>4</v>
      </c>
      <c r="M3364" t="n">
        <v>0</v>
      </c>
      <c r="N3364" t="n">
        <v>0</v>
      </c>
      <c r="O3364" t="n">
        <v>9</v>
      </c>
      <c r="P3364">
        <f>HYPERLINK("http://g1.globo.com/mundo/noticia/2012/11/juiza-venezuelana-afirma-em-livro-que-foi-estuprada-na-prisao.html", "URL")</f>
        <v/>
      </c>
      <c r="Q3364">
        <f>HYPERLINK("https://raw.githubusercontent.com/marcosmapl/dataset_imigrantes/main/materias_filtered/g1/venezuelanos/2012/10_nov/html/g1_32ab2cfe-231c-11ed-b24f-6dbe51e79fca_3433.html", "HTML")</f>
        <v/>
      </c>
      <c r="R3364">
        <f>HYPERLINK("https://raw.githubusercontent.com/marcosmapl/dataset_imigrantes/main/materias_filtered/g1/venezuelanos/2012/10_nov/txt/g1_32ab2cfe-231c-11ed-b24f-6dbe51e79fca_3433.txt", "TXT")</f>
        <v/>
      </c>
    </row>
    <row r="3365">
      <c r="A3365" s="1" t="n">
        <v>3363</v>
      </c>
      <c r="B3365" t="n">
        <v>2012</v>
      </c>
      <c r="C3365" s="2" t="n">
        <v>41231.91319444445</v>
      </c>
      <c r="D3365" t="inlineStr">
        <is>
          <t>G1</t>
        </is>
      </c>
      <c r="E3365" t="inlineStr">
        <is>
          <t>HAITIANOS</t>
        </is>
      </c>
      <c r="F3365" t="inlineStr"/>
      <c r="G3365" t="inlineStr">
        <is>
          <t>1, COM INFORMAÇÕES DO FANTÁSTICO</t>
        </is>
      </c>
      <c r="H3365" t="inlineStr">
        <is>
          <t>MENINO HAITIANO ABANDONADO NO METRÔ REENCONTRA A MÃE APÓS 3 ANOS</t>
        </is>
      </c>
      <c r="I3365" t="inlineStr"/>
      <c r="J3365" t="inlineStr"/>
      <c r="K3365" t="n">
        <v>0</v>
      </c>
      <c r="L3365" t="n">
        <v>0</v>
      </c>
      <c r="M3365" t="n">
        <v>0</v>
      </c>
      <c r="N3365" t="n">
        <v>0</v>
      </c>
      <c r="O3365" t="n">
        <v>5</v>
      </c>
      <c r="P3365">
        <f>HYPERLINK("http://g1.globo.com/sao-paulo/noticia/2012/11/menino-haitiano-abandonado-no-metro-reencontra-mae-apos-3-anos.html", "URL")</f>
        <v/>
      </c>
      <c r="Q3365">
        <f>HYPERLINK("https://raw.githubusercontent.com/marcosmapl/dataset_imigrantes/main/materias_filtered/g1/haitianos/2012/10_nov/html/g1_3a304974-230c-11ed-b24f-6dbe51e79fca_2611.html", "HTML")</f>
        <v/>
      </c>
      <c r="R3365">
        <f>HYPERLINK("https://raw.githubusercontent.com/marcosmapl/dataset_imigrantes/main/materias_filtered/g1/haitianos/2012/10_nov/txt/g1_3a304974-230c-11ed-b24f-6dbe51e79fca_2611.txt", "TXT")</f>
        <v/>
      </c>
    </row>
    <row r="3366">
      <c r="A3366" s="1" t="n">
        <v>3364</v>
      </c>
      <c r="B3366" t="n">
        <v>2012</v>
      </c>
      <c r="C3366" s="2" t="n">
        <v>41231</v>
      </c>
      <c r="D3366" t="inlineStr">
        <is>
          <t>G1</t>
        </is>
      </c>
      <c r="E3366" t="inlineStr">
        <is>
          <t>HAITIANOS</t>
        </is>
      </c>
      <c r="F3366" t="inlineStr"/>
      <c r="G3366" t="inlineStr"/>
      <c r="H3366" t="inlineStr">
        <is>
          <t>APÓS NOVE ANOS, HAITIANO VÍTIMA DO TRÁFICO DE PESSOAS REENCONTRA A MÃE</t>
        </is>
      </c>
      <c r="I3366" t="inlineStr"/>
      <c r="J3366" t="inlineStr"/>
      <c r="K3366" t="n">
        <v>0</v>
      </c>
      <c r="L3366" t="n">
        <v>0</v>
      </c>
      <c r="M3366" t="n">
        <v>0</v>
      </c>
      <c r="N3366" t="n">
        <v>0</v>
      </c>
      <c r="O3366" t="n">
        <v>4</v>
      </c>
      <c r="P3366">
        <f>HYPERLINK("http://g1.globo.com/fantastico/noticia/2012/11/apos-nove-anos-haitiano-vitima-do-trafico-de-pessoas-reencontra-mae.html", "URL")</f>
        <v/>
      </c>
      <c r="Q3366">
        <f>HYPERLINK("https://raw.githubusercontent.com/marcosmapl/dataset_imigrantes/main/materias_filtered/g1/haitianos/2012/10_nov/html/g1_3d2e21d6-2326-11ed-b24f-6dbe51e79fca_3963.html", "HTML")</f>
        <v/>
      </c>
      <c r="R3366">
        <f>HYPERLINK("https://raw.githubusercontent.com/marcosmapl/dataset_imigrantes/main/materias_filtered/g1/haitianos/2012/10_nov/txt/g1_3d2e21d6-2326-11ed-b24f-6dbe51e79fca_3963.txt", "TXT")</f>
        <v/>
      </c>
    </row>
    <row r="3367">
      <c r="A3367" s="1" t="n">
        <v>3365</v>
      </c>
      <c r="B3367" t="n">
        <v>2012</v>
      </c>
      <c r="C3367" s="2" t="n">
        <v>41215.8465625</v>
      </c>
      <c r="D3367" t="inlineStr">
        <is>
          <t>A CRITICA</t>
        </is>
      </c>
      <c r="E3367" t="inlineStr">
        <is>
          <t>VENEZUELANOS</t>
        </is>
      </c>
      <c r="F3367" t="inlineStr">
        <is>
          <t>AMAZONIA</t>
        </is>
      </c>
      <c r="G3367" t="inlineStr">
        <is>
          <t>ELAÍZE FARIAS</t>
        </is>
      </c>
      <c r="H3367" t="inlineStr">
        <is>
          <t>INVESTIGAÇÃO DE GOVERNO VENEZUELANO É QUESTIONADA POR REPRESENTANTE YANOMAMI DAQUELE PAÍS</t>
        </is>
      </c>
      <c r="I3367" t="inlineStr">
        <is>
          <t>LUIS SHATIWË, DA ORGANIZAÇÃO HORONAMI, DA VENEZUELA, PARTICIPOU DA ASSEMBLEIA DA HUTUKARA, NO BRASIL</t>
        </is>
      </c>
      <c r="J3367" t="inlineStr"/>
      <c r="K3367" t="n">
        <v>0</v>
      </c>
      <c r="L3367" t="n">
        <v>1</v>
      </c>
      <c r="M3367" t="n">
        <v>0</v>
      </c>
      <c r="N3367" t="n">
        <v>0</v>
      </c>
      <c r="O3367" t="n">
        <v>1</v>
      </c>
      <c r="P3367">
        <f>HYPERLINK("https://www.acritica.com/amazonia/investigac-o-de-governo-venezuelano-e-questionada-por-representante-yanomami-daquele-pais-1.236616", "URL")</f>
        <v/>
      </c>
      <c r="Q3367">
        <f>HYPERLINK("https://raw.githubusercontent.com/marcosmapl/dataset_imigrantes/main/materias_filtered/a_critica/venezuelanos/2012/10_nov/html/1.236616_1234.html", "HTML")</f>
        <v/>
      </c>
      <c r="R3367">
        <f>HYPERLINK("https://raw.githubusercontent.com/marcosmapl/dataset_imigrantes/main/materias_filtered/a_critica/venezuelanos/2012/10_nov/txt/1.236616_1234.txt", "TXT")</f>
        <v/>
      </c>
    </row>
    <row r="3368">
      <c r="A3368" s="1" t="n">
        <v>3366</v>
      </c>
      <c r="B3368" t="n">
        <v>2012</v>
      </c>
      <c r="C3368" s="2" t="n">
        <v>41213.64753472222</v>
      </c>
      <c r="D3368" t="inlineStr">
        <is>
          <t>A CRITICA</t>
        </is>
      </c>
      <c r="E3368" t="inlineStr">
        <is>
          <t>VENEZUELANOS</t>
        </is>
      </c>
      <c r="F3368" t="inlineStr"/>
      <c r="G3368" t="inlineStr">
        <is>
          <t>ACRÍTICA.COM</t>
        </is>
      </c>
      <c r="H3368" t="inlineStr">
        <is>
          <t>EVENTO DISCUTE EM MANAUS A INTEGRAÇÃO ENTRE O NORTE DO BRASIL E O SUL DA VENEZUELA</t>
        </is>
      </c>
      <c r="I3368" t="inlineStr">
        <is>
          <t>SEMINÁRIO PROMOVIDO PELA SUFRAMA E O IPEA DEBATE A INTEGRAÇÃO ECONÔMICO PRODUTIVA ENTRE OS DOIS PAÍSES</t>
        </is>
      </c>
      <c r="J3368" t="inlineStr"/>
      <c r="K3368" t="n">
        <v>0</v>
      </c>
      <c r="L3368" t="n">
        <v>1</v>
      </c>
      <c r="M3368" t="n">
        <v>0</v>
      </c>
      <c r="N3368" t="n">
        <v>0</v>
      </c>
      <c r="O3368" t="n">
        <v>0</v>
      </c>
      <c r="P3368">
        <f>HYPERLINK("https://www.acritica.com/evento-discute-em-manaus-a-integrac-o-entre-o-norte-do-brasil-e-o-sul-da-venezuela-1.143869", "URL")</f>
        <v/>
      </c>
      <c r="Q3368">
        <f>HYPERLINK("https://raw.githubusercontent.com/marcosmapl/dataset_imigrantes/main/materias_filtered/a_critica/venezuelanos/2012/09_out/html/1.143869_1157.html", "HTML")</f>
        <v/>
      </c>
      <c r="R3368">
        <f>HYPERLINK("https://raw.githubusercontent.com/marcosmapl/dataset_imigrantes/main/materias_filtered/a_critica/venezuelanos/2012/09_out/txt/1.143869_1157.txt", "TXT")</f>
        <v/>
      </c>
    </row>
    <row r="3369">
      <c r="A3369" s="1" t="n">
        <v>3367</v>
      </c>
      <c r="B3369" t="n">
        <v>2012</v>
      </c>
      <c r="C3369" s="2" t="n">
        <v>41213.32708333333</v>
      </c>
      <c r="D3369" t="inlineStr">
        <is>
          <t>G1</t>
        </is>
      </c>
      <c r="E3369" t="inlineStr">
        <is>
          <t>HAITIANOS</t>
        </is>
      </c>
      <c r="F3369" t="inlineStr"/>
      <c r="G3369" t="inlineStr">
        <is>
          <t>CIA EFE</t>
        </is>
      </c>
      <c r="H3369" t="inlineStr">
        <is>
          <t>SOBE PARA 54 O NÚMERO DE MORTES NO HAITI PELO FURACÃO 'SANDY'</t>
        </is>
      </c>
      <c r="I3369" t="inlineStr"/>
      <c r="J3369" t="inlineStr"/>
      <c r="K3369" t="n">
        <v>0</v>
      </c>
      <c r="L3369" t="n">
        <v>1</v>
      </c>
      <c r="M3369" t="n">
        <v>0</v>
      </c>
      <c r="N3369" t="n">
        <v>0</v>
      </c>
      <c r="O3369" t="n">
        <v>4</v>
      </c>
      <c r="P3369">
        <f>HYPERLINK("http://g1.globo.com/mundo/noticia/2012/10/sobe-para-54-o-numero-de-mortes-no-haiti-pelo-furacao-sandy.html", "URL")</f>
        <v/>
      </c>
      <c r="Q3369">
        <f>HYPERLINK("https://raw.githubusercontent.com/marcosmapl/dataset_imigrantes/main/materias_filtered/g1/haitianos/2012/09_out/html/g1_81032fb2-2328-11ed-b24f-6dbe51e79fca_4082.html", "HTML")</f>
        <v/>
      </c>
      <c r="R3369">
        <f>HYPERLINK("https://raw.githubusercontent.com/marcosmapl/dataset_imigrantes/main/materias_filtered/g1/haitianos/2012/09_out/txt/g1_81032fb2-2328-11ed-b24f-6dbe51e79fca_4082.txt", "TXT")</f>
        <v/>
      </c>
    </row>
    <row r="3370">
      <c r="A3370" s="1" t="n">
        <v>3368</v>
      </c>
      <c r="B3370" t="n">
        <v>2012</v>
      </c>
      <c r="C3370" s="2" t="n">
        <v>41208.91361111111</v>
      </c>
      <c r="D3370" t="inlineStr">
        <is>
          <t>A CRITICA</t>
        </is>
      </c>
      <c r="E3370" t="inlineStr">
        <is>
          <t>HAITIANOS</t>
        </is>
      </c>
      <c r="F3370" t="inlineStr"/>
      <c r="G3370" t="inlineStr">
        <is>
          <t>AGÊNCIA BRASIL</t>
        </is>
      </c>
      <c r="H3370" t="inlineStr">
        <is>
          <t>FURACÃO SANDY DEIXA 21 MORTOS NO CARIBE</t>
        </is>
      </c>
      <c r="I3370" t="inlineStr">
        <is>
          <t>NO LESTE DE CUBA, SANDY MATOU ONZE PESSOAS NAS PROVÍNCIAS DE SANTIAGO DE CUBA E GUANTÁNAMO, ONDE VÁRIAS CASAS DESABARAM, SEGUNDO A DEFESA CIVIL</t>
        </is>
      </c>
      <c r="J3370" t="inlineStr"/>
      <c r="K3370" t="n">
        <v>0</v>
      </c>
      <c r="L3370" t="n">
        <v>1</v>
      </c>
      <c r="M3370" t="n">
        <v>0</v>
      </c>
      <c r="N3370" t="n">
        <v>0</v>
      </c>
      <c r="O3370" t="n">
        <v>0</v>
      </c>
      <c r="P3370">
        <f>HYPERLINK("https://www.acritica.com/furac-o-sandy-deixa-21-mortos-no-caribe-1.144421", "URL")</f>
        <v/>
      </c>
      <c r="Q3370">
        <f>HYPERLINK("https://raw.githubusercontent.com/marcosmapl/dataset_imigrantes/main/materias_filtered/a_critica/haitianos/2012/09_out/html/1.144421_512.html", "HTML")</f>
        <v/>
      </c>
      <c r="R3370">
        <f>HYPERLINK("https://raw.githubusercontent.com/marcosmapl/dataset_imigrantes/main/materias_filtered/a_critica/haitianos/2012/09_out/txt/1.144421_512.txt", "TXT")</f>
        <v/>
      </c>
    </row>
    <row r="3371">
      <c r="A3371" s="1" t="n">
        <v>3369</v>
      </c>
      <c r="B3371" t="n">
        <v>2012</v>
      </c>
      <c r="C3371" s="2" t="n">
        <v>41208.76875</v>
      </c>
      <c r="D3371" t="inlineStr">
        <is>
          <t>G1</t>
        </is>
      </c>
      <c r="E3371" t="inlineStr">
        <is>
          <t>HAITIANOS</t>
        </is>
      </c>
      <c r="F3371" t="inlineStr"/>
      <c r="G3371" t="inlineStr">
        <is>
          <t>CE PRESSE</t>
        </is>
      </c>
      <c r="H3371" t="inlineStr">
        <is>
          <t>SOBE PARA 26 NÚMERO DE MORTOS NO HAITI POR PASSAGEM DO FURACÃO SANDY</t>
        </is>
      </c>
      <c r="I3371" t="inlineStr"/>
      <c r="J3371" t="inlineStr"/>
      <c r="K3371" t="n">
        <v>0</v>
      </c>
      <c r="L3371" t="n">
        <v>1</v>
      </c>
      <c r="M3371" t="n">
        <v>0</v>
      </c>
      <c r="N3371" t="n">
        <v>0</v>
      </c>
      <c r="O3371" t="n">
        <v>4</v>
      </c>
      <c r="P3371">
        <f>HYPERLINK("http://g1.globo.com/mundo/noticia/2012/10/sobe-para-26-numero-de-mortos-no-haiti-por-passagem-do-furacao-sandy.html", "URL")</f>
        <v/>
      </c>
      <c r="Q3371">
        <f>HYPERLINK("https://raw.githubusercontent.com/marcosmapl/dataset_imigrantes/main/materias_filtered/g1/haitianos/2012/09_out/html/g1_578902be-231f-11ed-b24f-6dbe51e79fca_3616.html", "HTML")</f>
        <v/>
      </c>
      <c r="R3371">
        <f>HYPERLINK("https://raw.githubusercontent.com/marcosmapl/dataset_imigrantes/main/materias_filtered/g1/haitianos/2012/09_out/txt/g1_578902be-231f-11ed-b24f-6dbe51e79fca_3616.txt", "TXT")</f>
        <v/>
      </c>
    </row>
    <row r="3372">
      <c r="A3372" s="1" t="n">
        <v>3370</v>
      </c>
      <c r="B3372" t="n">
        <v>2012</v>
      </c>
      <c r="C3372" s="2" t="n">
        <v>41208.68934027778</v>
      </c>
      <c r="D3372" t="inlineStr">
        <is>
          <t>A CRITICA</t>
        </is>
      </c>
      <c r="E3372" t="inlineStr">
        <is>
          <t>HAITIANOS</t>
        </is>
      </c>
      <c r="F3372" t="inlineStr"/>
      <c r="G3372" t="inlineStr">
        <is>
          <t>MARCOS CHAGAS/ AGÊNCIA BRASIL</t>
        </is>
      </c>
      <c r="H3372" t="inlineStr">
        <is>
          <t>CHEGA AO CAOS A SITUAÇÃO DE AJUDA HUMANITÁRIA A HAITIANOS NO ACRE, DIZ SECRETARIO</t>
        </is>
      </c>
      <c r="I3372" t="inlineStr">
        <is>
          <t>SECRETÁRIO DE JUSTIÇA E DIREITOS HUMANOS DO ACRE DISSE QUE NÃO TEM COMO O GOVERNO ACREANO BANCAR MAIS ALIMENTAÇÃO E ABRIGO AOS HAITIANOS QUE ENTRAM EM BRASILEIRA POR COBIJA, NA BOLÍVIA</t>
        </is>
      </c>
      <c r="J3372" t="inlineStr"/>
      <c r="K3372" t="n">
        <v>0</v>
      </c>
      <c r="L3372" t="n">
        <v>1</v>
      </c>
      <c r="M3372" t="n">
        <v>0</v>
      </c>
      <c r="N3372" t="n">
        <v>0</v>
      </c>
      <c r="O3372" t="n">
        <v>0</v>
      </c>
      <c r="P3372">
        <f>HYPERLINK("https://www.acritica.com/chega-ao-caos-a-situac-o-de-ajuda-humanitaria-a-haitianos-no-acre-diz-secretario-1.144582", "URL")</f>
        <v/>
      </c>
      <c r="Q3372">
        <f>HYPERLINK("https://raw.githubusercontent.com/marcosmapl/dataset_imigrantes/main/materias_filtered/a_critica/haitianos/2012/09_out/html/1.144582_358.html", "HTML")</f>
        <v/>
      </c>
      <c r="R3372">
        <f>HYPERLINK("https://raw.githubusercontent.com/marcosmapl/dataset_imigrantes/main/materias_filtered/a_critica/haitianos/2012/09_out/txt/1.144582_358.txt", "TXT")</f>
        <v/>
      </c>
    </row>
    <row r="3373">
      <c r="A3373" s="1" t="n">
        <v>3371</v>
      </c>
      <c r="B3373" t="n">
        <v>2012</v>
      </c>
      <c r="C3373" s="2" t="n">
        <v>41206.47083333333</v>
      </c>
      <c r="D3373" t="inlineStr">
        <is>
          <t>G1</t>
        </is>
      </c>
      <c r="E3373" t="inlineStr">
        <is>
          <t>HAITIANOS</t>
        </is>
      </c>
      <c r="F3373" t="inlineStr"/>
      <c r="G3373" t="inlineStr">
        <is>
          <t>CE PRESSE</t>
        </is>
      </c>
      <c r="H3373" t="inlineStr">
        <is>
          <t>FIDEL ACHA JUSTO QUE ONU PAGUE INDENIZAÇÃO A HAITIANOS POR EPIDEMIA DE CÓLERA</t>
        </is>
      </c>
      <c r="I3373" t="inlineStr"/>
      <c r="J3373" t="inlineStr"/>
      <c r="K3373" t="n">
        <v>0</v>
      </c>
      <c r="L3373" t="n">
        <v>1</v>
      </c>
      <c r="M3373" t="n">
        <v>0</v>
      </c>
      <c r="N3373" t="n">
        <v>0</v>
      </c>
      <c r="O3373" t="n">
        <v>4</v>
      </c>
      <c r="P3373">
        <f>HYPERLINK("http://g1.globo.com/mundo/noticia/2012/10/fidel-acha-justo-que-onu-pague-indenizacao-a-haitianos-por-epidemia-de-colera.html", "URL")</f>
        <v/>
      </c>
      <c r="Q3373">
        <f>HYPERLINK("https://raw.githubusercontent.com/marcosmapl/dataset_imigrantes/main/materias_filtered/g1/haitianos/2012/09_out/html/g1_4d4fad70-22f7-11ed-b24f-6dbe51e79fca_2070.html", "HTML")</f>
        <v/>
      </c>
      <c r="R3373">
        <f>HYPERLINK("https://raw.githubusercontent.com/marcosmapl/dataset_imigrantes/main/materias_filtered/g1/haitianos/2012/09_out/txt/g1_4d4fad70-22f7-11ed-b24f-6dbe51e79fca_2070.txt", "TXT")</f>
        <v/>
      </c>
    </row>
    <row r="3374">
      <c r="A3374" s="1" t="n">
        <v>3372</v>
      </c>
      <c r="B3374" t="n">
        <v>2012</v>
      </c>
      <c r="C3374" s="2" t="n">
        <v>41205.42134259259</v>
      </c>
      <c r="D3374" t="inlineStr">
        <is>
          <t>A CRITICA</t>
        </is>
      </c>
      <c r="E3374" t="inlineStr">
        <is>
          <t>HAITIANOS</t>
        </is>
      </c>
      <c r="F3374" t="inlineStr"/>
      <c r="G3374" t="inlineStr">
        <is>
          <t>MILTON DE OLIVEIRA</t>
        </is>
      </c>
      <c r="H3374" t="inlineStr">
        <is>
          <t>PROBLEMAS DE SAÚDE AFASTAM 15% DO EFETIVO DA POLÍCIA CIVIL DO AM</t>
        </is>
      </c>
      <c r="I3374" t="inlineStr">
        <is>
          <t>PARA REVERTER O QUADRO, FOI LANÇADA, NESTA SEGUNDA-FEIRA (22), A 7ª SEMANA DA SAÚDE, VOLTADA A SERVIDORES, FAMILIARES E HAITIANOS RESIDENTES EM MANAUS</t>
        </is>
      </c>
      <c r="J3374" t="inlineStr"/>
      <c r="K3374" t="n">
        <v>0</v>
      </c>
      <c r="L3374" t="n">
        <v>1</v>
      </c>
      <c r="M3374" t="n">
        <v>0</v>
      </c>
      <c r="N3374" t="n">
        <v>0</v>
      </c>
      <c r="O3374" t="n">
        <v>0</v>
      </c>
      <c r="P3374">
        <f>HYPERLINK("https://www.acritica.com/problemas-de-saude-afastam-15-do-efetivo-da-policia-civil-do-am-1.145290", "URL")</f>
        <v/>
      </c>
      <c r="Q3374">
        <f>HYPERLINK("https://raw.githubusercontent.com/marcosmapl/dataset_imigrantes/main/materias_filtered/a_critica/haitianos/2012/09_out/html/1.145290_355.html", "HTML")</f>
        <v/>
      </c>
      <c r="R3374">
        <f>HYPERLINK("https://raw.githubusercontent.com/marcosmapl/dataset_imigrantes/main/materias_filtered/a_critica/haitianos/2012/09_out/txt/1.145290_355.txt", "TXT")</f>
        <v/>
      </c>
    </row>
    <row r="3375">
      <c r="A3375" s="1" t="n">
        <v>3373</v>
      </c>
      <c r="B3375" t="n">
        <v>2012</v>
      </c>
      <c r="C3375" s="2" t="n">
        <v>41204.80833333333</v>
      </c>
      <c r="D3375" t="inlineStr">
        <is>
          <t>G1</t>
        </is>
      </c>
      <c r="E3375" t="inlineStr">
        <is>
          <t>HAITIANOS</t>
        </is>
      </c>
      <c r="F3375" t="inlineStr"/>
      <c r="G3375" t="inlineStr">
        <is>
          <t>CE PRESSE</t>
        </is>
      </c>
      <c r="H3375" t="inlineStr">
        <is>
          <t>HILLARY CLINTON SAÚDA RECONSTRUÇÃO DO HAITI E 'SONHO HAITIANO'</t>
        </is>
      </c>
      <c r="I3375" t="inlineStr"/>
      <c r="J3375" t="inlineStr"/>
      <c r="K3375" t="n">
        <v>0</v>
      </c>
      <c r="L3375" t="n">
        <v>1</v>
      </c>
      <c r="M3375" t="n">
        <v>0</v>
      </c>
      <c r="N3375" t="n">
        <v>0</v>
      </c>
      <c r="O3375" t="n">
        <v>4</v>
      </c>
      <c r="P3375">
        <f>HYPERLINK("http://g1.globo.com/mundo/noticia/2012/10/hillary-clinton-sauda-reconstrucao-do-haiti-e-sonho-haitiano.html", "URL")</f>
        <v/>
      </c>
      <c r="Q3375">
        <f>HYPERLINK("https://raw.githubusercontent.com/marcosmapl/dataset_imigrantes/main/materias_filtered/g1/haitianos/2012/09_out/html/g1_2b539ab8-2312-11ed-b24f-6dbe51e79fca_2953.html", "HTML")</f>
        <v/>
      </c>
      <c r="R3375">
        <f>HYPERLINK("https://raw.githubusercontent.com/marcosmapl/dataset_imigrantes/main/materias_filtered/g1/haitianos/2012/09_out/txt/g1_2b539ab8-2312-11ed-b24f-6dbe51e79fca_2953.txt", "TXT")</f>
        <v/>
      </c>
    </row>
    <row r="3376">
      <c r="A3376" s="1" t="n">
        <v>3374</v>
      </c>
      <c r="B3376" t="n">
        <v>2012</v>
      </c>
      <c r="C3376" s="2" t="n">
        <v>41204.80520833333</v>
      </c>
      <c r="D3376" t="inlineStr">
        <is>
          <t>A CRITICA</t>
        </is>
      </c>
      <c r="E3376" t="inlineStr">
        <is>
          <t>VENEZUELANOS</t>
        </is>
      </c>
      <c r="F3376" t="inlineStr"/>
      <c r="G3376" t="inlineStr">
        <is>
          <t>DA BBC BRASIL/ AGÊNCIA BRASIL</t>
        </is>
      </c>
      <c r="H3376" t="inlineStr">
        <is>
          <t>EMPATADOS NAS PESQUISAS, OBAMA E ROMNEY SE ENFRENTAM NO ÚLTIMO DEBATE</t>
        </is>
      </c>
      <c r="I3376" t="inlineStr">
        <is>
          <t>A PESQUISA MAIS RECENTE, ELABORADA EM CONJUNTO PELO WALL STREET JOURNAL E PELA REDE DE TV NBC, MOSTRA OS CANDIDATOS EMPATADOS. AMBOS APARECEM COM 47% DAS INTENÇÕES DE VOTO.</t>
        </is>
      </c>
      <c r="J3376" t="inlineStr"/>
      <c r="K3376" t="n">
        <v>0</v>
      </c>
      <c r="L3376" t="n">
        <v>1</v>
      </c>
      <c r="M3376" t="n">
        <v>0</v>
      </c>
      <c r="N3376" t="n">
        <v>0</v>
      </c>
      <c r="O3376" t="n">
        <v>0</v>
      </c>
      <c r="P3376">
        <f>HYPERLINK("https://www.acritica.com/empatados-nas-pesquisas-obama-e-romney-se-enfrentam-no-ultimo-debate-1.145378", "URL")</f>
        <v/>
      </c>
      <c r="Q3376">
        <f>HYPERLINK("https://raw.githubusercontent.com/marcosmapl/dataset_imigrantes/main/materias_filtered/a_critica/venezuelanos/2012/09_out/html/1.145378_794.html", "HTML")</f>
        <v/>
      </c>
      <c r="R3376">
        <f>HYPERLINK("https://raw.githubusercontent.com/marcosmapl/dataset_imigrantes/main/materias_filtered/a_critica/venezuelanos/2012/09_out/txt/1.145378_794.txt", "TXT")</f>
        <v/>
      </c>
    </row>
    <row r="3377">
      <c r="A3377" s="1" t="n">
        <v>3375</v>
      </c>
      <c r="B3377" t="n">
        <v>2012</v>
      </c>
      <c r="C3377" s="2" t="n">
        <v>41201.79583333333</v>
      </c>
      <c r="D3377" t="inlineStr">
        <is>
          <t>G1</t>
        </is>
      </c>
      <c r="E3377" t="inlineStr">
        <is>
          <t>VENEZUELANOS</t>
        </is>
      </c>
      <c r="F3377" t="inlineStr"/>
      <c r="G3377" t="inlineStr">
        <is>
          <t>CE PRESSE</t>
        </is>
      </c>
      <c r="H3377" t="inlineStr">
        <is>
          <t>CHÁVEZ DECRETA EMERGÊNCIA EM INFRAESTRUTURA DE PRISÕES VENEZUELANAS</t>
        </is>
      </c>
      <c r="I3377" t="inlineStr"/>
      <c r="J3377" t="inlineStr"/>
      <c r="K3377" t="n">
        <v>0</v>
      </c>
      <c r="L3377" t="n">
        <v>1</v>
      </c>
      <c r="M3377" t="n">
        <v>0</v>
      </c>
      <c r="N3377" t="n">
        <v>0</v>
      </c>
      <c r="O3377" t="n">
        <v>4</v>
      </c>
      <c r="P3377">
        <f>HYPERLINK("http://g1.globo.com/mundo/noticia/2012/10/chavez-decreta-emergencia-em-infraestrutura-de-prisoes-venezuelanas.html", "URL")</f>
        <v/>
      </c>
      <c r="Q3377">
        <f>HYPERLINK("https://raw.githubusercontent.com/marcosmapl/dataset_imigrantes/main/materias_filtered/g1/venezuelanos/2012/09_out/html/g1_68439d72-2323-11ed-b24f-6dbe51e79fca_3805.html", "HTML")</f>
        <v/>
      </c>
      <c r="R3377">
        <f>HYPERLINK("https://raw.githubusercontent.com/marcosmapl/dataset_imigrantes/main/materias_filtered/g1/venezuelanos/2012/09_out/txt/g1_68439d72-2323-11ed-b24f-6dbe51e79fca_3805.txt", "TXT")</f>
        <v/>
      </c>
    </row>
    <row r="3378">
      <c r="A3378" s="1" t="n">
        <v>3376</v>
      </c>
      <c r="B3378" t="n">
        <v>2012</v>
      </c>
      <c r="C3378" s="2" t="n">
        <v>41201.29166666666</v>
      </c>
      <c r="D3378" t="inlineStr">
        <is>
          <t>G1</t>
        </is>
      </c>
      <c r="E3378" t="inlineStr">
        <is>
          <t>HAITIANOS</t>
        </is>
      </c>
      <c r="F3378" t="inlineStr"/>
      <c r="G3378" t="inlineStr">
        <is>
          <t>ETE DAMASCENO E LARISSA MATARÉSIODO G1 RO</t>
        </is>
      </c>
      <c r="H3378" t="inlineStr">
        <is>
          <t>GRÁVIDA, HAITIANA SONHA QUE FILHO SEJA JOGADOR DE FUTEBOL NO BRASIL</t>
        </is>
      </c>
      <c r="I3378" t="inlineStr"/>
      <c r="J3378" t="inlineStr">
        <is>
          <t>ACRE, BOLÍVIA, EQUADOR, HAITI, PERU, RONDÔNIA, PORTO VELHO</t>
        </is>
      </c>
      <c r="K3378" t="n">
        <v>7</v>
      </c>
      <c r="L3378" t="n">
        <v>7</v>
      </c>
      <c r="M3378" t="n">
        <v>0</v>
      </c>
      <c r="N3378" t="n">
        <v>0</v>
      </c>
      <c r="O3378" t="n">
        <v>23</v>
      </c>
      <c r="P3378">
        <f>HYPERLINK("http://g1.globo.com/ro/rondonia/noticia/2012/10/gravida-haitiana-sonha-que-filho-seja-jogador-de-futebol-no-brasil.html", "URL")</f>
        <v/>
      </c>
      <c r="Q3378">
        <f>HYPERLINK("https://raw.githubusercontent.com/marcosmapl/dataset_imigrantes/main/materias_filtered/g1/haitianos/2012/09_out/html/g1_cc29da44-22ed-11ed-b24f-6dbe51e79fca_1688.html", "HTML")</f>
        <v/>
      </c>
      <c r="R3378">
        <f>HYPERLINK("https://raw.githubusercontent.com/marcosmapl/dataset_imigrantes/main/materias_filtered/g1/haitianos/2012/09_out/txt/g1_cc29da44-22ed-11ed-b24f-6dbe51e79fca_1688.txt", "TXT")</f>
        <v/>
      </c>
    </row>
    <row r="3379">
      <c r="A3379" s="1" t="n">
        <v>3377</v>
      </c>
      <c r="B3379" t="n">
        <v>2012</v>
      </c>
      <c r="C3379" s="2" t="n">
        <v>41200.88719907407</v>
      </c>
      <c r="D3379" t="inlineStr">
        <is>
          <t>A CRITICA</t>
        </is>
      </c>
      <c r="E3379" t="inlineStr">
        <is>
          <t>HAITIANOS</t>
        </is>
      </c>
      <c r="F3379" t="inlineStr"/>
      <c r="G3379" t="inlineStr">
        <is>
          <t>ACRITICA.COM*</t>
        </is>
      </c>
      <c r="H3379" t="inlineStr">
        <is>
          <t>AUTORIZAÇÃO DE TRABALHO PARA ESTRANGEIRO CRESCEM 5% EM NOVE MESES DE 2012</t>
        </is>
      </c>
      <c r="I3379" t="inlineStr">
        <is>
          <t>DE JANEIRO A OUTUBRO O MTE CONCEDEU 55.009 AUTORIZAÇÕES. VISTOS PARA ESPECIALISTAS, TÉCNICOS E HUMANITÁRIOS A HAITIANOS CONTRIBUÍRAM MAIS PARA ESSE CRESCIMENTO</t>
        </is>
      </c>
      <c r="J3379" t="inlineStr"/>
      <c r="K3379" t="n">
        <v>0</v>
      </c>
      <c r="L3379" t="n">
        <v>1</v>
      </c>
      <c r="M3379" t="n">
        <v>0</v>
      </c>
      <c r="N3379" t="n">
        <v>0</v>
      </c>
      <c r="O3379" t="n">
        <v>0</v>
      </c>
      <c r="P3379">
        <f>HYPERLINK("https://www.acritica.com/autorizac-o-de-trabalho-para-estrangeiro-crescem-5-em-nove-meses-de-2012-1.145951", "URL")</f>
        <v/>
      </c>
      <c r="Q3379">
        <f>HYPERLINK("https://raw.githubusercontent.com/marcosmapl/dataset_imigrantes/main/materias_filtered/a_critica/haitianos/2012/09_out/html/1.145951_634.html", "HTML")</f>
        <v/>
      </c>
      <c r="R3379">
        <f>HYPERLINK("https://raw.githubusercontent.com/marcosmapl/dataset_imigrantes/main/materias_filtered/a_critica/haitianos/2012/09_out/txt/1.145951_634.txt", "TXT")</f>
        <v/>
      </c>
    </row>
    <row r="3380">
      <c r="A3380" s="1" t="n">
        <v>3378</v>
      </c>
      <c r="B3380" t="n">
        <v>2012</v>
      </c>
      <c r="C3380" s="2" t="n">
        <v>41199.74166666667</v>
      </c>
      <c r="D3380" t="inlineStr">
        <is>
          <t>G1</t>
        </is>
      </c>
      <c r="E3380" t="inlineStr">
        <is>
          <t>VENEZUELANOS</t>
        </is>
      </c>
      <c r="F3380" t="inlineStr"/>
      <c r="G3380" t="inlineStr">
        <is>
          <t>CIA EFE</t>
        </is>
      </c>
      <c r="H3380" t="inlineStr">
        <is>
          <t>VENEZUELANA CONVIASA AMPLIARÁ DESTINOS INTERNACIONAIS COM AVIÕES DA EMBRAER</t>
        </is>
      </c>
      <c r="I3380" t="inlineStr"/>
      <c r="J3380" t="inlineStr"/>
      <c r="K3380" t="n">
        <v>0</v>
      </c>
      <c r="L3380" t="n">
        <v>1</v>
      </c>
      <c r="M3380" t="n">
        <v>0</v>
      </c>
      <c r="N3380" t="n">
        <v>0</v>
      </c>
      <c r="O3380" t="n">
        <v>4</v>
      </c>
      <c r="P3380">
        <f>HYPERLINK("http://g1.globo.com/mundo/noticia/2012/10/venezuelana-conviasa-ampliara-destinos-internacionais-com-avioes-da-embraer.html", "URL")</f>
        <v/>
      </c>
      <c r="Q3380">
        <f>HYPERLINK("https://raw.githubusercontent.com/marcosmapl/dataset_imigrantes/main/materias_filtered/g1/venezuelanos/2012/09_out/html/g1_fff82c9c-230e-11ed-b24f-6dbe51e79fca_2772.html", "HTML")</f>
        <v/>
      </c>
      <c r="R3380">
        <f>HYPERLINK("https://raw.githubusercontent.com/marcosmapl/dataset_imigrantes/main/materias_filtered/g1/venezuelanos/2012/09_out/txt/g1_fff82c9c-230e-11ed-b24f-6dbe51e79fca_2772.txt", "TXT")</f>
        <v/>
      </c>
    </row>
    <row r="3381">
      <c r="A3381" s="1" t="n">
        <v>3379</v>
      </c>
      <c r="B3381" t="n">
        <v>2012</v>
      </c>
      <c r="C3381" s="2" t="n">
        <v>41199.71875</v>
      </c>
      <c r="D3381" t="inlineStr">
        <is>
          <t>G1</t>
        </is>
      </c>
      <c r="E3381" t="inlineStr">
        <is>
          <t>HAITIANOS</t>
        </is>
      </c>
      <c r="F3381" t="inlineStr"/>
      <c r="G3381" t="inlineStr">
        <is>
          <t>CE PRESSE</t>
        </is>
      </c>
      <c r="H3381" t="inlineStr">
        <is>
          <t>MILHARES DE HAITIANOS PROTESTAM CONTRA O GOVERNO</t>
        </is>
      </c>
      <c r="I3381" t="inlineStr"/>
      <c r="J3381" t="inlineStr"/>
      <c r="K3381" t="n">
        <v>0</v>
      </c>
      <c r="L3381" t="n">
        <v>1</v>
      </c>
      <c r="M3381" t="n">
        <v>0</v>
      </c>
      <c r="N3381" t="n">
        <v>0</v>
      </c>
      <c r="O3381" t="n">
        <v>4</v>
      </c>
      <c r="P3381">
        <f>HYPERLINK("http://g1.globo.com/mundo/noticia/2012/10/milhares-de-haitianos-protestam-contra-o-governo.html", "URL")</f>
        <v/>
      </c>
      <c r="Q3381">
        <f>HYPERLINK("https://raw.githubusercontent.com/marcosmapl/dataset_imigrantes/main/materias_filtered/g1/haitianos/2012/09_out/html/g1_5748ebf8-22f6-11ed-b24f-6dbe51e79fca_2008.html", "HTML")</f>
        <v/>
      </c>
      <c r="R3381">
        <f>HYPERLINK("https://raw.githubusercontent.com/marcosmapl/dataset_imigrantes/main/materias_filtered/g1/haitianos/2012/09_out/txt/g1_5748ebf8-22f6-11ed-b24f-6dbe51e79fca_2008.txt", "TXT")</f>
        <v/>
      </c>
    </row>
    <row r="3382">
      <c r="A3382" s="1" t="n">
        <v>3380</v>
      </c>
      <c r="B3382" t="n">
        <v>2012</v>
      </c>
      <c r="C3382" s="2" t="n">
        <v>41194.54930555556</v>
      </c>
      <c r="D3382" t="inlineStr">
        <is>
          <t>G1</t>
        </is>
      </c>
      <c r="E3382" t="inlineStr">
        <is>
          <t>VENEZUELANOS</t>
        </is>
      </c>
      <c r="F3382" t="inlineStr"/>
      <c r="G3382" t="inlineStr"/>
      <c r="H3382" t="inlineStr">
        <is>
          <t>ELEIÇÕES VENEZUELANAS E INFLAÇÃO: VEJA OS COMENTÁRIOS DE MIRIAM LEITÃO</t>
        </is>
      </c>
      <c r="I3382" t="inlineStr"/>
      <c r="J3382" t="inlineStr"/>
      <c r="K3382" t="n">
        <v>0</v>
      </c>
      <c r="L3382" t="n">
        <v>0</v>
      </c>
      <c r="M3382" t="n">
        <v>0</v>
      </c>
      <c r="N3382" t="n">
        <v>0</v>
      </c>
      <c r="O3382" t="n">
        <v>4</v>
      </c>
      <c r="P3382">
        <f>HYPERLINK("http://g1.globo.com/bom-dia-brasil/noticia/2012/10/eleicoes-venezuelanas-e-inflacao-veja-os-comentarios-de-miriam-leitao.html", "URL")</f>
        <v/>
      </c>
      <c r="Q3382">
        <f>HYPERLINK("https://raw.githubusercontent.com/marcosmapl/dataset_imigrantes/main/materias_filtered/g1/venezuelanos/2012/09_out/html/g1_45f24a16-230f-11ed-b24f-6dbe51e79fca_2787.html", "HTML")</f>
        <v/>
      </c>
      <c r="R3382">
        <f>HYPERLINK("https://raw.githubusercontent.com/marcosmapl/dataset_imigrantes/main/materias_filtered/g1/venezuelanos/2012/09_out/txt/g1_45f24a16-230f-11ed-b24f-6dbe51e79fca_2787.txt", "TXT")</f>
        <v/>
      </c>
    </row>
    <row r="3383">
      <c r="A3383" s="1" t="n">
        <v>3381</v>
      </c>
      <c r="B3383" t="n">
        <v>2012</v>
      </c>
      <c r="C3383" s="2" t="n">
        <v>41192.79583333333</v>
      </c>
      <c r="D3383" t="inlineStr">
        <is>
          <t>G1</t>
        </is>
      </c>
      <c r="E3383" t="inlineStr">
        <is>
          <t>HAITIANOS</t>
        </is>
      </c>
      <c r="F3383" t="inlineStr"/>
      <c r="G3383" t="inlineStr">
        <is>
          <t>1 RO</t>
        </is>
      </c>
      <c r="H3383" t="inlineStr">
        <is>
          <t>HAITIANOS SE ENVOLVEM EM CONFUSÃO POR SALÁRIO ATRASADO EM PORTO VELHO</t>
        </is>
      </c>
      <c r="I3383" t="inlineStr"/>
      <c r="J3383" t="inlineStr">
        <is>
          <t>PORTO VELHO</t>
        </is>
      </c>
      <c r="K3383" t="n">
        <v>1</v>
      </c>
      <c r="L3383" t="n">
        <v>5</v>
      </c>
      <c r="M3383" t="n">
        <v>0</v>
      </c>
      <c r="N3383" t="n">
        <v>0</v>
      </c>
      <c r="O3383" t="n">
        <v>14</v>
      </c>
      <c r="P3383">
        <f>HYPERLINK("http://g1.globo.com/ro/rondonia/noticia/2012/10/haitianos-se-envolvem-em-confusao-por-salario-atrasado-em-porto-velho.html", "URL")</f>
        <v/>
      </c>
      <c r="Q3383">
        <f>HYPERLINK("https://raw.githubusercontent.com/marcosmapl/dataset_imigrantes/main/materias_filtered/g1/haitianos/2012/09_out/html/g1_d0475816-22f9-11ed-b24f-6dbe51e79fca_2185.html", "HTML")</f>
        <v/>
      </c>
      <c r="R3383">
        <f>HYPERLINK("https://raw.githubusercontent.com/marcosmapl/dataset_imigrantes/main/materias_filtered/g1/haitianos/2012/09_out/txt/g1_d0475816-22f9-11ed-b24f-6dbe51e79fca_2185.txt", "TXT")</f>
        <v/>
      </c>
    </row>
    <row r="3384">
      <c r="A3384" s="1" t="n">
        <v>3382</v>
      </c>
      <c r="B3384" t="n">
        <v>2012</v>
      </c>
      <c r="C3384" s="2" t="n">
        <v>41191.47013888889</v>
      </c>
      <c r="D3384" t="inlineStr">
        <is>
          <t>G1</t>
        </is>
      </c>
      <c r="E3384" t="inlineStr">
        <is>
          <t>HAITIANOS</t>
        </is>
      </c>
      <c r="F3384" t="inlineStr"/>
      <c r="G3384" t="inlineStr">
        <is>
          <t>1 RO</t>
        </is>
      </c>
      <c r="H3384" t="inlineStr">
        <is>
          <t>USINAS DO RIO MADEIRA TÊM 100 HAITIANOS CONTRATADOS, EM PORTO VELHO</t>
        </is>
      </c>
      <c r="I3384" t="inlineStr"/>
      <c r="J3384" t="inlineStr">
        <is>
          <t>RONDÔNIA, PORTO VELHO</t>
        </is>
      </c>
      <c r="K3384" t="n">
        <v>2</v>
      </c>
      <c r="L3384" t="n">
        <v>3</v>
      </c>
      <c r="M3384" t="n">
        <v>0</v>
      </c>
      <c r="N3384" t="n">
        <v>0</v>
      </c>
      <c r="O3384" t="n">
        <v>16</v>
      </c>
      <c r="P3384">
        <f>HYPERLINK("http://g1.globo.com/ro/rondonia/noticia/2012/10/usinas-do-rio-madeira-tem-100-haitianos-contratados-em-porto-velho.html", "URL")</f>
        <v/>
      </c>
      <c r="Q3384">
        <f>HYPERLINK("https://raw.githubusercontent.com/marcosmapl/dataset_imigrantes/main/materias_filtered/g1/haitianos/2012/09_out/html/g1_30952ecc-22f6-11ed-b24f-6dbe51e79fca_1999.html", "HTML")</f>
        <v/>
      </c>
      <c r="R3384">
        <f>HYPERLINK("https://raw.githubusercontent.com/marcosmapl/dataset_imigrantes/main/materias_filtered/g1/haitianos/2012/09_out/txt/g1_30952ecc-22f6-11ed-b24f-6dbe51e79fca_1999.txt", "TXT")</f>
        <v/>
      </c>
    </row>
    <row r="3385">
      <c r="A3385" s="1" t="n">
        <v>3383</v>
      </c>
      <c r="B3385" t="n">
        <v>2012</v>
      </c>
      <c r="C3385" s="2" t="n">
        <v>41190.82309027778</v>
      </c>
      <c r="D3385" t="inlineStr">
        <is>
          <t>A CRITICA</t>
        </is>
      </c>
      <c r="E3385" t="inlineStr">
        <is>
          <t>VENEZUELANOS</t>
        </is>
      </c>
      <c r="F3385" t="inlineStr"/>
      <c r="G3385" t="inlineStr">
        <is>
          <t>CARINA DOURADO/ENVIADA ESPECIAL DA EBC/RENATA GIRALDI/ AGÊNCIA BRASIL</t>
        </is>
      </c>
      <c r="H3385" t="inlineStr">
        <is>
          <t>SIMPATIZANTES E CORRELIGIONÁRIOS DE CHÁVEZ ESPALHAM CLIMA DE FESTA NAS RUAS DE CARACAS</t>
        </is>
      </c>
      <c r="I3385" t="inlineStr">
        <is>
          <t>ELEITORES DE CHÁVEZ, REELEITO PELA TERCEIRA VEZ PRESIDENTE DA VENEZUELA, ATÉ 2019,  SAÍRAM AS RUAS PARA COMEMORAR A VITÓRIA. NO PAÍS EM QUE O VOTO NÃO É OBRIGATÓRIO, MAIS DE 80% DOS 18,8 MILHÕES DE ELEITORES FORAM ÀS URNAS</t>
        </is>
      </c>
      <c r="J3385" t="inlineStr"/>
      <c r="K3385" t="n">
        <v>0</v>
      </c>
      <c r="L3385" t="n">
        <v>1</v>
      </c>
      <c r="M3385" t="n">
        <v>0</v>
      </c>
      <c r="N3385" t="n">
        <v>0</v>
      </c>
      <c r="O3385" t="n">
        <v>0</v>
      </c>
      <c r="P3385">
        <f>HYPERLINK("https://www.acritica.com/simpatizantes-e-correligionarios-de-chavez-espalham-clima-de-festa-nas-ruas-de-caracas-1.151903", "URL")</f>
        <v/>
      </c>
      <c r="Q3385">
        <f>HYPERLINK("https://raw.githubusercontent.com/marcosmapl/dataset_imigrantes/main/materias_filtered/a_critica/venezuelanos/2012/09_out/html/1.151903_210.html", "HTML")</f>
        <v/>
      </c>
      <c r="R3385">
        <f>HYPERLINK("https://raw.githubusercontent.com/marcosmapl/dataset_imigrantes/main/materias_filtered/a_critica/venezuelanos/2012/09_out/txt/1.151903_210.txt", "TXT")</f>
        <v/>
      </c>
    </row>
    <row r="3386">
      <c r="A3386" s="1" t="n">
        <v>3384</v>
      </c>
      <c r="B3386" t="n">
        <v>2012</v>
      </c>
      <c r="C3386" s="2" t="n">
        <v>41187.58541666667</v>
      </c>
      <c r="D3386" t="inlineStr">
        <is>
          <t>G1</t>
        </is>
      </c>
      <c r="E3386" t="inlineStr">
        <is>
          <t>VENEZUELANOS</t>
        </is>
      </c>
      <c r="F3386" t="inlineStr"/>
      <c r="G3386" t="inlineStr">
        <is>
          <t>CE PRESSE</t>
        </is>
      </c>
      <c r="H3386" t="inlineStr">
        <is>
          <t>OPOSIÇÃO VENEZUELANA FORTALECIDA APOSTA TUDO PARA DERROTAR CHÁVEZ</t>
        </is>
      </c>
      <c r="I3386" t="inlineStr"/>
      <c r="J3386" t="inlineStr"/>
      <c r="K3386" t="n">
        <v>0</v>
      </c>
      <c r="L3386" t="n">
        <v>1</v>
      </c>
      <c r="M3386" t="n">
        <v>0</v>
      </c>
      <c r="N3386" t="n">
        <v>0</v>
      </c>
      <c r="O3386" t="n">
        <v>4</v>
      </c>
      <c r="P3386">
        <f>HYPERLINK("http://g1.globo.com/mundo/noticia/2012/10/oposicao-venezuelana-fortalecida-aposta-tudo-para-derrotar-chavez-1.html", "URL")</f>
        <v/>
      </c>
      <c r="Q3386">
        <f>HYPERLINK("https://raw.githubusercontent.com/marcosmapl/dataset_imigrantes/main/materias_filtered/g1/venezuelanos/2012/09_out/html/g1_b7b9b0f6-232a-11ed-b24f-6dbe51e79fca_4198.html", "HTML")</f>
        <v/>
      </c>
      <c r="R3386">
        <f>HYPERLINK("https://raw.githubusercontent.com/marcosmapl/dataset_imigrantes/main/materias_filtered/g1/venezuelanos/2012/09_out/txt/g1_b7b9b0f6-232a-11ed-b24f-6dbe51e79fca_4198.txt", "TXT")</f>
        <v/>
      </c>
    </row>
    <row r="3387">
      <c r="A3387" s="1" t="n">
        <v>3385</v>
      </c>
      <c r="B3387" t="n">
        <v>2012</v>
      </c>
      <c r="C3387" s="2" t="n">
        <v>41185.45833333334</v>
      </c>
      <c r="D3387" t="inlineStr">
        <is>
          <t>G1</t>
        </is>
      </c>
      <c r="E3387" t="inlineStr">
        <is>
          <t>VENEZUELANOS</t>
        </is>
      </c>
      <c r="F3387" t="inlineStr"/>
      <c r="G3387" t="inlineStr">
        <is>
          <t>CE PRESSE</t>
        </is>
      </c>
      <c r="H3387" t="inlineStr">
        <is>
          <t>OPOSIÇÃO VENEZUELANA FORTALECIDA APOSTA TUDO PARA DERROTAR CHÁVEZ</t>
        </is>
      </c>
      <c r="I3387" t="inlineStr"/>
      <c r="J3387" t="inlineStr"/>
      <c r="K3387" t="n">
        <v>0</v>
      </c>
      <c r="L3387" t="n">
        <v>1</v>
      </c>
      <c r="M3387" t="n">
        <v>0</v>
      </c>
      <c r="N3387" t="n">
        <v>0</v>
      </c>
      <c r="O3387" t="n">
        <v>4</v>
      </c>
      <c r="P3387">
        <f>HYPERLINK("http://g1.globo.com/mundo/noticia/2012/10/oposicao-venezuelana-fortalecida-aposta-tudo-para-derrotar-chavez.html", "URL")</f>
        <v/>
      </c>
      <c r="Q3387">
        <f>HYPERLINK("https://raw.githubusercontent.com/marcosmapl/dataset_imigrantes/main/materias_filtered/g1/venezuelanos/2012/09_out/html/g1_44a6db4e-2310-11ed-b24f-6dbe51e79fca_2850.html", "HTML")</f>
        <v/>
      </c>
      <c r="R3387">
        <f>HYPERLINK("https://raw.githubusercontent.com/marcosmapl/dataset_imigrantes/main/materias_filtered/g1/venezuelanos/2012/09_out/txt/g1_44a6db4e-2310-11ed-b24f-6dbe51e79fca_2850.txt", "TXT")</f>
        <v/>
      </c>
    </row>
    <row r="3388">
      <c r="A3388" s="1" t="n">
        <v>3386</v>
      </c>
      <c r="B3388" t="n">
        <v>2012</v>
      </c>
      <c r="C3388" s="2" t="n">
        <v>41182.53125</v>
      </c>
      <c r="D3388" t="inlineStr">
        <is>
          <t>G1</t>
        </is>
      </c>
      <c r="E3388" t="inlineStr">
        <is>
          <t>VENEZUELANOS</t>
        </is>
      </c>
      <c r="F3388" t="inlineStr"/>
      <c r="G3388" t="inlineStr">
        <is>
          <t>ERS</t>
        </is>
      </c>
      <c r="H3388" t="inlineStr">
        <is>
          <t>DOIS ATIVISTAS DA OPOSIÇÃO VENEZUELANA SÃO MORTOS A TIROS</t>
        </is>
      </c>
      <c r="I3388" t="inlineStr"/>
      <c r="J3388" t="inlineStr"/>
      <c r="K3388" t="n">
        <v>0</v>
      </c>
      <c r="L3388" t="n">
        <v>8</v>
      </c>
      <c r="M3388" t="n">
        <v>0</v>
      </c>
      <c r="N3388" t="n">
        <v>0</v>
      </c>
      <c r="O3388" t="n">
        <v>4</v>
      </c>
      <c r="P3388">
        <f>HYPERLINK("http://g1.globo.com/mundo/noticia/2012/09/dois-ativistas-da-oposicao-venezuelana-sao-mortos-a-tiros-1.html", "URL")</f>
        <v/>
      </c>
      <c r="Q3388">
        <f>HYPERLINK("https://raw.githubusercontent.com/marcosmapl/dataset_imigrantes/main/materias_filtered/g1/venezuelanos/2012/08_set/html/g1_55a9a8ec-2309-11ed-b24f-6dbe51e79fca_2439.html", "HTML")</f>
        <v/>
      </c>
      <c r="R3388">
        <f>HYPERLINK("https://raw.githubusercontent.com/marcosmapl/dataset_imigrantes/main/materias_filtered/g1/venezuelanos/2012/08_set/txt/g1_55a9a8ec-2309-11ed-b24f-6dbe51e79fca_2439.txt", "TXT")</f>
        <v/>
      </c>
    </row>
    <row r="3389">
      <c r="A3389" s="1" t="n">
        <v>3387</v>
      </c>
      <c r="B3389" t="n">
        <v>2012</v>
      </c>
      <c r="C3389" s="2" t="n">
        <v>41180.62569444445</v>
      </c>
      <c r="D3389" t="inlineStr">
        <is>
          <t>G1</t>
        </is>
      </c>
      <c r="E3389" t="inlineStr">
        <is>
          <t>HAITIANOS</t>
        </is>
      </c>
      <c r="F3389" t="inlineStr"/>
      <c r="G3389" t="inlineStr">
        <is>
          <t>1 AM</t>
        </is>
      </c>
      <c r="H3389" t="inlineStr">
        <is>
          <t>OFICINA DISCUTE SITUAÇÃO DOS HAITIANOS NO MERCADO DE TRABALHO NO AM</t>
        </is>
      </c>
      <c r="I3389" t="inlineStr"/>
      <c r="J3389" t="inlineStr">
        <is>
          <t>MANAUS, AMAZONAS</t>
        </is>
      </c>
      <c r="K3389" t="n">
        <v>2</v>
      </c>
      <c r="L3389" t="n">
        <v>4</v>
      </c>
      <c r="M3389" t="n">
        <v>0</v>
      </c>
      <c r="N3389" t="n">
        <v>0</v>
      </c>
      <c r="O3389" t="n">
        <v>17</v>
      </c>
      <c r="P3389">
        <f>HYPERLINK("http://g1.globo.com/am/amazonas/noticia/2012/09/oficina-discute-situacao-dos-haitianos-no-mercado-de-trabalho-no-am.html", "URL")</f>
        <v/>
      </c>
      <c r="Q3389">
        <f>HYPERLINK("https://raw.githubusercontent.com/marcosmapl/dataset_imigrantes/main/materias_filtered/g1/haitianos/2012/08_set/html/g1_5b944a22-22f1-11ed-b24f-6dbe51e79fca_1746.html", "HTML")</f>
        <v/>
      </c>
      <c r="R3389">
        <f>HYPERLINK("https://raw.githubusercontent.com/marcosmapl/dataset_imigrantes/main/materias_filtered/g1/haitianos/2012/08_set/txt/g1_5b944a22-22f1-11ed-b24f-6dbe51e79fca_1746.txt", "TXT")</f>
        <v/>
      </c>
    </row>
    <row r="3390">
      <c r="A3390" s="1" t="n">
        <v>3388</v>
      </c>
      <c r="B3390" t="n">
        <v>2012</v>
      </c>
      <c r="C3390" s="2" t="n">
        <v>41180.62291666667</v>
      </c>
      <c r="D3390" t="inlineStr">
        <is>
          <t>G1</t>
        </is>
      </c>
      <c r="E3390" t="inlineStr">
        <is>
          <t>VENEZUELANOS</t>
        </is>
      </c>
      <c r="F3390" t="inlineStr"/>
      <c r="G3390" t="inlineStr">
        <is>
          <t>CE PRESSE</t>
        </is>
      </c>
      <c r="H3390" t="inlineStr">
        <is>
          <t>CHÁVEZ FAVORITO E CAPRILES EM ASCENSÃO A 9 DIAS DAS ELEIÇÕES VENEZUELANAS</t>
        </is>
      </c>
      <c r="I3390" t="inlineStr"/>
      <c r="J3390" t="inlineStr"/>
      <c r="K3390" t="n">
        <v>0</v>
      </c>
      <c r="L3390" t="n">
        <v>1</v>
      </c>
      <c r="M3390" t="n">
        <v>0</v>
      </c>
      <c r="N3390" t="n">
        <v>0</v>
      </c>
      <c r="O3390" t="n">
        <v>4</v>
      </c>
      <c r="P3390">
        <f>HYPERLINK("http://g1.globo.com/mundo/noticia/2012/09/chavez-favorito-e-capriles-em-ascensao-a-9-dias-das-eleicoes-venezuelanas.html", "URL")</f>
        <v/>
      </c>
      <c r="Q3390">
        <f>HYPERLINK("https://raw.githubusercontent.com/marcosmapl/dataset_imigrantes/main/materias_filtered/g1/venezuelanos/2012/08_set/html/g1_73a3f434-230d-11ed-b24f-6dbe51e79fca_2688.html", "HTML")</f>
        <v/>
      </c>
      <c r="R3390">
        <f>HYPERLINK("https://raw.githubusercontent.com/marcosmapl/dataset_imigrantes/main/materias_filtered/g1/venezuelanos/2012/08_set/txt/g1_73a3f434-230d-11ed-b24f-6dbe51e79fca_2688.txt", "TXT")</f>
        <v/>
      </c>
    </row>
    <row r="3391">
      <c r="A3391" s="1" t="n">
        <v>3389</v>
      </c>
      <c r="B3391" t="n">
        <v>2012</v>
      </c>
      <c r="C3391" s="2" t="n">
        <v>41178.83958333333</v>
      </c>
      <c r="D3391" t="inlineStr">
        <is>
          <t>G1</t>
        </is>
      </c>
      <c r="E3391" t="inlineStr">
        <is>
          <t>VENEZUELANOS</t>
        </is>
      </c>
      <c r="F3391" t="inlineStr"/>
      <c r="G3391" t="inlineStr">
        <is>
          <t>EUTERS</t>
        </is>
      </c>
      <c r="H3391" t="inlineStr">
        <is>
          <t>NA RETA FINAL DA CAMPANHA, PESQUISAS VENEZUELANAS SE CONTRADIZEM</t>
        </is>
      </c>
      <c r="I3391" t="inlineStr"/>
      <c r="J3391" t="inlineStr">
        <is>
          <t>HENRIQUE CAPRILES, HUGO CHÁVEZ, VENEZUELA</t>
        </is>
      </c>
      <c r="K3391" t="n">
        <v>3</v>
      </c>
      <c r="L3391" t="n">
        <v>6</v>
      </c>
      <c r="M3391" t="n">
        <v>0</v>
      </c>
      <c r="N3391" t="n">
        <v>0</v>
      </c>
      <c r="O3391" t="n">
        <v>12</v>
      </c>
      <c r="P3391">
        <f>HYPERLINK("http://g1.globo.com/mundo/noticia/2012/09/na-reta-final-da-campanha-pesquisas-venezuelanas-se-contradizem.html", "URL")</f>
        <v/>
      </c>
      <c r="Q3391">
        <f>HYPERLINK("https://raw.githubusercontent.com/marcosmapl/dataset_imigrantes/main/materias_filtered/g1/venezuelanos/2012/08_set/html/g1_d08850dc-231c-11ed-b24f-6dbe51e79fca_3466.html", "HTML")</f>
        <v/>
      </c>
      <c r="R3391">
        <f>HYPERLINK("https://raw.githubusercontent.com/marcosmapl/dataset_imigrantes/main/materias_filtered/g1/venezuelanos/2012/08_set/txt/g1_d08850dc-231c-11ed-b24f-6dbe51e79fca_3466.txt", "TXT")</f>
        <v/>
      </c>
    </row>
    <row r="3392">
      <c r="A3392" s="1" t="n">
        <v>3390</v>
      </c>
      <c r="B3392" t="n">
        <v>2012</v>
      </c>
      <c r="C3392" s="2" t="n">
        <v>41177.77777777778</v>
      </c>
      <c r="D3392" t="inlineStr">
        <is>
          <t>G1</t>
        </is>
      </c>
      <c r="E3392" t="inlineStr">
        <is>
          <t>HAITIANOS</t>
        </is>
      </c>
      <c r="F3392" t="inlineStr"/>
      <c r="G3392" t="inlineStr">
        <is>
          <t>1 ITAPETININGA E REGIÃO</t>
        </is>
      </c>
      <c r="H3392" t="inlineStr">
        <is>
          <t>HAITIANO QUE ESTAVA DESAPARECIDO RETORNA AO CONSERVATÓRIO DE TATUÍ, SP</t>
        </is>
      </c>
      <c r="I3392" t="inlineStr"/>
      <c r="J3392" t="inlineStr">
        <is>
          <t>TATUÍ</t>
        </is>
      </c>
      <c r="K3392" t="n">
        <v>1</v>
      </c>
      <c r="L3392" t="n">
        <v>5</v>
      </c>
      <c r="M3392" t="n">
        <v>0</v>
      </c>
      <c r="N3392" t="n">
        <v>0</v>
      </c>
      <c r="O3392" t="n">
        <v>13</v>
      </c>
      <c r="P3392">
        <f>HYPERLINK("http://g1.globo.com/sao-paulo/itapetininga-regiao/noticia/2012/09/haitiano-que-estava-desaparecido-retorna-ao-conservatorio-de-tatui-sp.html", "URL")</f>
        <v/>
      </c>
      <c r="Q3392">
        <f>HYPERLINK("https://raw.githubusercontent.com/marcosmapl/dataset_imigrantes/main/materias_filtered/g1/haitianos/2012/08_set/html/g1_c9250baa-2321-11ed-b24f-6dbe51e79fca_3718.html", "HTML")</f>
        <v/>
      </c>
      <c r="R3392">
        <f>HYPERLINK("https://raw.githubusercontent.com/marcosmapl/dataset_imigrantes/main/materias_filtered/g1/haitianos/2012/08_set/txt/g1_c9250baa-2321-11ed-b24f-6dbe51e79fca_3718.txt", "TXT")</f>
        <v/>
      </c>
    </row>
    <row r="3393">
      <c r="A3393" s="1" t="n">
        <v>3391</v>
      </c>
      <c r="B3393" t="n">
        <v>2012</v>
      </c>
      <c r="C3393" s="2" t="n">
        <v>41176.76875</v>
      </c>
      <c r="D3393" t="inlineStr">
        <is>
          <t>G1</t>
        </is>
      </c>
      <c r="E3393" t="inlineStr">
        <is>
          <t>HAITIANOS</t>
        </is>
      </c>
      <c r="F3393" t="inlineStr"/>
      <c r="G3393" t="inlineStr">
        <is>
          <t>ERS</t>
        </is>
      </c>
      <c r="H3393" t="inlineStr">
        <is>
          <t>JUSTIÇA URUGUAIA PROCESSA FUZILEIROS POR ABUSO A HAITIANO</t>
        </is>
      </c>
      <c r="I3393" t="inlineStr"/>
      <c r="J3393" t="inlineStr"/>
      <c r="K3393" t="n">
        <v>0</v>
      </c>
      <c r="L3393" t="n">
        <v>1</v>
      </c>
      <c r="M3393" t="n">
        <v>0</v>
      </c>
      <c r="N3393" t="n">
        <v>0</v>
      </c>
      <c r="O3393" t="n">
        <v>4</v>
      </c>
      <c r="P3393">
        <f>HYPERLINK("http://g1.globo.com/mundo/noticia/2012/09/justica-uruguaia-processa-fuzileiros-por-abuso-a-haitiano.html", "URL")</f>
        <v/>
      </c>
      <c r="Q3393">
        <f>HYPERLINK("https://raw.githubusercontent.com/marcosmapl/dataset_imigrantes/main/materias_filtered/g1/haitianos/2012/08_set/html/g1_853ac5a0-2327-11ed-b24f-6dbe51e79fca_4038.html", "HTML")</f>
        <v/>
      </c>
      <c r="R3393">
        <f>HYPERLINK("https://raw.githubusercontent.com/marcosmapl/dataset_imigrantes/main/materias_filtered/g1/haitianos/2012/08_set/txt/g1_853ac5a0-2327-11ed-b24f-6dbe51e79fca_4038.txt", "TXT")</f>
        <v/>
      </c>
    </row>
    <row r="3394">
      <c r="A3394" s="1" t="n">
        <v>3392</v>
      </c>
      <c r="B3394" t="n">
        <v>2012</v>
      </c>
      <c r="C3394" s="2" t="n">
        <v>41172.47291666667</v>
      </c>
      <c r="D3394" t="inlineStr">
        <is>
          <t>G1</t>
        </is>
      </c>
      <c r="E3394" t="inlineStr">
        <is>
          <t>VENEZUELANOS</t>
        </is>
      </c>
      <c r="F3394" t="inlineStr"/>
      <c r="G3394" t="inlineStr">
        <is>
          <t>CE PRESSE</t>
        </is>
      </c>
      <c r="H3394" t="inlineStr">
        <is>
          <t>INCÊNDIO EM REFINARIA VENEZUELANA SERÁ EXTINTO NAS PRÓXIMAS HORAS</t>
        </is>
      </c>
      <c r="I3394" t="inlineStr"/>
      <c r="J3394" t="inlineStr"/>
      <c r="K3394" t="n">
        <v>0</v>
      </c>
      <c r="L3394" t="n">
        <v>1</v>
      </c>
      <c r="M3394" t="n">
        <v>0</v>
      </c>
      <c r="N3394" t="n">
        <v>0</v>
      </c>
      <c r="O3394" t="n">
        <v>4</v>
      </c>
      <c r="P3394">
        <f>HYPERLINK("http://g1.globo.com/mundo/noticia/2012/09/incendio-em-refinaria-venezuelana-sera-extinto-nas-proximas-horas.html", "URL")</f>
        <v/>
      </c>
      <c r="Q3394">
        <f>HYPERLINK("https://raw.githubusercontent.com/marcosmapl/dataset_imigrantes/main/materias_filtered/g1/venezuelanos/2012/08_set/html/g1_c927160a-231e-11ed-b24f-6dbe51e79fca_3585.html", "HTML")</f>
        <v/>
      </c>
      <c r="R3394">
        <f>HYPERLINK("https://raw.githubusercontent.com/marcosmapl/dataset_imigrantes/main/materias_filtered/g1/venezuelanos/2012/08_set/txt/g1_c927160a-231e-11ed-b24f-6dbe51e79fca_3585.txt", "TXT")</f>
        <v/>
      </c>
    </row>
    <row r="3395">
      <c r="A3395" s="1" t="n">
        <v>3393</v>
      </c>
      <c r="B3395" t="n">
        <v>2012</v>
      </c>
      <c r="C3395" s="2" t="n">
        <v>41171.88178240741</v>
      </c>
      <c r="D3395" t="inlineStr">
        <is>
          <t>A CRITICA</t>
        </is>
      </c>
      <c r="E3395" t="inlineStr">
        <is>
          <t>HAITIANOS</t>
        </is>
      </c>
      <c r="F3395" t="inlineStr"/>
      <c r="G3395" t="inlineStr">
        <is>
          <t>MARCOS CHAGAS/AGÊNCIA BRASIL</t>
        </is>
      </c>
      <c r="H3395" t="inlineStr">
        <is>
          <t>HAITIANOS DEVEM RECEBER ATÉ SEXTA-FEIRA PROTOCOLOS PARA OBTER DOCUMENTOS NO BRASIL</t>
        </is>
      </c>
      <c r="I3395" t="inlineStr">
        <is>
          <t>O PROTOCOLO AUTORIZA O IMIGRANTE HAITIANO A CONSEGUIR OS DOCUMENTOS POR PRAZO INICIAL DE 180 DIAS, QUE PODE SER PRORROGADO.</t>
        </is>
      </c>
      <c r="J3395" t="inlineStr"/>
      <c r="K3395" t="n">
        <v>0</v>
      </c>
      <c r="L3395" t="n">
        <v>1</v>
      </c>
      <c r="M3395" t="n">
        <v>0</v>
      </c>
      <c r="N3395" t="n">
        <v>0</v>
      </c>
      <c r="O3395" t="n">
        <v>0</v>
      </c>
      <c r="P3395">
        <f>HYPERLINK("https://www.acritica.com/haitianos-devem-receber-ate-sexta-feira-protocolos-para-obter-documentos-no-brasil-1.125198", "URL")</f>
        <v/>
      </c>
      <c r="Q3395">
        <f>HYPERLINK("https://raw.githubusercontent.com/marcosmapl/dataset_imigrantes/main/materias_filtered/a_critica/haitianos/2012/08_set/html/1.125198_875.html", "HTML")</f>
        <v/>
      </c>
      <c r="R3395">
        <f>HYPERLINK("https://raw.githubusercontent.com/marcosmapl/dataset_imigrantes/main/materias_filtered/a_critica/haitianos/2012/08_set/txt/1.125198_875.txt", "TXT")</f>
        <v/>
      </c>
    </row>
    <row r="3396">
      <c r="A3396" s="1" t="n">
        <v>3394</v>
      </c>
      <c r="B3396" t="n">
        <v>2012</v>
      </c>
      <c r="C3396" s="2" t="n">
        <v>41170.87430555555</v>
      </c>
      <c r="D3396" t="inlineStr">
        <is>
          <t>G1</t>
        </is>
      </c>
      <c r="E3396" t="inlineStr">
        <is>
          <t>HAITIANOS</t>
        </is>
      </c>
      <c r="F3396" t="inlineStr"/>
      <c r="G3396" t="inlineStr"/>
      <c r="H3396" t="inlineStr">
        <is>
          <t>IMIGRANTES HAITIANOS VOLTAM A ENTRAR ILEGALMENTE NO BRASIL</t>
        </is>
      </c>
      <c r="I3396" t="inlineStr"/>
      <c r="J3396" t="inlineStr">
        <is>
          <t>ACRE</t>
        </is>
      </c>
      <c r="K3396" t="n">
        <v>1</v>
      </c>
      <c r="L3396" t="n">
        <v>3</v>
      </c>
      <c r="M3396" t="n">
        <v>0</v>
      </c>
      <c r="N3396" t="n">
        <v>0</v>
      </c>
      <c r="O3396" t="n">
        <v>10</v>
      </c>
      <c r="P3396">
        <f>HYPERLINK("http://g1.globo.com/jornal-nacional/noticia/2012/09/imigrantes-haitianos-voltam-entrar-ilegalmente-no-brasil.html", "URL")</f>
        <v/>
      </c>
      <c r="Q3396">
        <f>HYPERLINK("https://raw.githubusercontent.com/marcosmapl/dataset_imigrantes/main/materias_filtered/g1/haitianos/2012/08_set/html/g1_632d2bb4-22f6-11ed-b24f-6dbe51e79fca_2010.html", "HTML")</f>
        <v/>
      </c>
      <c r="R3396">
        <f>HYPERLINK("https://raw.githubusercontent.com/marcosmapl/dataset_imigrantes/main/materias_filtered/g1/haitianos/2012/08_set/txt/g1_632d2bb4-22f6-11ed-b24f-6dbe51e79fca_2010.txt", "TXT")</f>
        <v/>
      </c>
    </row>
    <row r="3397">
      <c r="A3397" s="1" t="n">
        <v>3395</v>
      </c>
      <c r="B3397" t="n">
        <v>2012</v>
      </c>
      <c r="C3397" s="2" t="n">
        <v>41170.62387731481</v>
      </c>
      <c r="D3397" t="inlineStr">
        <is>
          <t>A CRITICA</t>
        </is>
      </c>
      <c r="E3397" t="inlineStr">
        <is>
          <t>VENEZUELANOS</t>
        </is>
      </c>
      <c r="F3397" t="inlineStr">
        <is>
          <t>ESPORTES</t>
        </is>
      </c>
      <c r="G3397" t="inlineStr">
        <is>
          <t>ACRÍTICA.COM</t>
        </is>
      </c>
      <c r="H3397" t="inlineStr">
        <is>
          <t>PERMANÊNCIA DE BRUNO SENNA NA EQUIPE DA WILLIAMS EM 2013 É INCERTA</t>
        </is>
      </c>
      <c r="I3397" t="inlineStr">
        <is>
          <t>O PILOTO BRASILEIRO OCUPA A 16ª POSIÇÃO NO CAMPEONATO E SUA MELHOR COLOCAÇÃO FOI UM SEXTO LUGAR NO GP DA MALÁSIA, SEGUNDO DA TEMPORADA</t>
        </is>
      </c>
      <c r="J3397" t="inlineStr"/>
      <c r="K3397" t="n">
        <v>0</v>
      </c>
      <c r="L3397" t="n">
        <v>1</v>
      </c>
      <c r="M3397" t="n">
        <v>0</v>
      </c>
      <c r="N3397" t="n">
        <v>0</v>
      </c>
      <c r="O3397" t="n">
        <v>0</v>
      </c>
      <c r="P3397">
        <f>HYPERLINK("https://www.acritica.com/esportes/permanencia-de-bruno-senna-na-equipe-da-williams-em-2013-e-incerta-1.123429", "URL")</f>
        <v/>
      </c>
      <c r="Q3397">
        <f>HYPERLINK("https://raw.githubusercontent.com/marcosmapl/dataset_imigrantes/main/materias_filtered/a_critica/venezuelanos/2012/08_set/html/1.123429_1333.html", "HTML")</f>
        <v/>
      </c>
      <c r="R3397">
        <f>HYPERLINK("https://raw.githubusercontent.com/marcosmapl/dataset_imigrantes/main/materias_filtered/a_critica/venezuelanos/2012/08_set/txt/1.123429_1333.txt", "TXT")</f>
        <v/>
      </c>
    </row>
    <row r="3398">
      <c r="A3398" s="1" t="n">
        <v>3396</v>
      </c>
      <c r="B3398" t="n">
        <v>2012</v>
      </c>
      <c r="C3398" s="2" t="n">
        <v>41169.54791666667</v>
      </c>
      <c r="D3398" t="inlineStr">
        <is>
          <t>G1</t>
        </is>
      </c>
      <c r="E3398" t="inlineStr">
        <is>
          <t>HAITIANOS</t>
        </is>
      </c>
      <c r="F3398" t="inlineStr"/>
      <c r="G3398" t="inlineStr">
        <is>
          <t>CIA EFE</t>
        </is>
      </c>
      <c r="H3398" t="inlineStr">
        <is>
          <t>DEPUTADA DIZ QUE FLUXO DE HAITIANOS ILEGAIS SEGUE INTENSO NO BRASIL</t>
        </is>
      </c>
      <c r="I3398" t="inlineStr"/>
      <c r="J3398" t="inlineStr"/>
      <c r="K3398" t="n">
        <v>0</v>
      </c>
      <c r="L3398" t="n">
        <v>1</v>
      </c>
      <c r="M3398" t="n">
        <v>0</v>
      </c>
      <c r="N3398" t="n">
        <v>0</v>
      </c>
      <c r="O3398" t="n">
        <v>4</v>
      </c>
      <c r="P3398">
        <f>HYPERLINK("http://g1.globo.com/mundo/noticia/2012/09/deputada-diz-que-fluxo-de-haitianos-ilegais-segue-intenso-no-brasil.html", "URL")</f>
        <v/>
      </c>
      <c r="Q3398">
        <f>HYPERLINK("https://raw.githubusercontent.com/marcosmapl/dataset_imigrantes/main/materias_filtered/g1/haitianos/2012/08_set/html/g1_827ba96a-22fa-11ed-b24f-6dbe51e79fca_2224.html", "HTML")</f>
        <v/>
      </c>
      <c r="R3398">
        <f>HYPERLINK("https://raw.githubusercontent.com/marcosmapl/dataset_imigrantes/main/materias_filtered/g1/haitianos/2012/08_set/txt/g1_827ba96a-22fa-11ed-b24f-6dbe51e79fca_2224.txt", "TXT")</f>
        <v/>
      </c>
    </row>
    <row r="3399">
      <c r="A3399" s="1" t="n">
        <v>3397</v>
      </c>
      <c r="B3399" t="n">
        <v>2012</v>
      </c>
      <c r="C3399" s="2" t="n">
        <v>41166.85</v>
      </c>
      <c r="D3399" t="inlineStr">
        <is>
          <t>G1</t>
        </is>
      </c>
      <c r="E3399" t="inlineStr">
        <is>
          <t>VENEZUELANOS</t>
        </is>
      </c>
      <c r="F3399" t="inlineStr"/>
      <c r="G3399" t="inlineStr">
        <is>
          <t>ERS</t>
        </is>
      </c>
      <c r="H3399" t="inlineStr">
        <is>
          <t>CORRUPÇÃO DOMINA CAMPANHA VENEZUELANA APÓS VÍDEO COM OPOSICIONISTA</t>
        </is>
      </c>
      <c r="I3399" t="inlineStr"/>
      <c r="J3399" t="inlineStr"/>
      <c r="K3399" t="n">
        <v>0</v>
      </c>
      <c r="L3399" t="n">
        <v>1</v>
      </c>
      <c r="M3399" t="n">
        <v>0</v>
      </c>
      <c r="N3399" t="n">
        <v>0</v>
      </c>
      <c r="O3399" t="n">
        <v>4</v>
      </c>
      <c r="P3399">
        <f>HYPERLINK("http://g1.globo.com/mundo/noticia/2012/09/corrupcao-domina-campanha-venezuelana-apos-video-com-oposicionista.html", "URL")</f>
        <v/>
      </c>
      <c r="Q3399">
        <f>HYPERLINK("https://raw.githubusercontent.com/marcosmapl/dataset_imigrantes/main/materias_filtered/g1/venezuelanos/2012/08_set/html/g1_a25efebc-231d-11ed-b24f-6dbe51e79fca_3511.html", "HTML")</f>
        <v/>
      </c>
      <c r="R3399">
        <f>HYPERLINK("https://raw.githubusercontent.com/marcosmapl/dataset_imigrantes/main/materias_filtered/g1/venezuelanos/2012/08_set/txt/g1_a25efebc-231d-11ed-b24f-6dbe51e79fca_3511.txt", "TXT")</f>
        <v/>
      </c>
    </row>
    <row r="3400">
      <c r="A3400" s="1" t="n">
        <v>3398</v>
      </c>
      <c r="B3400" t="n">
        <v>2012</v>
      </c>
      <c r="C3400" s="2" t="n">
        <v>41166.73815972222</v>
      </c>
      <c r="D3400" t="inlineStr">
        <is>
          <t>A CRITICA</t>
        </is>
      </c>
      <c r="E3400" t="inlineStr">
        <is>
          <t>HAITIANOS</t>
        </is>
      </c>
      <c r="F3400" t="inlineStr"/>
      <c r="G3400" t="inlineStr">
        <is>
          <t>MARCOS CHAGAS/ AGÊNCIA BRASIL</t>
        </is>
      </c>
      <c r="H3400" t="inlineStr">
        <is>
          <t>HAITIANOS AMEAÇAM MANTER REPRESENTANTE DO GOVERNO DO ACRE SOB CÁRCERE PRIVADO</t>
        </is>
      </c>
      <c r="I3400" t="inlineStr">
        <is>
          <t>OS IMIGRANTES CONDICIONAM O CÁRCERE DO REPRESENTANTE DO GOVERNO À EXIGÊNCIA PARA QUE POLÍCIA FEDERAL EMITA ATÉ DIA 17 O VISTO DE ENTRADA DELES NO PAÍS</t>
        </is>
      </c>
      <c r="J3400" t="inlineStr"/>
      <c r="K3400" t="n">
        <v>0</v>
      </c>
      <c r="L3400" t="n">
        <v>1</v>
      </c>
      <c r="M3400" t="n">
        <v>0</v>
      </c>
      <c r="N3400" t="n">
        <v>0</v>
      </c>
      <c r="O3400" t="n">
        <v>2</v>
      </c>
      <c r="P3400">
        <f>HYPERLINK("https://www.acritica.com/haitianos-ameacam-manter-representante-do-governo-do-acre-sob-carcere-privado-1.124016", "URL")</f>
        <v/>
      </c>
      <c r="Q3400">
        <f>HYPERLINK("https://raw.githubusercontent.com/marcosmapl/dataset_imigrantes/main/materias_filtered/a_critica/haitianos/2012/08_set/html/1.124016_673.html", "HTML")</f>
        <v/>
      </c>
      <c r="R3400">
        <f>HYPERLINK("https://raw.githubusercontent.com/marcosmapl/dataset_imigrantes/main/materias_filtered/a_critica/haitianos/2012/08_set/txt/1.124016_673.txt", "TXT")</f>
        <v/>
      </c>
    </row>
    <row r="3401">
      <c r="A3401" s="1" t="n">
        <v>3399</v>
      </c>
      <c r="B3401" t="n">
        <v>2012</v>
      </c>
      <c r="C3401" s="2" t="n">
        <v>41157.57513888889</v>
      </c>
      <c r="D3401" t="inlineStr">
        <is>
          <t>A CRITICA</t>
        </is>
      </c>
      <c r="E3401" t="inlineStr">
        <is>
          <t>VENEZUELANOS</t>
        </is>
      </c>
      <c r="F3401" t="inlineStr">
        <is>
          <t>AMAZONIA</t>
        </is>
      </c>
      <c r="G3401" t="inlineStr">
        <is>
          <t>RENATA GIRALDI/ AGÊNCIA BRASIL</t>
        </is>
      </c>
      <c r="H3401" t="inlineStr">
        <is>
          <t>COMISSÃO DA CÂMARA ESPERA QUE VENEZUELA ESCLAREÇA DENÚNCIA DE MORTES DE YANOMAMIS</t>
        </is>
      </c>
      <c r="I3401" t="inlineStr">
        <is>
          <t>APÓS UMA SÉRIE DE INVESTIGAÇÕES SOBRE A DENÚNCIA DE MASSACRE, A MINISTRA DO PODER POPULAR PARA OS POVOS INDÍGENAS, NICIA MALDONADO, RESPONSÁVEL PELA APURAÇÃO DO CASO NA VENEZUELA, DISSE QUE NÃO HÁ INDÍCIOS DE “QUALQUER MORTE OU DE QUEIMA DE CASAS, NEM DE MASSACRE DE YANOMAMIS NO ALTO ORINOCO”</t>
        </is>
      </c>
      <c r="J3401" t="inlineStr"/>
      <c r="K3401" t="n">
        <v>0</v>
      </c>
      <c r="L3401" t="n">
        <v>1</v>
      </c>
      <c r="M3401" t="n">
        <v>0</v>
      </c>
      <c r="N3401" t="n">
        <v>0</v>
      </c>
      <c r="O3401" t="n">
        <v>1</v>
      </c>
      <c r="P3401">
        <f>HYPERLINK("https://www.acritica.com/amazonia/comiss-o-da-camara-espera-que-venezuela-esclareca-denuncia-de-mortes-de-yanomamis-1.142798", "URL")</f>
        <v/>
      </c>
      <c r="Q3401">
        <f>HYPERLINK("https://raw.githubusercontent.com/marcosmapl/dataset_imigrantes/main/materias_filtered/a_critica/venezuelanos/2012/08_set/html/1.142798_1241.html", "HTML")</f>
        <v/>
      </c>
      <c r="R3401">
        <f>HYPERLINK("https://raw.githubusercontent.com/marcosmapl/dataset_imigrantes/main/materias_filtered/a_critica/venezuelanos/2012/08_set/txt/1.142798_1241.txt", "TXT")</f>
        <v/>
      </c>
    </row>
    <row r="3402">
      <c r="A3402" s="1" t="n">
        <v>3400</v>
      </c>
      <c r="B3402" t="n">
        <v>2012</v>
      </c>
      <c r="C3402" s="2" t="n">
        <v>41155.53604166667</v>
      </c>
      <c r="D3402" t="inlineStr">
        <is>
          <t>A CRITICA</t>
        </is>
      </c>
      <c r="E3402" t="inlineStr">
        <is>
          <t>VENEZUELANOS</t>
        </is>
      </c>
      <c r="F3402" t="inlineStr"/>
      <c r="G3402" t="inlineStr">
        <is>
          <t>MILTON DE OLIVEIRA</t>
        </is>
      </c>
      <c r="H3402" t="inlineStr">
        <is>
          <t>AMAZONAS COMEMORA ELEVAÇÃO À CATEGORIA DE PROVÍNCIA, MAS MUITOS DESCONHECEM HISTÓRIA</t>
        </is>
      </c>
      <c r="I3402" t="inlineStr">
        <is>
          <t>DESINFORMAÇÃO SOBRE O CONTEXTO EM QUE SE DEU O DESLIGAMENTO DO AMAZONAS DO PARÁ AGRAVA RIVALIDADES ENTRE OS DOIS ESTADOS</t>
        </is>
      </c>
      <c r="J3402" t="inlineStr"/>
      <c r="K3402" t="n">
        <v>0</v>
      </c>
      <c r="L3402" t="n">
        <v>1</v>
      </c>
      <c r="M3402" t="n">
        <v>0</v>
      </c>
      <c r="N3402" t="n">
        <v>0</v>
      </c>
      <c r="O3402" t="n">
        <v>0</v>
      </c>
      <c r="P3402">
        <f>HYPERLINK("https://www.acritica.com/amazonas-comemora-elevac-o-a-categoria-de-provincia-mas-muitos-desconhecem-historia-1.143296", "URL")</f>
        <v/>
      </c>
      <c r="Q3402">
        <f>HYPERLINK("https://raw.githubusercontent.com/marcosmapl/dataset_imigrantes/main/materias_filtered/a_critica/venezuelanos/2012/08_set/html/1.143296_676.html", "HTML")</f>
        <v/>
      </c>
      <c r="R3402">
        <f>HYPERLINK("https://raw.githubusercontent.com/marcosmapl/dataset_imigrantes/main/materias_filtered/a_critica/venezuelanos/2012/08_set/txt/1.143296_676.txt", "TXT")</f>
        <v/>
      </c>
    </row>
    <row r="3403">
      <c r="A3403" s="1" t="n">
        <v>3401</v>
      </c>
      <c r="B3403" t="n">
        <v>2012</v>
      </c>
      <c r="C3403" s="2" t="n">
        <v>41151.64703703704</v>
      </c>
      <c r="D3403" t="inlineStr">
        <is>
          <t>A CRITICA</t>
        </is>
      </c>
      <c r="E3403" t="inlineStr">
        <is>
          <t>VENEZUELANOS</t>
        </is>
      </c>
      <c r="F3403" t="inlineStr">
        <is>
          <t>AMAZONIA</t>
        </is>
      </c>
      <c r="G3403" t="inlineStr">
        <is>
          <t>ELAÍZE FARIAS</t>
        </is>
      </c>
      <c r="H3403" t="inlineStr">
        <is>
          <t>VENEZUELA DENUNCIA GARIMPEIROS BRASILEIROS POR MASSACRE CONTRA YANOMAMI</t>
        </is>
      </c>
      <c r="I3403" t="inlineStr">
        <is>
          <t>A DENÚNCIA DIVULGADA EM NOTA DA COORDENAÇÃO DAS ORGANIZAÇÕES INDÍGENAS DA AMAZÔNIA É BASEADA NO RELATO DE TRÊS SOBREVIVENTES QUE ESTAVAM NA MATA NO MOMENTO DO ASSASSINATO</t>
        </is>
      </c>
      <c r="J3403" t="inlineStr"/>
      <c r="K3403" t="n">
        <v>0</v>
      </c>
      <c r="L3403" t="n">
        <v>1</v>
      </c>
      <c r="M3403" t="n">
        <v>0</v>
      </c>
      <c r="N3403" t="n">
        <v>0</v>
      </c>
      <c r="O3403" t="n">
        <v>0</v>
      </c>
      <c r="P3403">
        <f>HYPERLINK("https://www.acritica.com/amazonia/venezuela-denuncia-garimpeiros-brasileiros-por-massacre-contra-yanomami-1.117425", "URL")</f>
        <v/>
      </c>
      <c r="Q3403">
        <f>HYPERLINK("https://raw.githubusercontent.com/marcosmapl/dataset_imigrantes/main/materias_filtered/a_critica/venezuelanos/2012/07_ago/html/1.117425_760.html", "HTML")</f>
        <v/>
      </c>
      <c r="R3403">
        <f>HYPERLINK("https://raw.githubusercontent.com/marcosmapl/dataset_imigrantes/main/materias_filtered/a_critica/venezuelanos/2012/07_ago/txt/1.117425_760.txt", "TXT")</f>
        <v/>
      </c>
    </row>
    <row r="3404">
      <c r="A3404" s="1" t="n">
        <v>3402</v>
      </c>
      <c r="B3404" t="n">
        <v>2012</v>
      </c>
      <c r="C3404" s="2" t="n">
        <v>41151.32291666666</v>
      </c>
      <c r="D3404" t="inlineStr">
        <is>
          <t>G1</t>
        </is>
      </c>
      <c r="E3404" t="inlineStr">
        <is>
          <t>VENEZUELANOS</t>
        </is>
      </c>
      <c r="F3404" t="inlineStr"/>
      <c r="G3404" t="inlineStr">
        <is>
          <t>ERS</t>
        </is>
      </c>
      <c r="H3404" t="inlineStr">
        <is>
          <t>DATA DE REINÍCIO DE REFINARIA VENEZUELANA AINDA É INCERTA</t>
        </is>
      </c>
      <c r="I3404" t="inlineStr"/>
      <c r="J3404" t="inlineStr"/>
      <c r="K3404" t="n">
        <v>0</v>
      </c>
      <c r="L3404" t="n">
        <v>1</v>
      </c>
      <c r="M3404" t="n">
        <v>0</v>
      </c>
      <c r="N3404" t="n">
        <v>0</v>
      </c>
      <c r="O3404" t="n">
        <v>4</v>
      </c>
      <c r="P3404">
        <f>HYPERLINK("http://g1.globo.com/mundo/noticia/2012/08/data-de-reinicio-de-refinaria-venezuelana-ainda-e-incerta.html", "URL")</f>
        <v/>
      </c>
      <c r="Q3404">
        <f>HYPERLINK("https://raw.githubusercontent.com/marcosmapl/dataset_imigrantes/main/materias_filtered/g1/venezuelanos/2012/07_ago/html/g1_64c50c6a-2316-11ed-b24f-6dbe51e79fca_3144.html", "HTML")</f>
        <v/>
      </c>
      <c r="R3404">
        <f>HYPERLINK("https://raw.githubusercontent.com/marcosmapl/dataset_imigrantes/main/materias_filtered/g1/venezuelanos/2012/07_ago/txt/g1_64c50c6a-2316-11ed-b24f-6dbe51e79fca_3144.txt", "TXT")</f>
        <v/>
      </c>
    </row>
    <row r="3405">
      <c r="A3405" s="1" t="n">
        <v>3403</v>
      </c>
      <c r="B3405" t="n">
        <v>2012</v>
      </c>
      <c r="C3405" s="2" t="n">
        <v>41151.32291666666</v>
      </c>
      <c r="D3405" t="inlineStr">
        <is>
          <t>G1</t>
        </is>
      </c>
      <c r="E3405" t="inlineStr">
        <is>
          <t>VENEZUELANOS</t>
        </is>
      </c>
      <c r="F3405" t="inlineStr"/>
      <c r="G3405" t="inlineStr">
        <is>
          <t>EUTERS</t>
        </is>
      </c>
      <c r="H3405" t="inlineStr">
        <is>
          <t>REINÍCIO DE PRODUÇÃO EM REFINARIA VENEZUELANA AINDA É INCERTO</t>
        </is>
      </c>
      <c r="I3405" t="inlineStr"/>
      <c r="J3405" t="inlineStr">
        <is>
          <t>HUGO CHÁVEZ, VENEZUELA</t>
        </is>
      </c>
      <c r="K3405" t="n">
        <v>2</v>
      </c>
      <c r="L3405" t="n">
        <v>5</v>
      </c>
      <c r="M3405" t="n">
        <v>0</v>
      </c>
      <c r="N3405" t="n">
        <v>0</v>
      </c>
      <c r="O3405" t="n">
        <v>10</v>
      </c>
      <c r="P3405">
        <f>HYPERLINK("http://g1.globo.com/mundo/noticia/2012/08/data-de-reinicio-de-refinaria-venezuelana-ainda-e-incerta-2.html", "URL")</f>
        <v/>
      </c>
      <c r="Q3405">
        <f>HYPERLINK("https://raw.githubusercontent.com/marcosmapl/dataset_imigrantes/main/materias_filtered/g1/venezuelanos/2012/07_ago/html/g1_f4e75a78-2325-11ed-b24f-6dbe51e79fca_3945.html", "HTML")</f>
        <v/>
      </c>
      <c r="R3405">
        <f>HYPERLINK("https://raw.githubusercontent.com/marcosmapl/dataset_imigrantes/main/materias_filtered/g1/venezuelanos/2012/07_ago/txt/g1_f4e75a78-2325-11ed-b24f-6dbe51e79fca_3945.txt", "TXT")</f>
        <v/>
      </c>
    </row>
    <row r="3406">
      <c r="A3406" s="1" t="n">
        <v>3404</v>
      </c>
      <c r="B3406" t="n">
        <v>2012</v>
      </c>
      <c r="C3406" s="2" t="n">
        <v>41151.32291666666</v>
      </c>
      <c r="D3406" t="inlineStr">
        <is>
          <t>G1</t>
        </is>
      </c>
      <c r="E3406" t="inlineStr">
        <is>
          <t>VENEZUELANOS</t>
        </is>
      </c>
      <c r="F3406" t="inlineStr"/>
      <c r="G3406" t="inlineStr">
        <is>
          <t>ERS</t>
        </is>
      </c>
      <c r="H3406" t="inlineStr">
        <is>
          <t>DATA DE REINÍCIO DE REFINARIA VENEZUELANA AINDA É INCERTA</t>
        </is>
      </c>
      <c r="I3406" t="inlineStr"/>
      <c r="J3406" t="inlineStr"/>
      <c r="K3406" t="n">
        <v>0</v>
      </c>
      <c r="L3406" t="n">
        <v>1</v>
      </c>
      <c r="M3406" t="n">
        <v>0</v>
      </c>
      <c r="N3406" t="n">
        <v>0</v>
      </c>
      <c r="O3406" t="n">
        <v>4</v>
      </c>
      <c r="P3406">
        <f>HYPERLINK("http://g1.globo.com/economia/noticia/2012/08/data-de-reinicio-de-refinaria-venezuelana-ainda-e-incerta-1.html", "URL")</f>
        <v/>
      </c>
      <c r="Q3406">
        <f>HYPERLINK("https://raw.githubusercontent.com/marcosmapl/dataset_imigrantes/main/materias_filtered/g1/venezuelanos/2012/07_ago/html/g1_a8c2464c-231d-11ed-b24f-6dbe51e79fca_3513.html", "HTML")</f>
        <v/>
      </c>
      <c r="R3406">
        <f>HYPERLINK("https://raw.githubusercontent.com/marcosmapl/dataset_imigrantes/main/materias_filtered/g1/venezuelanos/2012/07_ago/txt/g1_a8c2464c-231d-11ed-b24f-6dbe51e79fca_3513.txt", "TXT")</f>
        <v/>
      </c>
    </row>
    <row r="3407">
      <c r="A3407" s="1" t="n">
        <v>3405</v>
      </c>
      <c r="B3407" t="n">
        <v>2012</v>
      </c>
      <c r="C3407" s="2" t="n">
        <v>41150.75894675926</v>
      </c>
      <c r="D3407" t="inlineStr">
        <is>
          <t>A CRITICA</t>
        </is>
      </c>
      <c r="E3407" t="inlineStr">
        <is>
          <t>HAITIANOS</t>
        </is>
      </c>
      <c r="F3407" t="inlineStr"/>
      <c r="G3407" t="inlineStr">
        <is>
          <t>ACRÍTICA.COM</t>
        </is>
      </c>
      <c r="H3407" t="inlineStr">
        <is>
          <t>CINQUENTA PEDIDOS DE REFÚGIO FORAM REGISTRADOS NO AM EM 2012</t>
        </is>
      </c>
      <c r="I3407" t="inlineStr">
        <is>
          <t>ATÉ DEZEMBRO DE 2011, SEGUNDO O CONARE, OS REFUGIADOS NO BRASIL TOTALIZAVAM 4.477 PESSOAS, DOS QUAIS 4.053 RECONHECIDOS POR VIAS TRADICIONAIS DE ELEGIBILIDADE E 424 RECONHECIDOS PELO PROGRAMA DE REASSENTAMENTO (QUE PERMANECEM NO PAÍS)</t>
        </is>
      </c>
      <c r="J3407" t="inlineStr"/>
      <c r="K3407" t="n">
        <v>0</v>
      </c>
      <c r="L3407" t="n">
        <v>1</v>
      </c>
      <c r="M3407" t="n">
        <v>0</v>
      </c>
      <c r="N3407" t="n">
        <v>0</v>
      </c>
      <c r="O3407" t="n">
        <v>0</v>
      </c>
      <c r="P3407">
        <f>HYPERLINK("https://www.acritica.com/cinquenta-pedidos-de-refugio-foram-registrados-no-am-em-2012-1.131148", "URL")</f>
        <v/>
      </c>
      <c r="Q3407">
        <f>HYPERLINK("https://raw.githubusercontent.com/marcosmapl/dataset_imigrantes/main/materias_filtered/a_critica/haitianos/2012/07_ago/html/1.131148_363.html", "HTML")</f>
        <v/>
      </c>
      <c r="R3407">
        <f>HYPERLINK("https://raw.githubusercontent.com/marcosmapl/dataset_imigrantes/main/materias_filtered/a_critica/haitianos/2012/07_ago/txt/1.131148_363.txt", "TXT")</f>
        <v/>
      </c>
    </row>
    <row r="3408">
      <c r="A3408" s="1" t="n">
        <v>3406</v>
      </c>
      <c r="B3408" t="n">
        <v>2012</v>
      </c>
      <c r="C3408" s="2" t="n">
        <v>41149.57637731481</v>
      </c>
      <c r="D3408" t="inlineStr">
        <is>
          <t>A CRITICA</t>
        </is>
      </c>
      <c r="E3408" t="inlineStr">
        <is>
          <t>HAITIANOS</t>
        </is>
      </c>
      <c r="F3408" t="inlineStr"/>
      <c r="G3408" t="inlineStr">
        <is>
          <t>CAROLINA SARRES/AGÊNCIA BRASIL</t>
        </is>
      </c>
      <c r="H3408" t="inlineStr">
        <is>
          <t>CRESCE O NÚMERO DE HAITIANOS AUTORIZADOS A TRABALHAR NO BRASIL</t>
        </is>
      </c>
      <c r="I3408" t="inlineStr">
        <is>
          <t>O ACRE E O AMAZONAS SÃO A PORTA DE ENTRADA DE HAITIANOS NO BRASIL. EM 2012, MAIS DE 1,3 MIL ENTRARAM PELO AMAZONAS E 930 PELO ACRE</t>
        </is>
      </c>
      <c r="J3408" t="inlineStr"/>
      <c r="K3408" t="n">
        <v>0</v>
      </c>
      <c r="L3408" t="n">
        <v>1</v>
      </c>
      <c r="M3408" t="n">
        <v>0</v>
      </c>
      <c r="N3408" t="n">
        <v>0</v>
      </c>
      <c r="O3408" t="n">
        <v>0</v>
      </c>
      <c r="P3408">
        <f>HYPERLINK("https://www.acritica.com/cresce-o-numero-de-haitianos-autorizados-a-trabalhar-no-brasil-1.117469", "URL")</f>
        <v/>
      </c>
      <c r="Q3408">
        <f>HYPERLINK("https://raw.githubusercontent.com/marcosmapl/dataset_imigrantes/main/materias_filtered/a_critica/haitianos/2012/07_ago/html/1.117469_188.html", "HTML")</f>
        <v/>
      </c>
      <c r="R3408">
        <f>HYPERLINK("https://raw.githubusercontent.com/marcosmapl/dataset_imigrantes/main/materias_filtered/a_critica/haitianos/2012/07_ago/txt/1.117469_188.txt", "TXT")</f>
        <v/>
      </c>
    </row>
    <row r="3409">
      <c r="A3409" s="1" t="n">
        <v>3407</v>
      </c>
      <c r="B3409" t="n">
        <v>2012</v>
      </c>
      <c r="C3409" s="2" t="n">
        <v>41149.575</v>
      </c>
      <c r="D3409" t="inlineStr">
        <is>
          <t>G1</t>
        </is>
      </c>
      <c r="E3409" t="inlineStr">
        <is>
          <t>HAITIANOS</t>
        </is>
      </c>
      <c r="F3409" t="inlineStr"/>
      <c r="G3409" t="inlineStr">
        <is>
          <t>EUTERS</t>
        </is>
      </c>
      <c r="H3409" t="inlineStr">
        <is>
          <t>BAHAMAS REPATRIARÁ HAITIANOS DE BARCO ENCALHADO DURANTE TEMPESTADE</t>
        </is>
      </c>
      <c r="I3409" t="inlineStr"/>
      <c r="J3409" t="inlineStr">
        <is>
          <t>BAHAMAS, HAITI</t>
        </is>
      </c>
      <c r="K3409" t="n">
        <v>2</v>
      </c>
      <c r="L3409" t="n">
        <v>5</v>
      </c>
      <c r="M3409" t="n">
        <v>0</v>
      </c>
      <c r="N3409" t="n">
        <v>0</v>
      </c>
      <c r="O3409" t="n">
        <v>10</v>
      </c>
      <c r="P3409">
        <f>HYPERLINK("http://g1.globo.com/mundo/noticia/2012/08/haitianos-em-barco-encalhado-serao-repatriados-16-estao-desaparecidos.html", "URL")</f>
        <v/>
      </c>
      <c r="Q3409">
        <f>HYPERLINK("https://raw.githubusercontent.com/marcosmapl/dataset_imigrantes/main/materias_filtered/g1/haitianos/2012/07_ago/html/g1_a60d5c04-22f8-11ed-b24f-6dbe51e79fca_2149.html", "HTML")</f>
        <v/>
      </c>
      <c r="R3409">
        <f>HYPERLINK("https://raw.githubusercontent.com/marcosmapl/dataset_imigrantes/main/materias_filtered/g1/haitianos/2012/07_ago/txt/g1_a60d5c04-22f8-11ed-b24f-6dbe51e79fca_2149.txt", "TXT")</f>
        <v/>
      </c>
    </row>
    <row r="3410">
      <c r="A3410" s="1" t="n">
        <v>3408</v>
      </c>
      <c r="B3410" t="n">
        <v>2012</v>
      </c>
      <c r="C3410" s="2" t="n">
        <v>41149.45416666667</v>
      </c>
      <c r="D3410" t="inlineStr">
        <is>
          <t>A CRITICA</t>
        </is>
      </c>
      <c r="E3410" t="inlineStr">
        <is>
          <t>VENEZUELANOS</t>
        </is>
      </c>
      <c r="F3410" t="inlineStr">
        <is>
          <t>ENTRETENIMENTO</t>
        </is>
      </c>
      <c r="G3410" t="inlineStr">
        <is>
          <t>MELLANIE HASIMOTO</t>
        </is>
      </c>
      <c r="H3410" t="inlineStr">
        <is>
          <t>EXTREME MANAUS GOSPEL ACONTECERÁ NO PRÓXIMO DIA 06</t>
        </is>
      </c>
      <c r="I3410" t="inlineStr">
        <is>
          <t>ENTRETENIMENTO DE QUALIDADE É OFERECIDO NESTE EVENTO, QUE REÚNE ARTISTAS DO MUNDO EVANGÉLICO QUE INTEGRAM A CULTURA URBANA E ESPERA POR 10 MIL PESSOAS</t>
        </is>
      </c>
      <c r="J3410" t="inlineStr"/>
      <c r="K3410" t="n">
        <v>0</v>
      </c>
      <c r="L3410" t="n">
        <v>1</v>
      </c>
      <c r="M3410" t="n">
        <v>0</v>
      </c>
      <c r="N3410" t="n">
        <v>0</v>
      </c>
      <c r="O3410" t="n">
        <v>0</v>
      </c>
      <c r="P3410">
        <f>HYPERLINK("https://www.acritica.com/entretenimento/extreme-manaus-gospel-acontecera-no-proximo-dia-06-1.117609", "URL")</f>
        <v/>
      </c>
      <c r="Q3410">
        <f>HYPERLINK("https://raw.githubusercontent.com/marcosmapl/dataset_imigrantes/main/materias_filtered/a_critica/venezuelanos/2012/07_ago/html/1.117609_462.html", "HTML")</f>
        <v/>
      </c>
      <c r="R3410">
        <f>HYPERLINK("https://raw.githubusercontent.com/marcosmapl/dataset_imigrantes/main/materias_filtered/a_critica/venezuelanos/2012/07_ago/txt/1.117609_462.txt", "TXT")</f>
        <v/>
      </c>
    </row>
    <row r="3411">
      <c r="A3411" s="1" t="n">
        <v>3409</v>
      </c>
      <c r="B3411" t="n">
        <v>2012</v>
      </c>
      <c r="C3411" s="2" t="n">
        <v>41149.42083333333</v>
      </c>
      <c r="D3411" t="inlineStr">
        <is>
          <t>G1</t>
        </is>
      </c>
      <c r="E3411" t="inlineStr">
        <is>
          <t>VENEZUELANOS</t>
        </is>
      </c>
      <c r="F3411" t="inlineStr"/>
      <c r="G3411" t="inlineStr">
        <is>
          <t>CE PRESSE</t>
        </is>
      </c>
      <c r="H3411" t="inlineStr">
        <is>
          <t>INCÊNDIO NA REFINARIA VENEZUELANA DE AMUAY É EXTINTO</t>
        </is>
      </c>
      <c r="I3411" t="inlineStr"/>
      <c r="J3411" t="inlineStr"/>
      <c r="K3411" t="n">
        <v>0</v>
      </c>
      <c r="L3411" t="n">
        <v>1</v>
      </c>
      <c r="M3411" t="n">
        <v>0</v>
      </c>
      <c r="N3411" t="n">
        <v>0</v>
      </c>
      <c r="O3411" t="n">
        <v>4</v>
      </c>
      <c r="P3411">
        <f>HYPERLINK("http://g1.globo.com/mundo/noticia/2012/08/incendio-na-refinaria-venezuelana-de-amuay-e-extinto.html", "URL")</f>
        <v/>
      </c>
      <c r="Q3411">
        <f>HYPERLINK("https://raw.githubusercontent.com/marcosmapl/dataset_imigrantes/main/materias_filtered/g1/venezuelanos/2012/07_ago/html/g1_dff8a7fc-2325-11ed-b24f-6dbe51e79fca_3939.html", "HTML")</f>
        <v/>
      </c>
      <c r="R3411">
        <f>HYPERLINK("https://raw.githubusercontent.com/marcosmapl/dataset_imigrantes/main/materias_filtered/g1/venezuelanos/2012/07_ago/txt/g1_dff8a7fc-2325-11ed-b24f-6dbe51e79fca_3939.txt", "TXT")</f>
        <v/>
      </c>
    </row>
    <row r="3412">
      <c r="A3412" s="1" t="n">
        <v>3410</v>
      </c>
      <c r="B3412" t="n">
        <v>2012</v>
      </c>
      <c r="C3412" s="2" t="n">
        <v>41149.38333333333</v>
      </c>
      <c r="D3412" t="inlineStr">
        <is>
          <t>G1</t>
        </is>
      </c>
      <c r="E3412" t="inlineStr">
        <is>
          <t>VENEZUELANOS</t>
        </is>
      </c>
      <c r="F3412" t="inlineStr"/>
      <c r="G3412" t="inlineStr">
        <is>
          <t>ERS</t>
        </is>
      </c>
      <c r="H3412" t="inlineStr">
        <is>
          <t>INCÊNDIO NA REFINARIA VENEZUELANA É APAGADO--TESTEMUNHAS</t>
        </is>
      </c>
      <c r="I3412" t="inlineStr"/>
      <c r="J3412" t="inlineStr"/>
      <c r="K3412" t="n">
        <v>0</v>
      </c>
      <c r="L3412" t="n">
        <v>1</v>
      </c>
      <c r="M3412" t="n">
        <v>0</v>
      </c>
      <c r="N3412" t="n">
        <v>0</v>
      </c>
      <c r="O3412" t="n">
        <v>4</v>
      </c>
      <c r="P3412">
        <f>HYPERLINK("http://g1.globo.com/mundo/noticia/2012/08/incendio-na-refinaria-venezuelana-e-apagado-testemunhas-2.html", "URL")</f>
        <v/>
      </c>
      <c r="Q3412">
        <f>HYPERLINK("https://raw.githubusercontent.com/marcosmapl/dataset_imigrantes/main/materias_filtered/g1/venezuelanos/2012/07_ago/html/g1_6bcac7dc-231d-11ed-b24f-6dbe51e79fca_3501.html", "HTML")</f>
        <v/>
      </c>
      <c r="R3412">
        <f>HYPERLINK("https://raw.githubusercontent.com/marcosmapl/dataset_imigrantes/main/materias_filtered/g1/venezuelanos/2012/07_ago/txt/g1_6bcac7dc-231d-11ed-b24f-6dbe51e79fca_3501.txt", "TXT")</f>
        <v/>
      </c>
    </row>
    <row r="3413">
      <c r="A3413" s="1" t="n">
        <v>3411</v>
      </c>
      <c r="B3413" t="n">
        <v>2012</v>
      </c>
      <c r="C3413" s="2" t="n">
        <v>41149.38333333333</v>
      </c>
      <c r="D3413" t="inlineStr">
        <is>
          <t>G1</t>
        </is>
      </c>
      <c r="E3413" t="inlineStr">
        <is>
          <t>VENEZUELANOS</t>
        </is>
      </c>
      <c r="F3413" t="inlineStr"/>
      <c r="G3413" t="inlineStr">
        <is>
          <t>ERS</t>
        </is>
      </c>
      <c r="H3413" t="inlineStr">
        <is>
          <t>INCÊNDIO NA REFINARIA VENEZUELANA É APAGADO--TESTEMUNHAS</t>
        </is>
      </c>
      <c r="I3413" t="inlineStr"/>
      <c r="J3413" t="inlineStr"/>
      <c r="K3413" t="n">
        <v>0</v>
      </c>
      <c r="L3413" t="n">
        <v>1</v>
      </c>
      <c r="M3413" t="n">
        <v>0</v>
      </c>
      <c r="N3413" t="n">
        <v>0</v>
      </c>
      <c r="O3413" t="n">
        <v>4</v>
      </c>
      <c r="P3413">
        <f>HYPERLINK("http://g1.globo.com/mundo/noticia/2012/08/incendio-na-refinaria-venezuelana-e-apagado-testemunhas-1.html", "URL")</f>
        <v/>
      </c>
      <c r="Q3413">
        <f>HYPERLINK("https://raw.githubusercontent.com/marcosmapl/dataset_imigrantes/main/materias_filtered/g1/venezuelanos/2012/07_ago/html/g1_74bb8b7e-2327-11ed-b24f-6dbe51e79fca_4036.html", "HTML")</f>
        <v/>
      </c>
      <c r="R3413">
        <f>HYPERLINK("https://raw.githubusercontent.com/marcosmapl/dataset_imigrantes/main/materias_filtered/g1/venezuelanos/2012/07_ago/txt/g1_74bb8b7e-2327-11ed-b24f-6dbe51e79fca_4036.txt", "TXT")</f>
        <v/>
      </c>
    </row>
    <row r="3414">
      <c r="A3414" s="1" t="n">
        <v>3412</v>
      </c>
      <c r="B3414" t="n">
        <v>2012</v>
      </c>
      <c r="C3414" s="2" t="n">
        <v>41149.38333333333</v>
      </c>
      <c r="D3414" t="inlineStr">
        <is>
          <t>G1</t>
        </is>
      </c>
      <c r="E3414" t="inlineStr">
        <is>
          <t>VENEZUELANOS</t>
        </is>
      </c>
      <c r="F3414" t="inlineStr"/>
      <c r="G3414" t="inlineStr">
        <is>
          <t>ERS</t>
        </is>
      </c>
      <c r="H3414" t="inlineStr">
        <is>
          <t>INCÊNDIO NA REFINARIA VENEZUELANA É APAGADO--TESTEMUNHAS</t>
        </is>
      </c>
      <c r="I3414" t="inlineStr"/>
      <c r="J3414" t="inlineStr"/>
      <c r="K3414" t="n">
        <v>0</v>
      </c>
      <c r="L3414" t="n">
        <v>1</v>
      </c>
      <c r="M3414" t="n">
        <v>0</v>
      </c>
      <c r="N3414" t="n">
        <v>0</v>
      </c>
      <c r="O3414" t="n">
        <v>4</v>
      </c>
      <c r="P3414">
        <f>HYPERLINK("http://g1.globo.com/economia/noticia/2012/08/incendio-na-refinaria-venezuelana-e-apagado-testemunhas.html", "URL")</f>
        <v/>
      </c>
      <c r="Q3414">
        <f>HYPERLINK("https://raw.githubusercontent.com/marcosmapl/dataset_imigrantes/main/materias_filtered/g1/venezuelanos/2012/07_ago/html/g1_ad2cd586-232b-11ed-b24f-6dbe51e79fca_4263.html", "HTML")</f>
        <v/>
      </c>
      <c r="R3414">
        <f>HYPERLINK("https://raw.githubusercontent.com/marcosmapl/dataset_imigrantes/main/materias_filtered/g1/venezuelanos/2012/07_ago/txt/g1_ad2cd586-232b-11ed-b24f-6dbe51e79fca_4263.txt", "TXT")</f>
        <v/>
      </c>
    </row>
    <row r="3415">
      <c r="A3415" s="1" t="n">
        <v>3413</v>
      </c>
      <c r="B3415" t="n">
        <v>2012</v>
      </c>
      <c r="C3415" s="2" t="n">
        <v>41148.76041666666</v>
      </c>
      <c r="D3415" t="inlineStr">
        <is>
          <t>G1</t>
        </is>
      </c>
      <c r="E3415" t="inlineStr">
        <is>
          <t>VENEZUELANOS</t>
        </is>
      </c>
      <c r="F3415" t="inlineStr"/>
      <c r="G3415" t="inlineStr">
        <is>
          <t>FE</t>
        </is>
      </c>
      <c r="H3415" t="inlineStr">
        <is>
          <t>INCÊNDIO EM REFINARIA VENEZUELANA SE PROPAGA PARA TERCEIRO TANQUE</t>
        </is>
      </c>
      <c r="I3415" t="inlineStr"/>
      <c r="J3415" t="inlineStr">
        <is>
          <t>VENEZUELA</t>
        </is>
      </c>
      <c r="K3415" t="n">
        <v>1</v>
      </c>
      <c r="L3415" t="n">
        <v>6</v>
      </c>
      <c r="M3415" t="n">
        <v>0</v>
      </c>
      <c r="N3415" t="n">
        <v>0</v>
      </c>
      <c r="O3415" t="n">
        <v>9</v>
      </c>
      <c r="P3415">
        <f>HYPERLINK("http://g1.globo.com/mundo/noticia/2012/08/incendio-em-refinaria-venezuelana-se-propaga-para-terceiro-tanque.html", "URL")</f>
        <v/>
      </c>
      <c r="Q3415">
        <f>HYPERLINK("https://raw.githubusercontent.com/marcosmapl/dataset_imigrantes/main/materias_filtered/g1/venezuelanos/2012/07_ago/html/g1_0fb630f0-2320-11ed-b24f-6dbe51e79fca_3660.html", "HTML")</f>
        <v/>
      </c>
      <c r="R3415">
        <f>HYPERLINK("https://raw.githubusercontent.com/marcosmapl/dataset_imigrantes/main/materias_filtered/g1/venezuelanos/2012/07_ago/txt/g1_0fb630f0-2320-11ed-b24f-6dbe51e79fca_3660.txt", "TXT")</f>
        <v/>
      </c>
    </row>
    <row r="3416">
      <c r="A3416" s="1" t="n">
        <v>3414</v>
      </c>
      <c r="B3416" t="n">
        <v>2012</v>
      </c>
      <c r="C3416" s="2" t="n">
        <v>41147.47847222222</v>
      </c>
      <c r="D3416" t="inlineStr">
        <is>
          <t>G1</t>
        </is>
      </c>
      <c r="E3416" t="inlineStr">
        <is>
          <t>HAITIANOS</t>
        </is>
      </c>
      <c r="F3416" t="inlineStr"/>
      <c r="G3416" t="inlineStr">
        <is>
          <t>ISON SEVERIANODO G1 AM</t>
        </is>
      </c>
      <c r="H3416" t="inlineStr">
        <is>
          <t>PASTORAL ESTIMA QUE 1.800 HAITIANOS ESTEJAM REFUGIADOS EM MANAUS</t>
        </is>
      </c>
      <c r="I3416" t="inlineStr"/>
      <c r="J3416" t="inlineStr">
        <is>
          <t>MANAUS, AMAZONAS, PARANÁ, RIO GRANDE DO SUL, SANTA CATARINA</t>
        </is>
      </c>
      <c r="K3416" t="n">
        <v>5</v>
      </c>
      <c r="L3416" t="n">
        <v>7</v>
      </c>
      <c r="M3416" t="n">
        <v>0</v>
      </c>
      <c r="N3416" t="n">
        <v>0</v>
      </c>
      <c r="O3416" t="n">
        <v>13</v>
      </c>
      <c r="P3416">
        <f>HYPERLINK("http://g1.globo.com/am/amazonas/noticia/2012/08/pastoral-estima-que-1800-haitianos-estejam-refugiados-em-manaus.html", "URL")</f>
        <v/>
      </c>
      <c r="Q3416">
        <f>HYPERLINK("https://raw.githubusercontent.com/marcosmapl/dataset_imigrantes/main/materias_filtered/g1/haitianos/2012/07_ago/html/g1_10ea0956-22f3-11ed-b24f-6dbe51e79fca_1822.html", "HTML")</f>
        <v/>
      </c>
      <c r="R3416">
        <f>HYPERLINK("https://raw.githubusercontent.com/marcosmapl/dataset_imigrantes/main/materias_filtered/g1/haitianos/2012/07_ago/txt/g1_10ea0956-22f3-11ed-b24f-6dbe51e79fca_1822.txt", "TXT")</f>
        <v/>
      </c>
    </row>
    <row r="3417">
      <c r="A3417" s="1" t="n">
        <v>3415</v>
      </c>
      <c r="B3417" t="n">
        <v>2012</v>
      </c>
      <c r="C3417" s="2" t="n">
        <v>41147.16458333333</v>
      </c>
      <c r="D3417" t="inlineStr">
        <is>
          <t>G1</t>
        </is>
      </c>
      <c r="E3417" t="inlineStr">
        <is>
          <t>HAITIANOS</t>
        </is>
      </c>
      <c r="F3417" t="inlineStr"/>
      <c r="G3417" t="inlineStr">
        <is>
          <t>FE</t>
        </is>
      </c>
      <c r="H3417" t="inlineStr">
        <is>
          <t>SOBE PARA 6 NÚMERO DE MORTOS POR  PASSAGEM DE TEMPESTADE PELO HAITI</t>
        </is>
      </c>
      <c r="I3417" t="inlineStr"/>
      <c r="J3417" t="inlineStr">
        <is>
          <t>HAITI</t>
        </is>
      </c>
      <c r="K3417" t="n">
        <v>1</v>
      </c>
      <c r="L3417" t="n">
        <v>6</v>
      </c>
      <c r="M3417" t="n">
        <v>0</v>
      </c>
      <c r="N3417" t="n">
        <v>0</v>
      </c>
      <c r="O3417" t="n">
        <v>11</v>
      </c>
      <c r="P3417">
        <f>HYPERLINK("http://g1.globo.com/mundo/noticia/2012/08/isaac-deixa-6-mortos-e-14-mil-evacuados-na-passagem-pelo-haiti.html", "URL")</f>
        <v/>
      </c>
      <c r="Q3417">
        <f>HYPERLINK("https://raw.githubusercontent.com/marcosmapl/dataset_imigrantes/main/materias_filtered/g1/haitianos/2012/07_ago/html/g1_bbfeb87c-232b-11ed-b24f-6dbe51e79fca_4266.html", "HTML")</f>
        <v/>
      </c>
      <c r="R3417">
        <f>HYPERLINK("https://raw.githubusercontent.com/marcosmapl/dataset_imigrantes/main/materias_filtered/g1/haitianos/2012/07_ago/txt/g1_bbfeb87c-232b-11ed-b24f-6dbe51e79fca_4266.txt", "TXT")</f>
        <v/>
      </c>
    </row>
    <row r="3418">
      <c r="A3418" s="1" t="n">
        <v>3416</v>
      </c>
      <c r="B3418" t="n">
        <v>2012</v>
      </c>
      <c r="C3418" s="2" t="n">
        <v>41146.84791666667</v>
      </c>
      <c r="D3418" t="inlineStr">
        <is>
          <t>G1</t>
        </is>
      </c>
      <c r="E3418" t="inlineStr">
        <is>
          <t>VENEZUELANOS</t>
        </is>
      </c>
      <c r="F3418" t="inlineStr"/>
      <c r="G3418" t="inlineStr">
        <is>
          <t>CIA EFE</t>
        </is>
      </c>
      <c r="H3418" t="inlineStr">
        <is>
          <t>EXPLOSÃO EM REFINARIA, MAIS UM INCIDENTE NA ATIVIDADE PETROLÍFERA VENEZUELANA</t>
        </is>
      </c>
      <c r="I3418" t="inlineStr"/>
      <c r="J3418" t="inlineStr"/>
      <c r="K3418" t="n">
        <v>0</v>
      </c>
      <c r="L3418" t="n">
        <v>1</v>
      </c>
      <c r="M3418" t="n">
        <v>0</v>
      </c>
      <c r="N3418" t="n">
        <v>0</v>
      </c>
      <c r="O3418" t="n">
        <v>4</v>
      </c>
      <c r="P3418">
        <f>HYPERLINK("http://g1.globo.com/mundo/noticia/2012/08/explosao-em-refinaria-mais-um-incidente-na-atividade-petrolifera-venezuelana.html", "URL")</f>
        <v/>
      </c>
      <c r="Q3418">
        <f>HYPERLINK("https://raw.githubusercontent.com/marcosmapl/dataset_imigrantes/main/materias_filtered/g1/venezuelanos/2012/07_ago/html/g1_819c8ac4-2317-11ed-b24f-6dbe51e79fca_3212.html", "HTML")</f>
        <v/>
      </c>
      <c r="R3418">
        <f>HYPERLINK("https://raw.githubusercontent.com/marcosmapl/dataset_imigrantes/main/materias_filtered/g1/venezuelanos/2012/07_ago/txt/g1_819c8ac4-2317-11ed-b24f-6dbe51e79fca_3212.txt", "TXT")</f>
        <v/>
      </c>
    </row>
    <row r="3419">
      <c r="A3419" s="1" t="n">
        <v>3417</v>
      </c>
      <c r="B3419" t="n">
        <v>2012</v>
      </c>
      <c r="C3419" s="2" t="n">
        <v>41143.83541666667</v>
      </c>
      <c r="D3419" t="inlineStr">
        <is>
          <t>G1</t>
        </is>
      </c>
      <c r="E3419" t="inlineStr">
        <is>
          <t>VENEZUELANOS</t>
        </is>
      </c>
      <c r="F3419" t="inlineStr"/>
      <c r="G3419" t="inlineStr">
        <is>
          <t>CE PRESSE</t>
        </is>
      </c>
      <c r="H3419" t="inlineStr">
        <is>
          <t>UNASUL, ÚNICO ORGANISMO INTERNACIONAL CONFIRMADO NAS ELEIÇÕES VENEZUELANAS</t>
        </is>
      </c>
      <c r="I3419" t="inlineStr"/>
      <c r="J3419" t="inlineStr"/>
      <c r="K3419" t="n">
        <v>0</v>
      </c>
      <c r="L3419" t="n">
        <v>1</v>
      </c>
      <c r="M3419" t="n">
        <v>0</v>
      </c>
      <c r="N3419" t="n">
        <v>0</v>
      </c>
      <c r="O3419" t="n">
        <v>4</v>
      </c>
      <c r="P3419">
        <f>HYPERLINK("http://g1.globo.com/mundo/noticia/2012/08/unasul-unico-organismo-internacional-confirmado-nas-eleicoes-venezuelanas.html", "URL")</f>
        <v/>
      </c>
      <c r="Q3419">
        <f>HYPERLINK("https://raw.githubusercontent.com/marcosmapl/dataset_imigrantes/main/materias_filtered/g1/venezuelanos/2012/07_ago/html/g1_d669c62c-2329-11ed-b24f-6dbe51e79fca_4142.html", "HTML")</f>
        <v/>
      </c>
      <c r="R3419">
        <f>HYPERLINK("https://raw.githubusercontent.com/marcosmapl/dataset_imigrantes/main/materias_filtered/g1/venezuelanos/2012/07_ago/txt/g1_d669c62c-2329-11ed-b24f-6dbe51e79fca_4142.txt", "TXT")</f>
        <v/>
      </c>
    </row>
    <row r="3420">
      <c r="A3420" s="1" t="n">
        <v>3418</v>
      </c>
      <c r="B3420" t="n">
        <v>2012</v>
      </c>
      <c r="C3420" s="2" t="n">
        <v>41143.64166666667</v>
      </c>
      <c r="D3420" t="inlineStr">
        <is>
          <t>G1</t>
        </is>
      </c>
      <c r="E3420" t="inlineStr">
        <is>
          <t>HAITIANOS</t>
        </is>
      </c>
      <c r="F3420" t="inlineStr"/>
      <c r="G3420" t="inlineStr">
        <is>
          <t>CE PRESSE</t>
        </is>
      </c>
      <c r="H3420" t="inlineStr">
        <is>
          <t>COMEÇA A RECONSTRUÇÃO DO PALÁCIO DESTRUÍDO NO TERREMOTO NO HAITI</t>
        </is>
      </c>
      <c r="I3420" t="inlineStr"/>
      <c r="J3420" t="inlineStr">
        <is>
          <t>HAITI</t>
        </is>
      </c>
      <c r="K3420" t="n">
        <v>1</v>
      </c>
      <c r="L3420" t="n">
        <v>5</v>
      </c>
      <c r="M3420" t="n">
        <v>0</v>
      </c>
      <c r="N3420" t="n">
        <v>0</v>
      </c>
      <c r="O3420" t="n">
        <v>9</v>
      </c>
      <c r="P3420">
        <f>HYPERLINK("http://g1.globo.com/mundo/noticia/2012/08/comeca-a-reconstrucao-do-palacio-presidencial-destruido-no-terremoto-no-haiti.html", "URL")</f>
        <v/>
      </c>
      <c r="Q3420">
        <f>HYPERLINK("https://raw.githubusercontent.com/marcosmapl/dataset_imigrantes/main/materias_filtered/g1/haitianos/2012/07_ago/html/g1_ef38b8b0-2307-11ed-b24f-6dbe51e79fca_2353.html", "HTML")</f>
        <v/>
      </c>
      <c r="R3420">
        <f>HYPERLINK("https://raw.githubusercontent.com/marcosmapl/dataset_imigrantes/main/materias_filtered/g1/haitianos/2012/07_ago/txt/g1_ef38b8b0-2307-11ed-b24f-6dbe51e79fca_2353.txt", "TXT")</f>
        <v/>
      </c>
    </row>
    <row r="3421">
      <c r="A3421" s="1" t="n">
        <v>3419</v>
      </c>
      <c r="B3421" t="n">
        <v>2012</v>
      </c>
      <c r="C3421" s="2" t="n">
        <v>41142.67847222222</v>
      </c>
      <c r="D3421" t="inlineStr">
        <is>
          <t>G1</t>
        </is>
      </c>
      <c r="E3421" t="inlineStr">
        <is>
          <t>HAITIANOS</t>
        </is>
      </c>
      <c r="F3421" t="inlineStr"/>
      <c r="G3421" t="inlineStr">
        <is>
          <t>1 MS</t>
        </is>
      </c>
      <c r="H3421" t="inlineStr">
        <is>
          <t>HAITIANO É PRESO USANDO DOCUMENTO FALSO EM MATO GROSSO DO SUL</t>
        </is>
      </c>
      <c r="I3421" t="inlineStr"/>
      <c r="J3421" t="inlineStr">
        <is>
          <t>MATO GROSSO DO SUL, CAMPO GRANDE, CORUMBÁ</t>
        </is>
      </c>
      <c r="K3421" t="n">
        <v>3</v>
      </c>
      <c r="L3421" t="n">
        <v>4</v>
      </c>
      <c r="M3421" t="n">
        <v>0</v>
      </c>
      <c r="N3421" t="n">
        <v>0</v>
      </c>
      <c r="O3421" t="n">
        <v>13</v>
      </c>
      <c r="P3421">
        <f>HYPERLINK("http://g1.globo.com/mato-grosso-do-sul/noticia/2012/08/haitiano-e-preso-usando-documento-falso-em-mato-grosso-do-sul.html", "URL")</f>
        <v/>
      </c>
      <c r="Q3421">
        <f>HYPERLINK("https://raw.githubusercontent.com/marcosmapl/dataset_imigrantes/main/materias_filtered/g1/haitianos/2012/07_ago/html/g1_0eb30a46-2309-11ed-b24f-6dbe51e79fca_2422.html", "HTML")</f>
        <v/>
      </c>
      <c r="R3421">
        <f>HYPERLINK("https://raw.githubusercontent.com/marcosmapl/dataset_imigrantes/main/materias_filtered/g1/haitianos/2012/07_ago/txt/g1_0eb30a46-2309-11ed-b24f-6dbe51e79fca_2422.txt", "TXT")</f>
        <v/>
      </c>
    </row>
    <row r="3422">
      <c r="A3422" s="1" t="n">
        <v>3420</v>
      </c>
      <c r="B3422" t="n">
        <v>2012</v>
      </c>
      <c r="C3422" s="2" t="n">
        <v>41140.83231481481</v>
      </c>
      <c r="D3422" t="inlineStr">
        <is>
          <t>A CRITICA</t>
        </is>
      </c>
      <c r="E3422" t="inlineStr">
        <is>
          <t>HAITIANOS</t>
        </is>
      </c>
      <c r="F3422" t="inlineStr"/>
      <c r="G3422" t="inlineStr">
        <is>
          <t>MARCOS CHAGAS/AGÊNCIA BRASIL</t>
        </is>
      </c>
      <c r="H3422" t="inlineStr">
        <is>
          <t>HAITIANOS EM BRASILEIA USAM NOVA ROTA DE IMIGRAÇÃO ILEGAL PARA O BRASIL</t>
        </is>
      </c>
      <c r="I3422" t="inlineStr">
        <is>
          <t>OS HAITIANOS TAMBÉM COSTUMAM ENTRAR NO BRASIL POR TABATINGA, NO AMAZONAS. O MUNICÍPIO FAZ FRONTEIRA COM A COLÔMBIA</t>
        </is>
      </c>
      <c r="J3422" t="inlineStr"/>
      <c r="K3422" t="n">
        <v>0</v>
      </c>
      <c r="L3422" t="n">
        <v>1</v>
      </c>
      <c r="M3422" t="n">
        <v>0</v>
      </c>
      <c r="N3422" t="n">
        <v>0</v>
      </c>
      <c r="O3422" t="n">
        <v>0</v>
      </c>
      <c r="P3422">
        <f>HYPERLINK("https://www.acritica.com/haitianos-em-brasileia-usam-nova-rota-de-imigrac-o-ilegal-para-o-brasil-1.130247", "URL")</f>
        <v/>
      </c>
      <c r="Q3422">
        <f>HYPERLINK("https://raw.githubusercontent.com/marcosmapl/dataset_imigrantes/main/materias_filtered/a_critica/haitianos/2012/07_ago/html/1.130247_1129.html", "HTML")</f>
        <v/>
      </c>
      <c r="R3422">
        <f>HYPERLINK("https://raw.githubusercontent.com/marcosmapl/dataset_imigrantes/main/materias_filtered/a_critica/haitianos/2012/07_ago/txt/1.130247_1129.txt", "TXT")</f>
        <v/>
      </c>
    </row>
    <row r="3423">
      <c r="A3423" s="1" t="n">
        <v>3421</v>
      </c>
      <c r="B3423" t="n">
        <v>2012</v>
      </c>
      <c r="C3423" s="2" t="n">
        <v>41134.44469907408</v>
      </c>
      <c r="D3423" t="inlineStr">
        <is>
          <t>A CRITICA</t>
        </is>
      </c>
      <c r="E3423" t="inlineStr">
        <is>
          <t>HAITIANOS</t>
        </is>
      </c>
      <c r="F3423" t="inlineStr">
        <is>
          <t>MANAUS</t>
        </is>
      </c>
      <c r="G3423" t="inlineStr">
        <is>
          <t>ALINE CABRAL</t>
        </is>
      </c>
      <c r="H3423" t="inlineStr">
        <is>
          <t>SOBRAM VAGAS, FALTA QUALIFICAÇÃO PARA CONSTRUÇÃO CIVIL EM MANAUS</t>
        </is>
      </c>
      <c r="I3423" t="inlineStr">
        <is>
          <t>EXISTEM VAGAS NA CONSTRUÇÃO CIVIL. O QUE NÃO TEM É MÃO DE OBRA</t>
        </is>
      </c>
      <c r="J3423" t="inlineStr"/>
      <c r="K3423" t="n">
        <v>0</v>
      </c>
      <c r="L3423" t="n">
        <v>1</v>
      </c>
      <c r="M3423" t="n">
        <v>0</v>
      </c>
      <c r="N3423" t="n">
        <v>0</v>
      </c>
      <c r="O3423" t="n">
        <v>0</v>
      </c>
      <c r="P3423">
        <f>HYPERLINK("https://www.acritica.com/manaus/sobram-vagas-falta-qualificac-o-para-construc-o-civil-em-manaus-1.129139", "URL")</f>
        <v/>
      </c>
      <c r="Q3423">
        <f>HYPERLINK("https://raw.githubusercontent.com/marcosmapl/dataset_imigrantes/main/materias_filtered/a_critica/haitianos/2012/07_ago/html/1.129139_1350.html", "HTML")</f>
        <v/>
      </c>
      <c r="R3423">
        <f>HYPERLINK("https://raw.githubusercontent.com/marcosmapl/dataset_imigrantes/main/materias_filtered/a_critica/haitianos/2012/07_ago/txt/1.129139_1350.txt", "TXT")</f>
        <v/>
      </c>
    </row>
    <row r="3424">
      <c r="A3424" s="1" t="n">
        <v>3422</v>
      </c>
      <c r="B3424" t="n">
        <v>2012</v>
      </c>
      <c r="C3424" s="2" t="n">
        <v>41131.85476851852</v>
      </c>
      <c r="D3424" t="inlineStr">
        <is>
          <t>A CRITICA</t>
        </is>
      </c>
      <c r="E3424" t="inlineStr">
        <is>
          <t>HAITIANOS</t>
        </is>
      </c>
      <c r="F3424" t="inlineStr">
        <is>
          <t>AMAZONIA</t>
        </is>
      </c>
      <c r="G3424" t="inlineStr">
        <is>
          <t>ACRÍTICA.COM</t>
        </is>
      </c>
      <c r="H3424" t="inlineStr">
        <is>
          <t>MIGRAÇÃO HAITIANA NA AMAZÔNIA É TEMA DE SEMINÁRIO, EM MANAUS</t>
        </is>
      </c>
      <c r="I3424" t="inlineStr">
        <is>
          <t>ENTRE ALGUNS ASSUNTOS A SEREM ABORDADOS ESTÃO O PERFIL DOS MIGRANTES; A POLÍTICA MIGRATÓRIA DO BRASIL CONTEMPORÂNEO; AS AÇÕES POLÍTICAS E SOCIAIS EM RESPEITO AO MOVIMENTO MIGRATÓRIO HAITIANOS, ENTRE OUTROS</t>
        </is>
      </c>
      <c r="J3424" t="inlineStr"/>
      <c r="K3424" t="n">
        <v>0</v>
      </c>
      <c r="L3424" t="n">
        <v>1</v>
      </c>
      <c r="M3424" t="n">
        <v>0</v>
      </c>
      <c r="N3424" t="n">
        <v>0</v>
      </c>
      <c r="O3424" t="n">
        <v>1</v>
      </c>
      <c r="P3424">
        <f>HYPERLINK("https://www.acritica.com/amazonia/migrac-o-haitiana-na-amazonia-e-tema-de-seminario-em-manaus-1.118912", "URL")</f>
        <v/>
      </c>
      <c r="Q3424">
        <f>HYPERLINK("https://raw.githubusercontent.com/marcosmapl/dataset_imigrantes/main/materias_filtered/a_critica/haitianos/2012/07_ago/html/1.118912_328.html", "HTML")</f>
        <v/>
      </c>
      <c r="R3424">
        <f>HYPERLINK("https://raw.githubusercontent.com/marcosmapl/dataset_imigrantes/main/materias_filtered/a_critica/haitianos/2012/07_ago/txt/1.118912_328.txt", "TXT")</f>
        <v/>
      </c>
    </row>
    <row r="3425">
      <c r="A3425" s="1" t="n">
        <v>3423</v>
      </c>
      <c r="B3425" t="n">
        <v>2012</v>
      </c>
      <c r="C3425" s="2" t="n">
        <v>41129.34861111111</v>
      </c>
      <c r="D3425" t="inlineStr">
        <is>
          <t>G1</t>
        </is>
      </c>
      <c r="E3425" t="inlineStr">
        <is>
          <t>HAITIANOS</t>
        </is>
      </c>
      <c r="F3425" t="inlineStr"/>
      <c r="G3425" t="inlineStr">
        <is>
          <t>1 MG, COM INFORMAÇÕES DO BOM DIA BRASIL</t>
        </is>
      </c>
      <c r="H3425" t="inlineStr">
        <is>
          <t>REFUGIADOS HAITIANOS TRABALHAM NA REFORMA DO MINEIRÃO EM BH</t>
        </is>
      </c>
      <c r="I3425" t="inlineStr"/>
      <c r="J3425" t="inlineStr">
        <is>
          <t>BELO HORIZONTE</t>
        </is>
      </c>
      <c r="K3425" t="n">
        <v>1</v>
      </c>
      <c r="L3425" t="n">
        <v>0</v>
      </c>
      <c r="M3425" t="n">
        <v>0</v>
      </c>
      <c r="N3425" t="n">
        <v>0</v>
      </c>
      <c r="O3425" t="n">
        <v>10</v>
      </c>
      <c r="P3425">
        <f>HYPERLINK("http://g1.globo.com/minas-gerais/noticia/2012/08/refugiados-haitianos-trabalham-na-reforma-do-mineirao-em-bh.html", "URL")</f>
        <v/>
      </c>
      <c r="Q3425">
        <f>HYPERLINK("https://raw.githubusercontent.com/marcosmapl/dataset_imigrantes/main/materias_filtered/g1/haitianos/2012/07_ago/html/g1_b01e8b18-22f4-11ed-b24f-6dbe51e79fca_1905.html", "HTML")</f>
        <v/>
      </c>
      <c r="R3425">
        <f>HYPERLINK("https://raw.githubusercontent.com/marcosmapl/dataset_imigrantes/main/materias_filtered/g1/haitianos/2012/07_ago/txt/g1_b01e8b18-22f4-11ed-b24f-6dbe51e79fca_1905.txt", "TXT")</f>
        <v/>
      </c>
    </row>
    <row r="3426">
      <c r="A3426" s="1" t="n">
        <v>3424</v>
      </c>
      <c r="B3426" t="n">
        <v>2012</v>
      </c>
      <c r="C3426" s="2" t="n">
        <v>41127.96511574074</v>
      </c>
      <c r="D3426" t="inlineStr">
        <is>
          <t>A CRITICA</t>
        </is>
      </c>
      <c r="E3426" t="inlineStr">
        <is>
          <t>VENEZUELANOS</t>
        </is>
      </c>
      <c r="F3426" t="inlineStr">
        <is>
          <t>ESPORTES</t>
        </is>
      </c>
      <c r="G3426" t="inlineStr">
        <is>
          <t>ACRÍTICA.COM</t>
        </is>
      </c>
      <c r="H3426" t="inlineStr">
        <is>
          <t>EM LONDRES, ADRIANA VENCE MARROQUINA E GARANTE 100ª MEDALHA AO BRASIL</t>
        </is>
      </c>
      <c r="I3426" t="inlineStr">
        <is>
          <t>A PUGILISTA SE TORNA A SEGUNDA MEDALHISTA DO PAÍS NA HISTÓRIA NESTA MODALIDADE, AJUDANDO O BRASIL A ALCANÇAR A MEDALHA DE NÚMERO 100, HÁ 44 ANOS</t>
        </is>
      </c>
      <c r="J3426" t="inlineStr"/>
      <c r="K3426" t="n">
        <v>0</v>
      </c>
      <c r="L3426" t="n">
        <v>1</v>
      </c>
      <c r="M3426" t="n">
        <v>0</v>
      </c>
      <c r="N3426" t="n">
        <v>0</v>
      </c>
      <c r="O3426" t="n">
        <v>0</v>
      </c>
      <c r="P3426">
        <f>HYPERLINK("https://www.acritica.com/esportes/em-londres-adriana-vence-marroquina-e-garante-100-medalha-ao-brasil-1.128145", "URL")</f>
        <v/>
      </c>
      <c r="Q3426">
        <f>HYPERLINK("https://raw.githubusercontent.com/marcosmapl/dataset_imigrantes/main/materias_filtered/a_critica/venezuelanos/2012/07_ago/html/1.128145_1081.html", "HTML")</f>
        <v/>
      </c>
      <c r="R3426">
        <f>HYPERLINK("https://raw.githubusercontent.com/marcosmapl/dataset_imigrantes/main/materias_filtered/a_critica/venezuelanos/2012/07_ago/txt/1.128145_1081.txt", "TXT")</f>
        <v/>
      </c>
    </row>
    <row r="3427">
      <c r="A3427" s="1" t="n">
        <v>3425</v>
      </c>
      <c r="B3427" t="n">
        <v>2012</v>
      </c>
      <c r="C3427" s="2" t="n">
        <v>41125.93704861111</v>
      </c>
      <c r="D3427" t="inlineStr">
        <is>
          <t>A CRITICA</t>
        </is>
      </c>
      <c r="E3427" t="inlineStr">
        <is>
          <t>VENEZUELANOS</t>
        </is>
      </c>
      <c r="F3427" t="inlineStr">
        <is>
          <t>MANAUS</t>
        </is>
      </c>
      <c r="G3427" t="inlineStr">
        <is>
          <t>MILTON DE OLIVEIRA</t>
        </is>
      </c>
      <c r="H3427" t="inlineStr">
        <is>
          <t>ESPÉCIES REGIONAIS SÃO POUCO USADAS NA ARBORIZAÇÃO DE MANAUS</t>
        </is>
      </c>
      <c r="I3427" t="inlineStr">
        <is>
          <t>ECÓLOGO AMAZONENSE AVALIA QUE PAISAGISMO EM MANAUS INSISTE, EQUIVOCADAMENTE, EM FUGIR DAS ESPÉCIES REGIONAIS</t>
        </is>
      </c>
      <c r="J3427" t="inlineStr"/>
      <c r="K3427" t="n">
        <v>0</v>
      </c>
      <c r="L3427" t="n">
        <v>1</v>
      </c>
      <c r="M3427" t="n">
        <v>0</v>
      </c>
      <c r="N3427" t="n">
        <v>0</v>
      </c>
      <c r="O3427" t="n">
        <v>1</v>
      </c>
      <c r="P3427">
        <f>HYPERLINK("https://www.acritica.com/manaus/especies-regionais-s-o-pouco-usadas-na-arborizac-o-de-manaus-1.128049", "URL")</f>
        <v/>
      </c>
      <c r="Q3427">
        <f>HYPERLINK("https://raw.githubusercontent.com/marcosmapl/dataset_imigrantes/main/materias_filtered/a_critica/venezuelanos/2012/07_ago/html/1.128049_1072.html", "HTML")</f>
        <v/>
      </c>
      <c r="R3427">
        <f>HYPERLINK("https://raw.githubusercontent.com/marcosmapl/dataset_imigrantes/main/materias_filtered/a_critica/venezuelanos/2012/07_ago/txt/1.128049_1072.txt", "TXT")</f>
        <v/>
      </c>
    </row>
    <row r="3428">
      <c r="A3428" s="1" t="n">
        <v>3426</v>
      </c>
      <c r="B3428" t="n">
        <v>2012</v>
      </c>
      <c r="C3428" s="2" t="n">
        <v>41122.67013888889</v>
      </c>
      <c r="D3428" t="inlineStr">
        <is>
          <t>G1</t>
        </is>
      </c>
      <c r="E3428" t="inlineStr">
        <is>
          <t>VENEZUELANOS</t>
        </is>
      </c>
      <c r="F3428" t="inlineStr"/>
      <c r="G3428" t="inlineStr">
        <is>
          <t>1, EM SÃO PAULO</t>
        </is>
      </c>
      <c r="H3428" t="inlineStr">
        <is>
          <t>PETROBRAS AINDA DISCUTE SOCIEDADE EM REFINARIA COM ESTATAL VENEZUELANA</t>
        </is>
      </c>
      <c r="I3428" t="inlineStr"/>
      <c r="J3428" t="inlineStr">
        <is>
          <t>GRAÇA FOSTER, PETROBRAS, ECONOMIA</t>
        </is>
      </c>
      <c r="K3428" t="n">
        <v>3</v>
      </c>
      <c r="L3428" t="n">
        <v>5</v>
      </c>
      <c r="M3428" t="n">
        <v>0</v>
      </c>
      <c r="N3428" t="n">
        <v>0</v>
      </c>
      <c r="O3428" t="n">
        <v>16</v>
      </c>
      <c r="P3428">
        <f>HYPERLINK("http://g1.globo.com/economia/negocios/noticia/2012/08/petrobras-ainda-discute-sociedade-em-refinaria-com-estatal-venezuelana.html", "URL")</f>
        <v/>
      </c>
      <c r="Q3428">
        <f>HYPERLINK("https://raw.githubusercontent.com/marcosmapl/dataset_imigrantes/main/materias_filtered/g1/venezuelanos/2012/07_ago/html/g1_26706028-231a-11ed-b24f-6dbe51e79fca_3319.html", "HTML")</f>
        <v/>
      </c>
      <c r="R3428">
        <f>HYPERLINK("https://raw.githubusercontent.com/marcosmapl/dataset_imigrantes/main/materias_filtered/g1/venezuelanos/2012/07_ago/txt/g1_26706028-231a-11ed-b24f-6dbe51e79fca_3319.txt", "TXT")</f>
        <v/>
      </c>
    </row>
    <row r="3429">
      <c r="A3429" s="1" t="n">
        <v>3427</v>
      </c>
      <c r="B3429" t="n">
        <v>2012</v>
      </c>
      <c r="C3429" s="2" t="n">
        <v>41121.47699074074</v>
      </c>
      <c r="D3429" t="inlineStr">
        <is>
          <t>A CRITICA</t>
        </is>
      </c>
      <c r="E3429" t="inlineStr">
        <is>
          <t>VENEZUELANOS</t>
        </is>
      </c>
      <c r="F3429" t="inlineStr"/>
      <c r="G3429" t="inlineStr">
        <is>
          <t>RENATA GIRALDI/ AGÊNCIA BRASIL</t>
        </is>
      </c>
      <c r="H3429" t="inlineStr">
        <is>
          <t>VENEZUELA SERÁ INCORPORADA NESTA TERÇA (31) AO MERCOSUL</t>
        </is>
      </c>
      <c r="I3429" t="inlineStr">
        <is>
          <t>A CERIMÔNIA QUE OFICIALIZA O INGRESSO DA VENEZUELA ACONTECERÁ NO PALÁCIO DO PLANALTO (BRASÍLIAS), MAS, NÃO SIGNIFICA QUE O PAÍS SERÁ INTEGRADO IMEDIATAMENTE AO BLOCO. A INCORPORAÇÃO NA PRÁTICA SÓ OCORRERÁ NO DIA 13 DE AGOSTO, QUANDO TODOS OS PRAZOS TIVEREM SIDO CUMPRIDOS, SEGUNDO AS NORMAS DO MERCOSUL</t>
        </is>
      </c>
      <c r="J3429" t="inlineStr"/>
      <c r="K3429" t="n">
        <v>0</v>
      </c>
      <c r="L3429" t="n">
        <v>1</v>
      </c>
      <c r="M3429" t="n">
        <v>0</v>
      </c>
      <c r="N3429" t="n">
        <v>0</v>
      </c>
      <c r="O3429" t="n">
        <v>1</v>
      </c>
      <c r="P3429">
        <f>HYPERLINK("https://www.acritica.com/venezuela-sera-incorporada-nesta-terca-31-ao-mercosul-1.134828", "URL")</f>
        <v/>
      </c>
      <c r="Q3429">
        <f>HYPERLINK("https://raw.githubusercontent.com/marcosmapl/dataset_imigrantes/main/materias_filtered/a_critica/venezuelanos/2012/06_jul/html/1.134828_399.html", "HTML")</f>
        <v/>
      </c>
      <c r="R3429">
        <f>HYPERLINK("https://raw.githubusercontent.com/marcosmapl/dataset_imigrantes/main/materias_filtered/a_critica/venezuelanos/2012/06_jul/txt/1.134828_399.txt", "TXT")</f>
        <v/>
      </c>
    </row>
    <row r="3430">
      <c r="A3430" s="1" t="n">
        <v>3428</v>
      </c>
      <c r="B3430" t="n">
        <v>2012</v>
      </c>
      <c r="C3430" s="2" t="n">
        <v>41106.36597222222</v>
      </c>
      <c r="D3430" t="inlineStr">
        <is>
          <t>G1</t>
        </is>
      </c>
      <c r="E3430" t="inlineStr">
        <is>
          <t>HAITIANOS</t>
        </is>
      </c>
      <c r="F3430" t="inlineStr"/>
      <c r="G3430" t="inlineStr">
        <is>
          <t>1 RS</t>
        </is>
      </c>
      <c r="H3430" t="inlineStr">
        <is>
          <t>HAITIANOS SOFREM COM O FRIO DO RS E GANHAM AGASALHOS DE COLEGAS</t>
        </is>
      </c>
      <c r="I3430" t="inlineStr"/>
      <c r="J3430" t="inlineStr">
        <is>
          <t>RIO GRANDE DO SUL, CAXIAS DO SUL</t>
        </is>
      </c>
      <c r="K3430" t="n">
        <v>2</v>
      </c>
      <c r="L3430" t="n">
        <v>3</v>
      </c>
      <c r="M3430" t="n">
        <v>0</v>
      </c>
      <c r="N3430" t="n">
        <v>0</v>
      </c>
      <c r="O3430" t="n">
        <v>13</v>
      </c>
      <c r="P3430">
        <f>HYPERLINK("http://g1.globo.com/rs/rio-grande-do-sul/noticia/2012/07/haitianos-sofrem-com-o-frio-do-rs-e-ganham-agasalhos-de-colegas.html", "URL")</f>
        <v/>
      </c>
      <c r="Q3430">
        <f>HYPERLINK("https://raw.githubusercontent.com/marcosmapl/dataset_imigrantes/main/materias_filtered/g1/haitianos/2012/06_jul/html/g1_a6d6027e-22f5-11ed-b24f-6dbe51e79fca_1965.html", "HTML")</f>
        <v/>
      </c>
      <c r="R3430">
        <f>HYPERLINK("https://raw.githubusercontent.com/marcosmapl/dataset_imigrantes/main/materias_filtered/g1/haitianos/2012/06_jul/txt/g1_a6d6027e-22f5-11ed-b24f-6dbe51e79fca_1965.txt", "TXT")</f>
        <v/>
      </c>
    </row>
    <row r="3431">
      <c r="A3431" s="1" t="n">
        <v>3429</v>
      </c>
      <c r="B3431" t="n">
        <v>2012</v>
      </c>
      <c r="C3431" s="2" t="n">
        <v>41101.06041666667</v>
      </c>
      <c r="D3431" t="inlineStr">
        <is>
          <t>G1</t>
        </is>
      </c>
      <c r="E3431" t="inlineStr">
        <is>
          <t>HAITIANOS</t>
        </is>
      </c>
      <c r="F3431" t="inlineStr"/>
      <c r="G3431" t="inlineStr">
        <is>
          <t>ANDRE HISAYASUSÃO PAULO, SP</t>
        </is>
      </c>
      <c r="H3431" t="inlineStr">
        <is>
          <t>JUSTIÇA DETERMINA QUE MENINO HAITIANO TENHA CIDADANIA BRASILEIRA</t>
        </is>
      </c>
      <c r="I3431" t="inlineStr"/>
      <c r="J3431" t="inlineStr">
        <is>
          <t>SÃO PAULO</t>
        </is>
      </c>
      <c r="K3431" t="n">
        <v>1</v>
      </c>
      <c r="L3431" t="n">
        <v>4</v>
      </c>
      <c r="M3431" t="n">
        <v>0</v>
      </c>
      <c r="N3431" t="n">
        <v>0</v>
      </c>
      <c r="O3431" t="n">
        <v>9</v>
      </c>
      <c r="P3431">
        <f>HYPERLINK("http://g1.globo.com/jornal-da-globo/noticia/2012/07/justica-determina-que-menino-haitiano-tenha-cidadania-brasileira.html", "URL")</f>
        <v/>
      </c>
      <c r="Q3431">
        <f>HYPERLINK("https://raw.githubusercontent.com/marcosmapl/dataset_imigrantes/main/materias_filtered/g1/haitianos/2012/06_jul/html/g1_c778ee6a-2309-11ed-b24f-6dbe51e79fca_2463.html", "HTML")</f>
        <v/>
      </c>
      <c r="R3431">
        <f>HYPERLINK("https://raw.githubusercontent.com/marcosmapl/dataset_imigrantes/main/materias_filtered/g1/haitianos/2012/06_jul/txt/g1_c778ee6a-2309-11ed-b24f-6dbe51e79fca_2463.txt", "TXT")</f>
        <v/>
      </c>
    </row>
    <row r="3432">
      <c r="A3432" s="1" t="n">
        <v>3430</v>
      </c>
      <c r="B3432" t="n">
        <v>2012</v>
      </c>
      <c r="C3432" s="2" t="n">
        <v>41100.41388888889</v>
      </c>
      <c r="D3432" t="inlineStr">
        <is>
          <t>G1</t>
        </is>
      </c>
      <c r="E3432" t="inlineStr">
        <is>
          <t>HAITIANOS</t>
        </is>
      </c>
      <c r="F3432" t="inlineStr"/>
      <c r="G3432" t="inlineStr">
        <is>
          <t>GÊNCIA ESTADO</t>
        </is>
      </c>
      <c r="H3432" t="inlineStr">
        <is>
          <t>JUSTIÇA MANDA DAR CIDADANIA A HAITIANO VÍTIMA DE TRÁFICO DE PESSOAS</t>
        </is>
      </c>
      <c r="I3432" t="inlineStr"/>
      <c r="J3432" t="inlineStr">
        <is>
          <t>SÃO PAULO</t>
        </is>
      </c>
      <c r="K3432" t="n">
        <v>1</v>
      </c>
      <c r="L3432" t="n">
        <v>4</v>
      </c>
      <c r="M3432" t="n">
        <v>0</v>
      </c>
      <c r="N3432" t="n">
        <v>0</v>
      </c>
      <c r="O3432" t="n">
        <v>10</v>
      </c>
      <c r="P3432">
        <f>HYPERLINK("http://g1.globo.com/sao-paulo/noticia/2012/07/justica-manda-dar-cidadania-haitiano-vitima-de-trafico-de-pessoas.html", "URL")</f>
        <v/>
      </c>
      <c r="Q3432">
        <f>HYPERLINK("https://raw.githubusercontent.com/marcosmapl/dataset_imigrantes/main/materias_filtered/g1/haitianos/2012/06_jul/html/g1_878b17e4-2307-11ed-b24f-6dbe51e79fca_2324.html", "HTML")</f>
        <v/>
      </c>
      <c r="R3432">
        <f>HYPERLINK("https://raw.githubusercontent.com/marcosmapl/dataset_imigrantes/main/materias_filtered/g1/haitianos/2012/06_jul/txt/g1_878b17e4-2307-11ed-b24f-6dbe51e79fca_2324.txt", "TXT")</f>
        <v/>
      </c>
    </row>
    <row r="3433">
      <c r="A3433" s="1" t="n">
        <v>3431</v>
      </c>
      <c r="B3433" t="n">
        <v>2012</v>
      </c>
      <c r="C3433" s="2" t="n">
        <v>41100.37916666667</v>
      </c>
      <c r="D3433" t="inlineStr">
        <is>
          <t>G1</t>
        </is>
      </c>
      <c r="E3433" t="inlineStr">
        <is>
          <t>HAITIANOS</t>
        </is>
      </c>
      <c r="F3433" t="inlineStr"/>
      <c r="G3433" t="inlineStr">
        <is>
          <t>CIA ESTADO</t>
        </is>
      </c>
      <c r="H3433" t="inlineStr">
        <is>
          <t>JUSTIÇA MANDA DAR CIDADANIA BRASILEIRA A GAROTO HAITIANO</t>
        </is>
      </c>
      <c r="I3433" t="inlineStr"/>
      <c r="J3433" t="inlineStr"/>
      <c r="K3433" t="n">
        <v>0</v>
      </c>
      <c r="L3433" t="n">
        <v>1</v>
      </c>
      <c r="M3433" t="n">
        <v>0</v>
      </c>
      <c r="N3433" t="n">
        <v>0</v>
      </c>
      <c r="O3433" t="n">
        <v>4</v>
      </c>
      <c r="P3433">
        <f>HYPERLINK("http://g1.globo.com/brasil/noticia/2012/07/justica-manda-dar-cidadania-brasileira-a-garoto-haitiano.html", "URL")</f>
        <v/>
      </c>
      <c r="Q3433">
        <f>HYPERLINK("https://raw.githubusercontent.com/marcosmapl/dataset_imigrantes/main/materias_filtered/g1/haitianos/2012/06_jul/html/g1_d94a519e-22e9-11ed-b24f-6dbe51e79fca_1646.html", "HTML")</f>
        <v/>
      </c>
      <c r="R3433">
        <f>HYPERLINK("https://raw.githubusercontent.com/marcosmapl/dataset_imigrantes/main/materias_filtered/g1/haitianos/2012/06_jul/txt/g1_d94a519e-22e9-11ed-b24f-6dbe51e79fca_1646.txt", "TXT")</f>
        <v/>
      </c>
    </row>
    <row r="3434">
      <c r="A3434" s="1" t="n">
        <v>3432</v>
      </c>
      <c r="B3434" t="n">
        <v>2012</v>
      </c>
      <c r="C3434" s="2" t="n">
        <v>41095.86319444444</v>
      </c>
      <c r="D3434" t="inlineStr">
        <is>
          <t>G1</t>
        </is>
      </c>
      <c r="E3434" t="inlineStr">
        <is>
          <t>HAITIANOS</t>
        </is>
      </c>
      <c r="F3434" t="inlineStr"/>
      <c r="G3434" t="inlineStr">
        <is>
          <t>1 RO</t>
        </is>
      </c>
      <c r="H3434" t="inlineStr">
        <is>
          <t>HAITIANO ESTÁ DESAPARECIDO HÁ UMA SEMANA EM PORTO VELHO</t>
        </is>
      </c>
      <c r="I3434" t="inlineStr"/>
      <c r="J3434" t="inlineStr">
        <is>
          <t>RONDÔNIA, PORTO VELHO</t>
        </is>
      </c>
      <c r="K3434" t="n">
        <v>2</v>
      </c>
      <c r="L3434" t="n">
        <v>4</v>
      </c>
      <c r="M3434" t="n">
        <v>0</v>
      </c>
      <c r="N3434" t="n">
        <v>0</v>
      </c>
      <c r="O3434" t="n">
        <v>10</v>
      </c>
      <c r="P3434">
        <f>HYPERLINK("http://g1.globo.com/ro/rondonia/noticia/2012/07/haitiano-esta-desaparecido-ha-uma-semana-em-porto-velho.html", "URL")</f>
        <v/>
      </c>
      <c r="Q3434">
        <f>HYPERLINK("https://raw.githubusercontent.com/marcosmapl/dataset_imigrantes/main/materias_filtered/g1/haitianos/2012/06_jul/html/g1_c8fba5cc-231b-11ed-b24f-6dbe51e79fca_3407.html", "HTML")</f>
        <v/>
      </c>
      <c r="R3434">
        <f>HYPERLINK("https://raw.githubusercontent.com/marcosmapl/dataset_imigrantes/main/materias_filtered/g1/haitianos/2012/06_jul/txt/g1_c8fba5cc-231b-11ed-b24f-6dbe51e79fca_3407.txt", "TXT")</f>
        <v/>
      </c>
    </row>
    <row r="3435">
      <c r="A3435" s="1" t="n">
        <v>3433</v>
      </c>
      <c r="B3435" t="n">
        <v>2012</v>
      </c>
      <c r="C3435" s="2" t="n">
        <v>41095.79166666666</v>
      </c>
      <c r="D3435" t="inlineStr">
        <is>
          <t>G1</t>
        </is>
      </c>
      <c r="E3435" t="inlineStr">
        <is>
          <t>VENEZUELANOS</t>
        </is>
      </c>
      <c r="F3435" t="inlineStr"/>
      <c r="G3435" t="inlineStr">
        <is>
          <t>CE PRESSE</t>
        </is>
      </c>
      <c r="H3435" t="inlineStr">
        <is>
          <t>EUA: ROMNEY LEMBRA INDEPENDÊNCIA VENEZUELANA E CRITICA CHÁVEZ</t>
        </is>
      </c>
      <c r="I3435" t="inlineStr"/>
      <c r="J3435" t="inlineStr"/>
      <c r="K3435" t="n">
        <v>0</v>
      </c>
      <c r="L3435" t="n">
        <v>1</v>
      </c>
      <c r="M3435" t="n">
        <v>0</v>
      </c>
      <c r="N3435" t="n">
        <v>0</v>
      </c>
      <c r="O3435" t="n">
        <v>4</v>
      </c>
      <c r="P3435">
        <f>HYPERLINK("http://g1.globo.com/mundo/noticia/2012/07/eua-romney-lembra-independencia-venezuelana-e-critica-chavez.html", "URL")</f>
        <v/>
      </c>
      <c r="Q3435">
        <f>HYPERLINK("https://raw.githubusercontent.com/marcosmapl/dataset_imigrantes/main/materias_filtered/g1/venezuelanos/2012/06_jul/html/g1_19c42530-2310-11ed-b24f-6dbe51e79fca_2840.html", "HTML")</f>
        <v/>
      </c>
      <c r="R3435">
        <f>HYPERLINK("https://raw.githubusercontent.com/marcosmapl/dataset_imigrantes/main/materias_filtered/g1/venezuelanos/2012/06_jul/txt/g1_19c42530-2310-11ed-b24f-6dbe51e79fca_2840.txt", "TXT")</f>
        <v/>
      </c>
    </row>
    <row r="3436">
      <c r="A3436" s="1" t="n">
        <v>3434</v>
      </c>
      <c r="B3436" t="n">
        <v>2012</v>
      </c>
      <c r="C3436" s="2" t="n">
        <v>41086.70833333334</v>
      </c>
      <c r="D3436" t="inlineStr">
        <is>
          <t>G1</t>
        </is>
      </c>
      <c r="E3436" t="inlineStr">
        <is>
          <t>VENEZUELANOS</t>
        </is>
      </c>
      <c r="F3436" t="inlineStr"/>
      <c r="G3436" t="inlineStr">
        <is>
          <t>ERS</t>
        </is>
      </c>
      <c r="H3436" t="inlineStr">
        <is>
          <t>TRIBO VENEZUELANA FURIOSA COM PEDRA "SAGRADA" EM BERLIM</t>
        </is>
      </c>
      <c r="I3436" t="inlineStr"/>
      <c r="J3436" t="inlineStr"/>
      <c r="K3436" t="n">
        <v>0</v>
      </c>
      <c r="L3436" t="n">
        <v>1</v>
      </c>
      <c r="M3436" t="n">
        <v>0</v>
      </c>
      <c r="N3436" t="n">
        <v>0</v>
      </c>
      <c r="O3436" t="n">
        <v>4</v>
      </c>
      <c r="P3436">
        <f>HYPERLINK("http://g1.globo.com/pop-arte/noticia/2012/06/tribo-venezuelana-furiosa-com-pedra-sagrada-em-berlim.html", "URL")</f>
        <v/>
      </c>
      <c r="Q3436">
        <f>HYPERLINK("https://raw.githubusercontent.com/marcosmapl/dataset_imigrantes/main/materias_filtered/g1/venezuelanos/2012/05_jun/html/g1_0452751c-2329-11ed-b24f-6dbe51e79fca_4095.html", "HTML")</f>
        <v/>
      </c>
      <c r="R3436">
        <f>HYPERLINK("https://raw.githubusercontent.com/marcosmapl/dataset_imigrantes/main/materias_filtered/g1/venezuelanos/2012/05_jun/txt/g1_0452751c-2329-11ed-b24f-6dbe51e79fca_4095.txt", "TXT")</f>
        <v/>
      </c>
    </row>
    <row r="3437">
      <c r="A3437" s="1" t="n">
        <v>3435</v>
      </c>
      <c r="B3437" t="n">
        <v>2012</v>
      </c>
      <c r="C3437" s="2" t="n">
        <v>41082.81804398148</v>
      </c>
      <c r="D3437" t="inlineStr">
        <is>
          <t>A CRITICA</t>
        </is>
      </c>
      <c r="E3437" t="inlineStr">
        <is>
          <t>VENEZUELANOS</t>
        </is>
      </c>
      <c r="F3437" t="inlineStr">
        <is>
          <t>AMAZONIA</t>
        </is>
      </c>
      <c r="G3437" t="inlineStr">
        <is>
          <t>ACRÍTICA.COM</t>
        </is>
      </c>
      <c r="H3437" t="inlineStr">
        <is>
          <t>COMITÊ BRASIL-VENEZUELA DE APOIO ÀS MULHERES MIGRANTES É INSTALADO NA FRONTEIRA</t>
        </is>
      </c>
      <c r="I3437" t="inlineStr">
        <is>
          <t>COMITÊ VAI POSSIBILITAR UMA ATUAÇÃO MAIS EFETIVA NO ENFRENTAMENTO AO TRÁFICO DE MENINAS E MULHERES NA FRONTEIRA ENTRE OS DOIS PAÍSES</t>
        </is>
      </c>
      <c r="J3437" t="inlineStr"/>
      <c r="K3437" t="n">
        <v>0</v>
      </c>
      <c r="L3437" t="n">
        <v>1</v>
      </c>
      <c r="M3437" t="n">
        <v>0</v>
      </c>
      <c r="N3437" t="n">
        <v>0</v>
      </c>
      <c r="O3437" t="n">
        <v>0</v>
      </c>
      <c r="P3437">
        <f>HYPERLINK("https://www.acritica.com/amazonia/comite-brasil-venezuela-de-apoio-as-mulheres-migrantes-e-instalado-na-fronteira-1.137766", "URL")</f>
        <v/>
      </c>
      <c r="Q3437">
        <f>HYPERLINK("https://raw.githubusercontent.com/marcosmapl/dataset_imigrantes/main/materias_filtered/a_critica/venezuelanos/2012/05_jun/html/1.137766_567.html", "HTML")</f>
        <v/>
      </c>
      <c r="R3437">
        <f>HYPERLINK("https://raw.githubusercontent.com/marcosmapl/dataset_imigrantes/main/materias_filtered/a_critica/venezuelanos/2012/05_jun/txt/1.137766_567.txt", "TXT")</f>
        <v/>
      </c>
    </row>
    <row r="3438">
      <c r="A3438" s="1" t="n">
        <v>3436</v>
      </c>
      <c r="B3438" t="n">
        <v>2012</v>
      </c>
      <c r="C3438" s="2" t="n">
        <v>41081.58168981481</v>
      </c>
      <c r="D3438" t="inlineStr">
        <is>
          <t>A CRITICA</t>
        </is>
      </c>
      <c r="E3438" t="inlineStr">
        <is>
          <t>HAITIANOS</t>
        </is>
      </c>
      <c r="F3438" t="inlineStr">
        <is>
          <t>AMAZONIA</t>
        </is>
      </c>
      <c r="G3438" t="inlineStr">
        <is>
          <t>AGÊNCIA BRASIL</t>
        </is>
      </c>
      <c r="H3438" t="inlineStr">
        <is>
          <t>AJUDA A HAITIANOS CHEGOU AO LIMITE, AFIRMA SECRETÁRIO DE JUSTIÇA DO ACRE</t>
        </is>
      </c>
      <c r="I3438" t="inlineStr">
        <is>
          <t>APÓS DESEMBOLSAR R$ 2 MILHÕES EM AJUDA HUMANITÁRIA, ESTADO NÃO TEM ESTRUTURA PARA RECEBER MAIS 180 HAITIANOS, QUE SE ENCONTRAM EM TERRAS PERUANAS, E SE PREPARAM PARA ENTRAR NO ACRE</t>
        </is>
      </c>
      <c r="J3438" t="inlineStr"/>
      <c r="K3438" t="n">
        <v>0</v>
      </c>
      <c r="L3438" t="n">
        <v>1</v>
      </c>
      <c r="M3438" t="n">
        <v>0</v>
      </c>
      <c r="N3438" t="n">
        <v>0</v>
      </c>
      <c r="O3438" t="n">
        <v>0</v>
      </c>
      <c r="P3438">
        <f>HYPERLINK("https://www.acritica.com/amazonia/ajuda-a-haitianos-chegou-ao-limite-afirma-secretario-de-justica-do-acre-1.137619", "URL")</f>
        <v/>
      </c>
      <c r="Q3438">
        <f>HYPERLINK("https://raw.githubusercontent.com/marcosmapl/dataset_imigrantes/main/materias_filtered/a_critica/haitianos/2012/05_jun/html/1.137619_497.html", "HTML")</f>
        <v/>
      </c>
      <c r="R3438">
        <f>HYPERLINK("https://raw.githubusercontent.com/marcosmapl/dataset_imigrantes/main/materias_filtered/a_critica/haitianos/2012/05_jun/txt/1.137619_497.txt", "TXT")</f>
        <v/>
      </c>
    </row>
    <row r="3439">
      <c r="A3439" s="1" t="n">
        <v>3437</v>
      </c>
      <c r="B3439" t="n">
        <v>2012</v>
      </c>
      <c r="C3439" s="2" t="n">
        <v>41081.30625</v>
      </c>
      <c r="D3439" t="inlineStr">
        <is>
          <t>G1</t>
        </is>
      </c>
      <c r="E3439" t="inlineStr">
        <is>
          <t>HAITIANOS</t>
        </is>
      </c>
      <c r="F3439" t="inlineStr"/>
      <c r="G3439" t="inlineStr"/>
      <c r="H3439" t="inlineStr">
        <is>
          <t>NOVAS REGRAS NÃO IMPEDEM VINDA AO BRASIL DE HAITIANOS SEM VISTOS</t>
        </is>
      </c>
      <c r="I3439" t="inlineStr"/>
      <c r="J3439" t="inlineStr"/>
      <c r="K3439" t="n">
        <v>0</v>
      </c>
      <c r="L3439" t="n">
        <v>1</v>
      </c>
      <c r="M3439" t="n">
        <v>0</v>
      </c>
      <c r="N3439" t="n">
        <v>0</v>
      </c>
      <c r="O3439" t="n">
        <v>4</v>
      </c>
      <c r="P3439">
        <f>HYPERLINK("http://g1.globo.com/mundo/noticia/2012/06/novas-regras-nao-impedem-vinda-ao-brasil-de-haitianos-sem-vistos.html", "URL")</f>
        <v/>
      </c>
      <c r="Q3439">
        <f>HYPERLINK("https://raw.githubusercontent.com/marcosmapl/dataset_imigrantes/main/materias_filtered/g1/haitianos/2012/05_jun/html/g1_402342ac-22f6-11ed-b24f-6dbe51e79fca_2003.html", "HTML")</f>
        <v/>
      </c>
      <c r="R3439">
        <f>HYPERLINK("https://raw.githubusercontent.com/marcosmapl/dataset_imigrantes/main/materias_filtered/g1/haitianos/2012/05_jun/txt/g1_402342ac-22f6-11ed-b24f-6dbe51e79fca_2003.txt", "TXT")</f>
        <v/>
      </c>
    </row>
    <row r="3440">
      <c r="A3440" s="1" t="n">
        <v>3438</v>
      </c>
      <c r="B3440" t="n">
        <v>2012</v>
      </c>
      <c r="C3440" s="2" t="n">
        <v>41076.90833333333</v>
      </c>
      <c r="D3440" t="inlineStr">
        <is>
          <t>G1</t>
        </is>
      </c>
      <c r="E3440" t="inlineStr">
        <is>
          <t>HAITIANOS</t>
        </is>
      </c>
      <c r="F3440" t="inlineStr"/>
      <c r="G3440" t="inlineStr">
        <is>
          <t>OS EDUARDO MATOSDO G1 AM</t>
        </is>
      </c>
      <c r="H3440" t="inlineStr">
        <is>
          <t>HAITIANOS DEIXAM O AMAZONAS EM BUSCA DE EMPREGO PELO BRASIL</t>
        </is>
      </c>
      <c r="I3440" t="inlineStr"/>
      <c r="J3440" t="inlineStr">
        <is>
          <t>MANAUS, AMAZONAS, RIO GRANDE DO SUL</t>
        </is>
      </c>
      <c r="K3440" t="n">
        <v>3</v>
      </c>
      <c r="L3440" t="n">
        <v>4</v>
      </c>
      <c r="M3440" t="n">
        <v>0</v>
      </c>
      <c r="N3440" t="n">
        <v>0</v>
      </c>
      <c r="O3440" t="n">
        <v>15</v>
      </c>
      <c r="P3440">
        <f>HYPERLINK("http://g1.globo.com/am/amazonas/noticia/2012/06/haitianos-deixam-o-amazonas-em-busca-de-emprego-pelo-brasil.html", "URL")</f>
        <v/>
      </c>
      <c r="Q3440">
        <f>HYPERLINK("https://raw.githubusercontent.com/marcosmapl/dataset_imigrantes/main/materias_filtered/g1/haitianos/2012/05_jun/html/g1_79c7a758-22f3-11ed-b24f-6dbe51e79fca_1842.html", "HTML")</f>
        <v/>
      </c>
      <c r="R3440">
        <f>HYPERLINK("https://raw.githubusercontent.com/marcosmapl/dataset_imigrantes/main/materias_filtered/g1/haitianos/2012/05_jun/txt/g1_79c7a758-22f3-11ed-b24f-6dbe51e79fca_1842.txt", "TXT")</f>
        <v/>
      </c>
    </row>
    <row r="3441">
      <c r="A3441" s="1" t="n">
        <v>3439</v>
      </c>
      <c r="B3441" t="n">
        <v>2012</v>
      </c>
      <c r="C3441" s="2" t="n">
        <v>41076.86585648148</v>
      </c>
      <c r="D3441" t="inlineStr">
        <is>
          <t>A CRITICA</t>
        </is>
      </c>
      <c r="E3441" t="inlineStr">
        <is>
          <t>VENEZUELANOS</t>
        </is>
      </c>
      <c r="F3441" t="inlineStr">
        <is>
          <t>MANAUS</t>
        </is>
      </c>
      <c r="G3441" t="inlineStr">
        <is>
          <t>MILTON DE OLIVEIRA</t>
        </is>
      </c>
      <c r="H3441" t="inlineStr">
        <is>
          <t>CENTROS SOCIAIS DE MANAUS ALÉM DE OFERECER LAZER PARA A COMUNIDADE TAMBÉM SÃO FONTES DE SAÚDE</t>
        </is>
      </c>
      <c r="I3441" t="inlineStr">
        <is>
          <t>LOCAIS CONSERVADOS SÃO FONTE DE RECUPERAÇÃO PARA MUITOS. RELATOS DE COORDENADORES DOS CENTROS MOSTRAM QUE OS LUGARES SÃO VERDADEIROS PRESTADORES DE SERVIÇOS À COMUNIDADE</t>
        </is>
      </c>
      <c r="J3441" t="inlineStr"/>
      <c r="K3441" t="n">
        <v>0</v>
      </c>
      <c r="L3441" t="n">
        <v>1</v>
      </c>
      <c r="M3441" t="n">
        <v>0</v>
      </c>
      <c r="N3441" t="n">
        <v>0</v>
      </c>
      <c r="O3441" t="n">
        <v>0</v>
      </c>
      <c r="P3441">
        <f>HYPERLINK("https://www.acritica.com/manaus/centros-sociais-de-manaus-alem-de-oferecer-lazer-para-a-comunidade-tambem-s-o-fontes-de-saude-1.137135", "URL")</f>
        <v/>
      </c>
      <c r="Q3441">
        <f>HYPERLINK("https://raw.githubusercontent.com/marcosmapl/dataset_imigrantes/main/materias_filtered/a_critica/venezuelanos/2012/05_jun/html/1.137135_548.html", "HTML")</f>
        <v/>
      </c>
      <c r="R3441">
        <f>HYPERLINK("https://raw.githubusercontent.com/marcosmapl/dataset_imigrantes/main/materias_filtered/a_critica/venezuelanos/2012/05_jun/txt/1.137135_548.txt", "TXT")</f>
        <v/>
      </c>
    </row>
    <row r="3442">
      <c r="A3442" s="1" t="n">
        <v>3440</v>
      </c>
      <c r="B3442" t="n">
        <v>2012</v>
      </c>
      <c r="C3442" s="2" t="n">
        <v>41074.55598379629</v>
      </c>
      <c r="D3442" t="inlineStr">
        <is>
          <t>A CRITICA</t>
        </is>
      </c>
      <c r="E3442" t="inlineStr">
        <is>
          <t>HAITIANOS</t>
        </is>
      </c>
      <c r="F3442" t="inlineStr">
        <is>
          <t>MANAUS</t>
        </is>
      </c>
      <c r="G3442" t="inlineStr">
        <is>
          <t>CIMONE BARROS</t>
        </is>
      </c>
      <c r="H3442" t="inlineStr">
        <is>
          <t>TRABALHADORES ESTRANGEIROS 'INVADEM' MERCADO DE TRABALHO NO AMAZONAS</t>
        </is>
      </c>
      <c r="I3442" t="inlineStr">
        <is>
          <t>NO PRIMEIRO TRIMESTRE DESTE ANO, O MINISTÉRIO DO TRABALHO E EMPREGO (MTE) CONCEDEU 1.264 AUTORIZAÇÕES DE TRABALHO PARA PROFISSIONAIS ESTRANGEIROS</t>
        </is>
      </c>
      <c r="J3442" t="inlineStr"/>
      <c r="K3442" t="n">
        <v>0</v>
      </c>
      <c r="L3442" t="n">
        <v>1</v>
      </c>
      <c r="M3442" t="n">
        <v>0</v>
      </c>
      <c r="N3442" t="n">
        <v>0</v>
      </c>
      <c r="O3442" t="n">
        <v>0</v>
      </c>
      <c r="P3442">
        <f>HYPERLINK("https://www.acritica.com/manaus/trabalhadores-estrangeiros-invadem-mercado-de-trabalho-no-amazonas-1.117941", "URL")</f>
        <v/>
      </c>
      <c r="Q3442">
        <f>HYPERLINK("https://raw.githubusercontent.com/marcosmapl/dataset_imigrantes/main/materias_filtered/a_critica/haitianos/2012/05_jun/html/1.117941_127.html", "HTML")</f>
        <v/>
      </c>
      <c r="R3442">
        <f>HYPERLINK("https://raw.githubusercontent.com/marcosmapl/dataset_imigrantes/main/materias_filtered/a_critica/haitianos/2012/05_jun/txt/1.117941_127.txt", "TXT")</f>
        <v/>
      </c>
    </row>
    <row r="3443">
      <c r="A3443" s="1" t="n">
        <v>3441</v>
      </c>
      <c r="B3443" t="n">
        <v>2012</v>
      </c>
      <c r="C3443" s="2" t="n">
        <v>41072.87291666667</v>
      </c>
      <c r="D3443" t="inlineStr">
        <is>
          <t>G1</t>
        </is>
      </c>
      <c r="E3443" t="inlineStr">
        <is>
          <t>HAITIANOS</t>
        </is>
      </c>
      <c r="F3443" t="inlineStr"/>
      <c r="G3443" t="inlineStr">
        <is>
          <t>ERS</t>
        </is>
      </c>
      <c r="H3443" t="inlineStr">
        <is>
          <t>NAUFRÁGIO MATA AO MENOS 11 HAITIANOS NA COSTA DAS BAHAMAS</t>
        </is>
      </c>
      <c r="I3443" t="inlineStr"/>
      <c r="J3443" t="inlineStr"/>
      <c r="K3443" t="n">
        <v>0</v>
      </c>
      <c r="L3443" t="n">
        <v>1</v>
      </c>
      <c r="M3443" t="n">
        <v>0</v>
      </c>
      <c r="N3443" t="n">
        <v>0</v>
      </c>
      <c r="O3443" t="n">
        <v>4</v>
      </c>
      <c r="P3443">
        <f>HYPERLINK("http://g1.globo.com/mundo/noticia/2012/06/naufragio-mata-ao-menos-11-haitianos-na-costa-das-bahamas.html", "URL")</f>
        <v/>
      </c>
      <c r="Q3443">
        <f>HYPERLINK("https://raw.githubusercontent.com/marcosmapl/dataset_imigrantes/main/materias_filtered/g1/haitianos/2012/05_jun/html/g1_798d52c2-22f5-11ed-b24f-6dbe51e79fca_1952.html", "HTML")</f>
        <v/>
      </c>
      <c r="R3443">
        <f>HYPERLINK("https://raw.githubusercontent.com/marcosmapl/dataset_imigrantes/main/materias_filtered/g1/haitianos/2012/05_jun/txt/g1_798d52c2-22f5-11ed-b24f-6dbe51e79fca_1952.txt", "TXT")</f>
        <v/>
      </c>
    </row>
    <row r="3444">
      <c r="A3444" s="1" t="n">
        <v>3442</v>
      </c>
      <c r="B3444" t="n">
        <v>2012</v>
      </c>
      <c r="C3444" s="2" t="n">
        <v>41072.72916666666</v>
      </c>
      <c r="D3444" t="inlineStr">
        <is>
          <t>G1</t>
        </is>
      </c>
      <c r="E3444" t="inlineStr">
        <is>
          <t>VENEZUELANOS</t>
        </is>
      </c>
      <c r="F3444" t="inlineStr"/>
      <c r="G3444" t="inlineStr">
        <is>
          <t>CE PRESSE</t>
        </is>
      </c>
      <c r="H3444" t="inlineStr">
        <is>
          <t>INDECISOS NAS ELEIÇÕES VENEZUELANAS TÊM DÚVIDAS SOBRE SAÚDE DE CHÁVEZ</t>
        </is>
      </c>
      <c r="I3444" t="inlineStr"/>
      <c r="J3444" t="inlineStr"/>
      <c r="K3444" t="n">
        <v>0</v>
      </c>
      <c r="L3444" t="n">
        <v>1</v>
      </c>
      <c r="M3444" t="n">
        <v>0</v>
      </c>
      <c r="N3444" t="n">
        <v>0</v>
      </c>
      <c r="O3444" t="n">
        <v>4</v>
      </c>
      <c r="P3444">
        <f>HYPERLINK("http://g1.globo.com/mundo/noticia/2012/06/indecisos-nas-eleicoes-venezuelanas-tem-duvidas-sobre-saude-de-chavez.html", "URL")</f>
        <v/>
      </c>
      <c r="Q3444">
        <f>HYPERLINK("https://raw.githubusercontent.com/marcosmapl/dataset_imigrantes/main/materias_filtered/g1/venezuelanos/2012/05_jun/html/g1_7fdc1ccc-230d-11ed-b24f-6dbe51e79fca_2692.html", "HTML")</f>
        <v/>
      </c>
      <c r="R3444">
        <f>HYPERLINK("https://raw.githubusercontent.com/marcosmapl/dataset_imigrantes/main/materias_filtered/g1/venezuelanos/2012/05_jun/txt/g1_7fdc1ccc-230d-11ed-b24f-6dbe51e79fca_2692.txt", "TXT")</f>
        <v/>
      </c>
    </row>
    <row r="3445">
      <c r="A3445" s="1" t="n">
        <v>3443</v>
      </c>
      <c r="B3445" t="n">
        <v>2012</v>
      </c>
      <c r="C3445" s="2" t="n">
        <v>41072.69791666666</v>
      </c>
      <c r="D3445" t="inlineStr">
        <is>
          <t>G1</t>
        </is>
      </c>
      <c r="E3445" t="inlineStr">
        <is>
          <t>HAITIANOS</t>
        </is>
      </c>
      <c r="F3445" t="inlineStr"/>
      <c r="G3445" t="inlineStr">
        <is>
          <t>CE PRESSE</t>
        </is>
      </c>
      <c r="H3445" t="inlineStr">
        <is>
          <t>ONZE MORTOS E 12 DESAPARECIDOS EM NAUFRÁGIO DE BARCO COM HAITIANOS NAS BAHAMAS</t>
        </is>
      </c>
      <c r="I3445" t="inlineStr"/>
      <c r="J3445" t="inlineStr"/>
      <c r="K3445" t="n">
        <v>0</v>
      </c>
      <c r="L3445" t="n">
        <v>1</v>
      </c>
      <c r="M3445" t="n">
        <v>0</v>
      </c>
      <c r="N3445" t="n">
        <v>0</v>
      </c>
      <c r="O3445" t="n">
        <v>4</v>
      </c>
      <c r="P3445">
        <f>HYPERLINK("http://g1.globo.com/mundo/noticia/2012/06/onze-mortos-e-12-desaparecidos-em-naufragio-de-barco-com-haitianos-nas-bahamas.html", "URL")</f>
        <v/>
      </c>
      <c r="Q3445">
        <f>HYPERLINK("https://raw.githubusercontent.com/marcosmapl/dataset_imigrantes/main/materias_filtered/g1/haitianos/2012/05_jun/html/g1_12ad7e8a-22f8-11ed-b24f-6dbe51e79fca_2115.html", "HTML")</f>
        <v/>
      </c>
      <c r="R3445">
        <f>HYPERLINK("https://raw.githubusercontent.com/marcosmapl/dataset_imigrantes/main/materias_filtered/g1/haitianos/2012/05_jun/txt/g1_12ad7e8a-22f8-11ed-b24f-6dbe51e79fca_2115.txt", "TXT")</f>
        <v/>
      </c>
    </row>
    <row r="3446">
      <c r="A3446" s="1" t="n">
        <v>3444</v>
      </c>
      <c r="B3446" t="n">
        <v>2012</v>
      </c>
      <c r="C3446" s="2" t="n">
        <v>41072.60208333333</v>
      </c>
      <c r="D3446" t="inlineStr">
        <is>
          <t>G1</t>
        </is>
      </c>
      <c r="E3446" t="inlineStr">
        <is>
          <t>HAITIANOS</t>
        </is>
      </c>
      <c r="F3446" t="inlineStr"/>
      <c r="G3446" t="inlineStr">
        <is>
          <t>1, COM AGÊNCIAS  INTERNACIONAIS</t>
        </is>
      </c>
      <c r="H3446" t="inlineStr">
        <is>
          <t>CORPOS DE HAITIANOS SÃO ENCONTRADOS EM EMBARCAÇÃO NAS BAHAMAS</t>
        </is>
      </c>
      <c r="I3446" t="inlineStr"/>
      <c r="J3446" t="inlineStr">
        <is>
          <t>BAHAMAS, HAITI</t>
        </is>
      </c>
      <c r="K3446" t="n">
        <v>2</v>
      </c>
      <c r="L3446" t="n">
        <v>5</v>
      </c>
      <c r="M3446" t="n">
        <v>0</v>
      </c>
      <c r="N3446" t="n">
        <v>0</v>
      </c>
      <c r="O3446" t="n">
        <v>10</v>
      </c>
      <c r="P3446">
        <f>HYPERLINK("http://g1.globo.com/mundo/noticia/2012/06/onze-corpos-de-haitianos-encontrados-em-embarcacao-nas-bahamas.html", "URL")</f>
        <v/>
      </c>
      <c r="Q3446">
        <f>HYPERLINK("https://raw.githubusercontent.com/marcosmapl/dataset_imigrantes/main/materias_filtered/g1/haitianos/2012/05_jun/html/g1_c458c16a-22fa-11ed-b24f-6dbe51e79fca_2239.html", "HTML")</f>
        <v/>
      </c>
      <c r="R3446">
        <f>HYPERLINK("https://raw.githubusercontent.com/marcosmapl/dataset_imigrantes/main/materias_filtered/g1/haitianos/2012/05_jun/txt/g1_c458c16a-22fa-11ed-b24f-6dbe51e79fca_2239.txt", "TXT")</f>
        <v/>
      </c>
    </row>
    <row r="3447">
      <c r="A3447" s="1" t="n">
        <v>3445</v>
      </c>
      <c r="B3447" t="n">
        <v>2012</v>
      </c>
      <c r="C3447" s="2" t="n">
        <v>41071.97916666666</v>
      </c>
      <c r="D3447" t="inlineStr">
        <is>
          <t>G1</t>
        </is>
      </c>
      <c r="E3447" t="inlineStr">
        <is>
          <t>HAITIANOS</t>
        </is>
      </c>
      <c r="F3447" t="inlineStr"/>
      <c r="G3447" t="inlineStr">
        <is>
          <t>CIA EFE</t>
        </is>
      </c>
      <c r="H3447" t="inlineStr">
        <is>
          <t>BARCA COM DESTINO AOS EUA AFUNDA E 11 HAITIANOS MORREM</t>
        </is>
      </c>
      <c r="I3447" t="inlineStr"/>
      <c r="J3447" t="inlineStr"/>
      <c r="K3447" t="n">
        <v>0</v>
      </c>
      <c r="L3447" t="n">
        <v>1</v>
      </c>
      <c r="M3447" t="n">
        <v>0</v>
      </c>
      <c r="N3447" t="n">
        <v>0</v>
      </c>
      <c r="O3447" t="n">
        <v>4</v>
      </c>
      <c r="P3447">
        <f>HYPERLINK("http://g1.globo.com/mundo/noticia/2012/06/barca-com-destino-aos-eua-afunda-e-11-haitianos-morrem.html", "URL")</f>
        <v/>
      </c>
      <c r="Q3447">
        <f>HYPERLINK("https://raw.githubusercontent.com/marcosmapl/dataset_imigrantes/main/materias_filtered/g1/haitianos/2012/05_jun/html/g1_816cba0c-22f3-11ed-b24f-6dbe51e79fca_1844.html", "HTML")</f>
        <v/>
      </c>
      <c r="R3447">
        <f>HYPERLINK("https://raw.githubusercontent.com/marcosmapl/dataset_imigrantes/main/materias_filtered/g1/haitianos/2012/05_jun/txt/g1_816cba0c-22f3-11ed-b24f-6dbe51e79fca_1844.txt", "TXT")</f>
        <v/>
      </c>
    </row>
    <row r="3448">
      <c r="A3448" s="1" t="n">
        <v>3446</v>
      </c>
      <c r="B3448" t="n">
        <v>2012</v>
      </c>
      <c r="C3448" s="2" t="n">
        <v>41070.49583333333</v>
      </c>
      <c r="D3448" t="inlineStr">
        <is>
          <t>G1</t>
        </is>
      </c>
      <c r="E3448" t="inlineStr">
        <is>
          <t>VENEZUELANOS</t>
        </is>
      </c>
      <c r="F3448" t="inlineStr"/>
      <c r="G3448" t="inlineStr">
        <is>
          <t>ERS</t>
        </is>
      </c>
      <c r="H3448" t="inlineStr">
        <is>
          <t>OPOSIÇÃO VENEZUELANA FAZ MANIFESTAÇÃO POR CAPRILES</t>
        </is>
      </c>
      <c r="I3448" t="inlineStr"/>
      <c r="J3448" t="inlineStr"/>
      <c r="K3448" t="n">
        <v>0</v>
      </c>
      <c r="L3448" t="n">
        <v>1</v>
      </c>
      <c r="M3448" t="n">
        <v>0</v>
      </c>
      <c r="N3448" t="n">
        <v>0</v>
      </c>
      <c r="O3448" t="n">
        <v>4</v>
      </c>
      <c r="P3448">
        <f>HYPERLINK("http://g1.globo.com/mundo/noticia/2012/06/oposicao-venezuelana-faz-manifestacao-por-capriles.html", "URL")</f>
        <v/>
      </c>
      <c r="Q3448">
        <f>HYPERLINK("https://raw.githubusercontent.com/marcosmapl/dataset_imigrantes/main/materias_filtered/g1/venezuelanos/2012/05_jun/html/g1_1acbfb3a-2309-11ed-b24f-6dbe51e79fca_2426.html", "HTML")</f>
        <v/>
      </c>
      <c r="R3448">
        <f>HYPERLINK("https://raw.githubusercontent.com/marcosmapl/dataset_imigrantes/main/materias_filtered/g1/venezuelanos/2012/05_jun/txt/g1_1acbfb3a-2309-11ed-b24f-6dbe51e79fca_2426.txt", "TXT")</f>
        <v/>
      </c>
    </row>
    <row r="3449">
      <c r="A3449" s="1" t="n">
        <v>3447</v>
      </c>
      <c r="B3449" t="n">
        <v>2012</v>
      </c>
      <c r="C3449" s="2" t="n">
        <v>41070.49583333333</v>
      </c>
      <c r="D3449" t="inlineStr">
        <is>
          <t>G1</t>
        </is>
      </c>
      <c r="E3449" t="inlineStr">
        <is>
          <t>VENEZUELANOS</t>
        </is>
      </c>
      <c r="F3449" t="inlineStr"/>
      <c r="G3449" t="inlineStr">
        <is>
          <t>ERS</t>
        </is>
      </c>
      <c r="H3449" t="inlineStr">
        <is>
          <t>OPOSIÇÃO VENEZUELANA FAZ MANIFESTAÇÃO POR CAPRILES</t>
        </is>
      </c>
      <c r="I3449" t="inlineStr"/>
      <c r="J3449" t="inlineStr"/>
      <c r="K3449" t="n">
        <v>0</v>
      </c>
      <c r="L3449" t="n">
        <v>1</v>
      </c>
      <c r="M3449" t="n">
        <v>0</v>
      </c>
      <c r="N3449" t="n">
        <v>0</v>
      </c>
      <c r="O3449" t="n">
        <v>4</v>
      </c>
      <c r="P3449">
        <f>HYPERLINK("http://g1.globo.com/mundo/noticia/2012/06/oposicao-venezuelana-faz-manifestacao-por-capriles-1.html", "URL")</f>
        <v/>
      </c>
      <c r="Q3449">
        <f>HYPERLINK("https://raw.githubusercontent.com/marcosmapl/dataset_imigrantes/main/materias_filtered/g1/venezuelanos/2012/05_jun/html/g1_1a43e894-2313-11ed-b24f-6dbe51e79fca_2993.html", "HTML")</f>
        <v/>
      </c>
      <c r="R3449">
        <f>HYPERLINK("https://raw.githubusercontent.com/marcosmapl/dataset_imigrantes/main/materias_filtered/g1/venezuelanos/2012/05_jun/txt/g1_1a43e894-2313-11ed-b24f-6dbe51e79fca_2993.txt", "TXT")</f>
        <v/>
      </c>
    </row>
    <row r="3450">
      <c r="A3450" s="1" t="n">
        <v>3448</v>
      </c>
      <c r="B3450" t="n">
        <v>2012</v>
      </c>
      <c r="C3450" s="2" t="n">
        <v>41066.50613425926</v>
      </c>
      <c r="D3450" t="inlineStr">
        <is>
          <t>A CRITICA</t>
        </is>
      </c>
      <c r="E3450" t="inlineStr">
        <is>
          <t>VENEZUELANOS</t>
        </is>
      </c>
      <c r="F3450" t="inlineStr"/>
      <c r="G3450" t="inlineStr">
        <is>
          <t>CINTHIA GUIMARÃES</t>
        </is>
      </c>
      <c r="H3450" t="inlineStr">
        <is>
          <t>OBRAS DA BR- 174 DEVEM SER CONCLUÍDAS ESTE ANO</t>
        </is>
      </c>
      <c r="I3450" t="inlineStr">
        <is>
          <t>RODOVIA ESTÁ EM BOM ESTADO NO AMAZONAS, MAS TEM PROBLEMAS EM RORAIMA</t>
        </is>
      </c>
      <c r="J3450" t="inlineStr"/>
      <c r="K3450" t="n">
        <v>0</v>
      </c>
      <c r="L3450" t="n">
        <v>1</v>
      </c>
      <c r="M3450" t="n">
        <v>0</v>
      </c>
      <c r="N3450" t="n">
        <v>0</v>
      </c>
      <c r="O3450" t="n">
        <v>0</v>
      </c>
      <c r="P3450">
        <f>HYPERLINK("https://www.acritica.com/obras-da-br-174-devem-ser-concluidas-este-ano-1.212602", "URL")</f>
        <v/>
      </c>
      <c r="Q3450">
        <f>HYPERLINK("https://raw.githubusercontent.com/marcosmapl/dataset_imigrantes/main/materias_filtered/a_critica/venezuelanos/2012/05_jun/html/1.212602_1109.html", "HTML")</f>
        <v/>
      </c>
      <c r="R3450">
        <f>HYPERLINK("https://raw.githubusercontent.com/marcosmapl/dataset_imigrantes/main/materias_filtered/a_critica/venezuelanos/2012/05_jun/txt/1.212602_1109.txt", "TXT")</f>
        <v/>
      </c>
    </row>
    <row r="3451">
      <c r="A3451" s="1" t="n">
        <v>3449</v>
      </c>
      <c r="B3451" t="n">
        <v>2012</v>
      </c>
      <c r="C3451" s="2" t="n">
        <v>41066.41458333333</v>
      </c>
      <c r="D3451" t="inlineStr">
        <is>
          <t>G1</t>
        </is>
      </c>
      <c r="E3451" t="inlineStr">
        <is>
          <t>HAITIANOS</t>
        </is>
      </c>
      <c r="F3451" t="inlineStr"/>
      <c r="G3451" t="inlineStr">
        <is>
          <t>IANE AZAMBUJADO G1 RO</t>
        </is>
      </c>
      <c r="H3451" t="inlineStr">
        <is>
          <t>MAIS DE 800 HAITIANOS MORAM
E TRABALHAM EM PORTO VELHO</t>
        </is>
      </c>
      <c r="I3451" t="inlineStr"/>
      <c r="J3451" t="inlineStr">
        <is>
          <t>RONDÔNIA, PORTO VELHO</t>
        </is>
      </c>
      <c r="K3451" t="n">
        <v>2</v>
      </c>
      <c r="L3451" t="n">
        <v>5</v>
      </c>
      <c r="M3451" t="n">
        <v>0</v>
      </c>
      <c r="N3451" t="n">
        <v>0</v>
      </c>
      <c r="O3451" t="n">
        <v>11</v>
      </c>
      <c r="P3451">
        <f>HYPERLINK("http://g1.globo.com/ro/rondonia/noticia/2012/06/mais-de-800-haitianos-moram-e-trabalham-em-porto-velho.html", "URL")</f>
        <v/>
      </c>
      <c r="Q3451">
        <f>HYPERLINK("https://raw.githubusercontent.com/marcosmapl/dataset_imigrantes/main/materias_filtered/g1/haitianos/2012/05_jun/html/g1_c657e070-22f2-11ed-b24f-6dbe51e79fca_1813.html", "HTML")</f>
        <v/>
      </c>
      <c r="R3451">
        <f>HYPERLINK("https://raw.githubusercontent.com/marcosmapl/dataset_imigrantes/main/materias_filtered/g1/haitianos/2012/05_jun/txt/g1_c657e070-22f2-11ed-b24f-6dbe51e79fca_1813.txt", "TXT")</f>
        <v/>
      </c>
    </row>
    <row r="3452">
      <c r="A3452" s="1" t="n">
        <v>3450</v>
      </c>
      <c r="B3452" t="n">
        <v>2012</v>
      </c>
      <c r="C3452" s="2" t="n">
        <v>41041.94673611111</v>
      </c>
      <c r="D3452" t="inlineStr">
        <is>
          <t>A CRITICA</t>
        </is>
      </c>
      <c r="E3452" t="inlineStr">
        <is>
          <t>VENEZUELANOS</t>
        </is>
      </c>
      <c r="F3452" t="inlineStr"/>
      <c r="G3452" t="inlineStr">
        <is>
          <t>ANTÔNIO XIMENES</t>
        </is>
      </c>
      <c r="H3452" t="inlineStr">
        <is>
          <t>AVENTURA NA VIDA FRONTEIRIÇA NO PELOTÃO DE CUCUÍ, NA REGIÃO DA TRÍPLICE FRONTEIRA</t>
        </is>
      </c>
      <c r="I3452" t="inlineStr">
        <is>
          <t>JOVENS CASAIS, EXPERIENTES MILITARES E INDÍGENAS SE AJUDAM NA MISSÃO DE GUARNECER UMA DAS REGIÕES MAIS REMOTAS DO PAÍS</t>
        </is>
      </c>
      <c r="J3452" t="inlineStr"/>
      <c r="K3452" t="n">
        <v>0</v>
      </c>
      <c r="L3452" t="n">
        <v>1</v>
      </c>
      <c r="M3452" t="n">
        <v>0</v>
      </c>
      <c r="N3452" t="n">
        <v>0</v>
      </c>
      <c r="O3452" t="n">
        <v>0</v>
      </c>
      <c r="P3452">
        <f>HYPERLINK("https://www.acritica.com/aventura-na-vida-fronteirica-no-pelot-o-de-cucui-na-regi-o-da-triplice-fronteira-1.140167", "URL")</f>
        <v/>
      </c>
      <c r="Q3452">
        <f>HYPERLINK("https://raw.githubusercontent.com/marcosmapl/dataset_imigrantes/main/materias_filtered/a_critica/venezuelanos/2012/04_mai/html/1.140167_707.html", "HTML")</f>
        <v/>
      </c>
      <c r="R3452">
        <f>HYPERLINK("https://raw.githubusercontent.com/marcosmapl/dataset_imigrantes/main/materias_filtered/a_critica/venezuelanos/2012/04_mai/txt/1.140167_707.txt", "TXT")</f>
        <v/>
      </c>
    </row>
    <row r="3453">
      <c r="A3453" s="1" t="n">
        <v>3451</v>
      </c>
      <c r="B3453" t="n">
        <v>2012</v>
      </c>
      <c r="C3453" s="2" t="n">
        <v>41039.80898148148</v>
      </c>
      <c r="D3453" t="inlineStr">
        <is>
          <t>A CRITICA</t>
        </is>
      </c>
      <c r="E3453" t="inlineStr">
        <is>
          <t>VENEZUELANOS</t>
        </is>
      </c>
      <c r="F3453" t="inlineStr">
        <is>
          <t>ENTRETENIMENTO</t>
        </is>
      </c>
      <c r="G3453" t="inlineStr">
        <is>
          <t>UOL/MÚSICA</t>
        </is>
      </c>
      <c r="H3453" t="inlineStr">
        <is>
          <t>JULIO IGLESIAS TEM PERTENCES FURTADOS DE QUARTO DE HOTEL EM CARACAS, NA VENEZUELA</t>
        </is>
      </c>
      <c r="I3453" t="inlineStr">
        <is>
          <t>SEGUNDO O JORNAL EL UNIVERSAL, FORAM FURTADOS DINHEIRO, PASSAPORTE E OUTROS OBJETOS DE VALOR DO CANTOR</t>
        </is>
      </c>
      <c r="J3453" t="inlineStr"/>
      <c r="K3453" t="n">
        <v>0</v>
      </c>
      <c r="L3453" t="n">
        <v>1</v>
      </c>
      <c r="M3453" t="n">
        <v>0</v>
      </c>
      <c r="N3453" t="n">
        <v>0</v>
      </c>
      <c r="O3453" t="n">
        <v>1</v>
      </c>
      <c r="P3453">
        <f>HYPERLINK("https://www.acritica.com/entretenimento/julio-iglesias-tem-pertences-furtados-de-quarto-de-hotel-em-caracas-na-venezuela-1.112066", "URL")</f>
        <v/>
      </c>
      <c r="Q3453">
        <f>HYPERLINK("https://raw.githubusercontent.com/marcosmapl/dataset_imigrantes/main/materias_filtered/a_critica/venezuelanos/2012/04_mai/html/1.112066_418.html", "HTML")</f>
        <v/>
      </c>
      <c r="R3453">
        <f>HYPERLINK("https://raw.githubusercontent.com/marcosmapl/dataset_imigrantes/main/materias_filtered/a_critica/venezuelanos/2012/04_mai/txt/1.112066_418.txt", "TXT")</f>
        <v/>
      </c>
    </row>
    <row r="3454">
      <c r="A3454" s="1" t="n">
        <v>3452</v>
      </c>
      <c r="B3454" t="n">
        <v>2012</v>
      </c>
      <c r="C3454" s="2" t="n">
        <v>41024.85980324074</v>
      </c>
      <c r="D3454" t="inlineStr">
        <is>
          <t>A CRITICA</t>
        </is>
      </c>
      <c r="E3454" t="inlineStr">
        <is>
          <t>HAITIANOS</t>
        </is>
      </c>
      <c r="F3454" t="inlineStr">
        <is>
          <t>ENTRETENIMENTO</t>
        </is>
      </c>
      <c r="G3454" t="inlineStr">
        <is>
          <t>AFP</t>
        </is>
      </c>
      <c r="H3454" t="inlineStr">
        <is>
          <t>JEAN-PAUL GAULTIER E EWAN MCGREGOR NO JÚRI DE CANNES</t>
        </is>
      </c>
      <c r="I3454" t="inlineStr">
        <is>
          <t>O DELEGADO OFICIAL DO FESTIVAL, QUE ACONTECERÁ DE 16 A 27 DE MAIO, TAMBÉM CONFIRMOU AS PRESENÇAS DA ATRIZ FRANCESA EMMANUELLE DEVOS, DA ATRIZ ALEMÃ DIANE KRUGER, DO DIRETOR DE CINEMA HAITIANO RAOUL PECK</t>
        </is>
      </c>
      <c r="J3454" t="inlineStr"/>
      <c r="K3454" t="n">
        <v>0</v>
      </c>
      <c r="L3454" t="n">
        <v>1</v>
      </c>
      <c r="M3454" t="n">
        <v>0</v>
      </c>
      <c r="N3454" t="n">
        <v>0</v>
      </c>
      <c r="O3454" t="n">
        <v>2</v>
      </c>
      <c r="P3454">
        <f>HYPERLINK("https://www.acritica.com/entretenimento/jean-paul-gaultier-e-ewan-mcgregor-no-juri-de-cannes-1.160566", "URL")</f>
        <v/>
      </c>
      <c r="Q3454">
        <f>HYPERLINK("https://raw.githubusercontent.com/marcosmapl/dataset_imigrantes/main/materias_filtered/a_critica/haitianos/2012/03_abr/html/1.160566_815.html", "HTML")</f>
        <v/>
      </c>
      <c r="R3454">
        <f>HYPERLINK("https://raw.githubusercontent.com/marcosmapl/dataset_imigrantes/main/materias_filtered/a_critica/haitianos/2012/03_abr/txt/1.160566_815.txt", "TXT")</f>
        <v/>
      </c>
    </row>
    <row r="3455">
      <c r="A3455" s="1" t="n">
        <v>3453</v>
      </c>
      <c r="B3455" t="n">
        <v>2012</v>
      </c>
      <c r="C3455" s="2" t="n">
        <v>41024.85486111111</v>
      </c>
      <c r="D3455" t="inlineStr">
        <is>
          <t>G1</t>
        </is>
      </c>
      <c r="E3455" t="inlineStr">
        <is>
          <t>HAITIANOS</t>
        </is>
      </c>
      <c r="F3455" t="inlineStr"/>
      <c r="G3455" t="inlineStr">
        <is>
          <t>1 SÃO CARLOS E REGIÃO</t>
        </is>
      </c>
      <c r="H3455" t="inlineStr">
        <is>
          <t>HAITIANOS BUSCAM REERGUER O PAÍS DE ORIGEM ESTUDANDO NA UFSCAR</t>
        </is>
      </c>
      <c r="I3455" t="inlineStr"/>
      <c r="J3455" t="inlineStr">
        <is>
          <t>HAITI, SÃO CARLOS</t>
        </is>
      </c>
      <c r="K3455" t="n">
        <v>2</v>
      </c>
      <c r="L3455" t="n">
        <v>5</v>
      </c>
      <c r="M3455" t="n">
        <v>0</v>
      </c>
      <c r="N3455" t="n">
        <v>0</v>
      </c>
      <c r="O3455" t="n">
        <v>13</v>
      </c>
      <c r="P3455">
        <f>HYPERLINK("http://g1.globo.com/sp/sao-carlos-regiao/noticia/2012/04/haitianos-buscam-reerguer-o-pais-de-origem-estudando-na-ufscar.html", "URL")</f>
        <v/>
      </c>
      <c r="Q3455">
        <f>HYPERLINK("https://raw.githubusercontent.com/marcosmapl/dataset_imigrantes/main/materias_filtered/g1/haitianos/2012/03_abr/html/g1_8eccd6d2-22f3-11ed-b24f-6dbe51e79fca_1846.html", "HTML")</f>
        <v/>
      </c>
      <c r="R3455">
        <f>HYPERLINK("https://raw.githubusercontent.com/marcosmapl/dataset_imigrantes/main/materias_filtered/g1/haitianos/2012/03_abr/txt/g1_8eccd6d2-22f3-11ed-b24f-6dbe51e79fca_1846.txt", "TXT")</f>
        <v/>
      </c>
    </row>
    <row r="3456">
      <c r="A3456" s="1" t="n">
        <v>3454</v>
      </c>
      <c r="B3456" t="n">
        <v>2012</v>
      </c>
      <c r="C3456" s="2" t="n">
        <v>41023.07815972222</v>
      </c>
      <c r="D3456" t="inlineStr">
        <is>
          <t>A CRITICA</t>
        </is>
      </c>
      <c r="E3456" t="inlineStr">
        <is>
          <t>HAITIANOS</t>
        </is>
      </c>
      <c r="F3456" t="inlineStr">
        <is>
          <t>MANAUS</t>
        </is>
      </c>
      <c r="G3456" t="inlineStr">
        <is>
          <t>PIERO CAÍQUE</t>
        </is>
      </c>
      <c r="H3456" t="inlineStr">
        <is>
          <t>GRUPO DE 60 HAITIANOS É EXPULSO DE IGREJA PENTECOSTAL NA ZONA OESTE DE MANAUS</t>
        </is>
      </c>
      <c r="I3456" t="inlineStr">
        <is>
          <t>A AFIRMAÇÃO PARTIU DO REPRESENTANTE DA ASSOCIAÇÃO DOS TRABALHADORES HAITIANOS DO AMAZONAS (ATHAM), NESTOR NASCIMENTO.</t>
        </is>
      </c>
      <c r="J3456" t="inlineStr"/>
      <c r="K3456" t="n">
        <v>0</v>
      </c>
      <c r="L3456" t="n">
        <v>1</v>
      </c>
      <c r="M3456" t="n">
        <v>0</v>
      </c>
      <c r="N3456" t="n">
        <v>0</v>
      </c>
      <c r="O3456" t="n">
        <v>0</v>
      </c>
      <c r="P3456">
        <f>HYPERLINK("https://www.acritica.com/manaus/grupo-de-60-haitianos-e-expulso-de-igreja-pentecostal-na-zona-oeste-de-manaus-1.160231", "URL")</f>
        <v/>
      </c>
      <c r="Q3456">
        <f>HYPERLINK("https://raw.githubusercontent.com/marcosmapl/dataset_imigrantes/main/materias_filtered/a_critica/haitianos/2012/03_abr/html/1.160231_956.html", "HTML")</f>
        <v/>
      </c>
      <c r="R3456">
        <f>HYPERLINK("https://raw.githubusercontent.com/marcosmapl/dataset_imigrantes/main/materias_filtered/a_critica/haitianos/2012/03_abr/txt/1.160231_956.txt", "TXT")</f>
        <v/>
      </c>
    </row>
    <row r="3457">
      <c r="A3457" s="1" t="n">
        <v>3455</v>
      </c>
      <c r="B3457" t="n">
        <v>2012</v>
      </c>
      <c r="C3457" s="2" t="n">
        <v>41022.79226851852</v>
      </c>
      <c r="D3457" t="inlineStr">
        <is>
          <t>A CRITICA</t>
        </is>
      </c>
      <c r="E3457" t="inlineStr">
        <is>
          <t>HAITIANOS</t>
        </is>
      </c>
      <c r="F3457" t="inlineStr">
        <is>
          <t>ENTRETENIMENTO</t>
        </is>
      </c>
      <c r="G3457" t="inlineStr">
        <is>
          <t>THIAGO GONÇALVES</t>
        </is>
      </c>
      <c r="H3457" t="inlineStr">
        <is>
          <t>HAITIANOS ANIMAM NOITE DE DOMINGO COM EVENTO INÉDITO EM MANAUS</t>
        </is>
      </c>
      <c r="I3457" t="inlineStr">
        <is>
          <t>NO INÍCIO DA APRESENTAÇÃO, BOA PARTE DO PÚBLICO DE IMIGRANTES PERMANECEU FORA DO LOCAL DO EVENTO, JÁ QUE NÃO CONSEGUIU COMPRAR INGRESSO NO VALOR DE R$ 5. APÓS O PRIMEIRO SHOW A ENTRADA FOI LIBERADA E TODOS PUDERAM COMEMORAR JUNTOS</t>
        </is>
      </c>
      <c r="J3457" t="inlineStr"/>
      <c r="K3457" t="n">
        <v>0</v>
      </c>
      <c r="L3457" t="n">
        <v>1</v>
      </c>
      <c r="M3457" t="n">
        <v>0</v>
      </c>
      <c r="N3457" t="n">
        <v>0</v>
      </c>
      <c r="O3457" t="n">
        <v>1</v>
      </c>
      <c r="P3457">
        <f>HYPERLINK("https://www.acritica.com/entretenimento/haitianos-animam-noite-de-domingo-com-evento-inedito-em-manaus-1.110200", "URL")</f>
        <v/>
      </c>
      <c r="Q3457">
        <f>HYPERLINK("https://raw.githubusercontent.com/marcosmapl/dataset_imigrantes/main/materias_filtered/a_critica/haitianos/2012/03_abr/html/1.110200_266.html", "HTML")</f>
        <v/>
      </c>
      <c r="R3457">
        <f>HYPERLINK("https://raw.githubusercontent.com/marcosmapl/dataset_imigrantes/main/materias_filtered/a_critica/haitianos/2012/03_abr/txt/1.110200_266.txt", "TXT")</f>
        <v/>
      </c>
    </row>
    <row r="3458">
      <c r="A3458" s="1" t="n">
        <v>3456</v>
      </c>
      <c r="B3458" t="n">
        <v>2012</v>
      </c>
      <c r="C3458" s="2" t="n">
        <v>41021.91986111111</v>
      </c>
      <c r="D3458" t="inlineStr">
        <is>
          <t>A CRITICA</t>
        </is>
      </c>
      <c r="E3458" t="inlineStr">
        <is>
          <t>HAITIANOS</t>
        </is>
      </c>
      <c r="F3458" t="inlineStr">
        <is>
          <t>MANAUS</t>
        </is>
      </c>
      <c r="G3458" t="inlineStr">
        <is>
          <t>THIAGO GONÇALVES</t>
        </is>
      </c>
      <c r="H3458" t="inlineStr">
        <is>
          <t>HAITIANOS FARÃO MUSICAL INÉDITO NESTE DOMINGO EM MANAUS</t>
        </is>
      </c>
      <c r="I3458" t="inlineStr">
        <is>
          <t>ALÉM DE APRESENTAÇÃO MUSICAL IMIGRANTES VÃO COMERCIALIZAR COMIDAS TÍPICAS DO HAITI, NO GINÁSIO DA PARÓQUIA DE SÃO GERALDO, NA ZONA CENTRO-SUL DE MANAUS</t>
        </is>
      </c>
      <c r="J3458" t="inlineStr"/>
      <c r="K3458" t="n">
        <v>0</v>
      </c>
      <c r="L3458" t="n">
        <v>1</v>
      </c>
      <c r="M3458" t="n">
        <v>0</v>
      </c>
      <c r="N3458" t="n">
        <v>0</v>
      </c>
      <c r="O3458" t="n">
        <v>1</v>
      </c>
      <c r="P3458">
        <f>HYPERLINK("https://www.acritica.com/manaus/haitianos-far-o-musical-inedito-neste-domingo-em-manaus-1.110240", "URL")</f>
        <v/>
      </c>
      <c r="Q3458">
        <f>HYPERLINK("https://raw.githubusercontent.com/marcosmapl/dataset_imigrantes/main/materias_filtered/a_critica/haitianos/2012/03_abr/html/1.110240_905.html", "HTML")</f>
        <v/>
      </c>
      <c r="R3458">
        <f>HYPERLINK("https://raw.githubusercontent.com/marcosmapl/dataset_imigrantes/main/materias_filtered/a_critica/haitianos/2012/03_abr/txt/1.110240_905.txt", "TXT")</f>
        <v/>
      </c>
    </row>
    <row r="3459">
      <c r="A3459" s="1" t="n">
        <v>3457</v>
      </c>
      <c r="B3459" t="n">
        <v>2012</v>
      </c>
      <c r="C3459" s="2" t="n">
        <v>41020.99870370371</v>
      </c>
      <c r="D3459" t="inlineStr">
        <is>
          <t>A CRITICA</t>
        </is>
      </c>
      <c r="E3459" t="inlineStr">
        <is>
          <t>HAITIANOS</t>
        </is>
      </c>
      <c r="F3459" t="inlineStr">
        <is>
          <t>MANAUS</t>
        </is>
      </c>
      <c r="G3459" t="inlineStr">
        <is>
          <t>ACRÍTICA.COM</t>
        </is>
      </c>
      <c r="H3459" t="inlineStr">
        <is>
          <t>GRUPO COM MAIS DE 120 HAITIANOS CHEGA A MANAUS NESTE SÁBADO (21)</t>
        </is>
      </c>
      <c r="I3459" t="inlineStr">
        <is>
          <t>OS HAITIANOS FORAM SUBMETIDOS A UM CADASTRO DE CONTROLE E SERÃO DIVIDIDOS ENTRE A PARÓQUIA DE SÃO GERALDO E ABRIGOS ESPALHADOS PELA CIDADE</t>
        </is>
      </c>
      <c r="J3459" t="inlineStr"/>
      <c r="K3459" t="n">
        <v>0</v>
      </c>
      <c r="L3459" t="n">
        <v>1</v>
      </c>
      <c r="M3459" t="n">
        <v>0</v>
      </c>
      <c r="N3459" t="n">
        <v>0</v>
      </c>
      <c r="O3459" t="n">
        <v>0</v>
      </c>
      <c r="P3459">
        <f>HYPERLINK("https://www.acritica.com/manaus/grupo-com-mais-de-120-haitianos-chega-a-manaus-neste-sabado-21-1.109445", "URL")</f>
        <v/>
      </c>
      <c r="Q3459">
        <f>HYPERLINK("https://raw.githubusercontent.com/marcosmapl/dataset_imigrantes/main/materias_filtered/a_critica/haitianos/2012/03_abr/html/1.109445_354.html", "HTML")</f>
        <v/>
      </c>
      <c r="R3459">
        <f>HYPERLINK("https://raw.githubusercontent.com/marcosmapl/dataset_imigrantes/main/materias_filtered/a_critica/haitianos/2012/03_abr/txt/1.109445_354.txt", "TXT")</f>
        <v/>
      </c>
    </row>
    <row r="3460">
      <c r="A3460" s="1" t="n">
        <v>3458</v>
      </c>
      <c r="B3460" t="n">
        <v>2012</v>
      </c>
      <c r="C3460" s="2" t="n">
        <v>41020.81501157407</v>
      </c>
      <c r="D3460" t="inlineStr">
        <is>
          <t>A CRITICA</t>
        </is>
      </c>
      <c r="E3460" t="inlineStr">
        <is>
          <t>VENEZUELANOS</t>
        </is>
      </c>
      <c r="F3460" t="inlineStr">
        <is>
          <t>ESPORTES</t>
        </is>
      </c>
      <c r="G3460" t="inlineStr">
        <is>
          <t>UOL/ ESPORTE</t>
        </is>
      </c>
      <c r="H3460" t="inlineStr">
        <is>
          <t>VETTEL SE RECUPERA E CONQUISTA 1ª POLE DO ANO; MASSA LARGA EM 14º NO BAHREIN</t>
        </is>
      </c>
      <c r="I3460" t="inlineStr">
        <is>
          <t>APÓS PASSAR EM BRANCO NAS TRÊS PROVAS ANTERIORES, O ALEMÃO MOSTROU QUE ESTÁ NO PÁREO E OBTEVE A POLE POSITION PARA O GP DO BAHREIN</t>
        </is>
      </c>
      <c r="J3460" t="inlineStr"/>
      <c r="K3460" t="n">
        <v>0</v>
      </c>
      <c r="L3460" t="n">
        <v>1</v>
      </c>
      <c r="M3460" t="n">
        <v>0</v>
      </c>
      <c r="N3460" t="n">
        <v>0</v>
      </c>
      <c r="O3460" t="n">
        <v>0</v>
      </c>
      <c r="P3460">
        <f>HYPERLINK("https://www.acritica.com/esportes/vettel-se-recupera-e-conquista-1-pole-do-ano-massa-larga-em-14-no-bahrein-1.160308", "URL")</f>
        <v/>
      </c>
      <c r="Q3460">
        <f>HYPERLINK("https://raw.githubusercontent.com/marcosmapl/dataset_imigrantes/main/materias_filtered/a_critica/venezuelanos/2012/03_abr/html/1.160308_1177.html", "HTML")</f>
        <v/>
      </c>
      <c r="R3460">
        <f>HYPERLINK("https://raw.githubusercontent.com/marcosmapl/dataset_imigrantes/main/materias_filtered/a_critica/venezuelanos/2012/03_abr/txt/1.160308_1177.txt", "TXT")</f>
        <v/>
      </c>
    </row>
    <row r="3461">
      <c r="A3461" s="1" t="n">
        <v>3459</v>
      </c>
      <c r="B3461" t="n">
        <v>2012</v>
      </c>
      <c r="C3461" s="2" t="n">
        <v>41017.96319444444</v>
      </c>
      <c r="D3461" t="inlineStr">
        <is>
          <t>G1</t>
        </is>
      </c>
      <c r="E3461" t="inlineStr">
        <is>
          <t>HAITIANOS</t>
        </is>
      </c>
      <c r="F3461" t="inlineStr"/>
      <c r="G3461" t="inlineStr">
        <is>
          <t>1 RS, COM INFORMAÇÕES DA RBS TV</t>
        </is>
      </c>
      <c r="H3461" t="inlineStr">
        <is>
          <t>APÓS TEREM PAPÉIS RETIDOS NO RS, HAITIANOS GANHAM NOVOS EMPREGOS</t>
        </is>
      </c>
      <c r="I3461" t="inlineStr"/>
      <c r="J3461" t="inlineStr">
        <is>
          <t>RIO GRANDE DO SUL, GRAVATAÍ, OSÓRIO</t>
        </is>
      </c>
      <c r="K3461" t="n">
        <v>3</v>
      </c>
      <c r="L3461" t="n">
        <v>3</v>
      </c>
      <c r="M3461" t="n">
        <v>0</v>
      </c>
      <c r="N3461" t="n">
        <v>0</v>
      </c>
      <c r="O3461" t="n">
        <v>17</v>
      </c>
      <c r="P3461">
        <f>HYPERLINK("http://g1.globo.com/rs/rio-grande-do-sul/noticia/2012/04/apos-terem-papeis-retidos-no-rs-haitianos-ganham-novos-empregos.html", "URL")</f>
        <v/>
      </c>
      <c r="Q3461">
        <f>HYPERLINK("https://raw.githubusercontent.com/marcosmapl/dataset_imigrantes/main/materias_filtered/g1/haitianos/2012/03_abr/html/g1_ae01b420-22f6-11ed-b24f-6dbe51e79fca_2029.html", "HTML")</f>
        <v/>
      </c>
      <c r="R3461">
        <f>HYPERLINK("https://raw.githubusercontent.com/marcosmapl/dataset_imigrantes/main/materias_filtered/g1/haitianos/2012/03_abr/txt/g1_ae01b420-22f6-11ed-b24f-6dbe51e79fca_2029.txt", "TXT")</f>
        <v/>
      </c>
    </row>
    <row r="3462">
      <c r="A3462" s="1" t="n">
        <v>3460</v>
      </c>
      <c r="B3462" t="n">
        <v>2012</v>
      </c>
      <c r="C3462" s="2" t="n">
        <v>41017.81666666667</v>
      </c>
      <c r="D3462" t="inlineStr">
        <is>
          <t>G1</t>
        </is>
      </c>
      <c r="E3462" t="inlineStr">
        <is>
          <t>VENEZUELANOS</t>
        </is>
      </c>
      <c r="F3462" t="inlineStr"/>
      <c r="G3462" t="inlineStr">
        <is>
          <t>CE PRESSE</t>
        </is>
      </c>
      <c r="H3462" t="inlineStr">
        <is>
          <t>EUA: JUIZ ENVOLVE AUTORIDADES VENEZUELANAS NO NARCOTRÁFICO</t>
        </is>
      </c>
      <c r="I3462" t="inlineStr"/>
      <c r="J3462" t="inlineStr"/>
      <c r="K3462" t="n">
        <v>0</v>
      </c>
      <c r="L3462" t="n">
        <v>1</v>
      </c>
      <c r="M3462" t="n">
        <v>0</v>
      </c>
      <c r="N3462" t="n">
        <v>0</v>
      </c>
      <c r="O3462" t="n">
        <v>4</v>
      </c>
      <c r="P3462">
        <f>HYPERLINK("http://g1.globo.com/mundo/noticia/2012/04/eua-juiz-envolve-autoridades-venezuelanas-no-narcotrafico.html", "URL")</f>
        <v/>
      </c>
      <c r="Q3462">
        <f>HYPERLINK("https://raw.githubusercontent.com/marcosmapl/dataset_imigrantes/main/materias_filtered/g1/venezuelanos/2012/03_abr/html/g1_c15a9a80-2325-11ed-b24f-6dbe51e79fca_3933.html", "HTML")</f>
        <v/>
      </c>
      <c r="R3462">
        <f>HYPERLINK("https://raw.githubusercontent.com/marcosmapl/dataset_imigrantes/main/materias_filtered/g1/venezuelanos/2012/03_abr/txt/g1_c15a9a80-2325-11ed-b24f-6dbe51e79fca_3933.txt", "TXT")</f>
        <v/>
      </c>
    </row>
    <row r="3463">
      <c r="A3463" s="1" t="n">
        <v>3461</v>
      </c>
      <c r="B3463" t="n">
        <v>2012</v>
      </c>
      <c r="C3463" s="2" t="n">
        <v>41016.79583333333</v>
      </c>
      <c r="D3463" t="inlineStr">
        <is>
          <t>G1</t>
        </is>
      </c>
      <c r="E3463" t="inlineStr">
        <is>
          <t>HAITIANOS</t>
        </is>
      </c>
      <c r="F3463" t="inlineStr"/>
      <c r="G3463" t="inlineStr">
        <is>
          <t>CE PRESSE</t>
        </is>
      </c>
      <c r="H3463" t="inlineStr">
        <is>
          <t>PRESIDENTE HAITIANO MARTELLY SOFRE EMBOLIA PULMONAR</t>
        </is>
      </c>
      <c r="I3463" t="inlineStr"/>
      <c r="J3463" t="inlineStr"/>
      <c r="K3463" t="n">
        <v>0</v>
      </c>
      <c r="L3463" t="n">
        <v>1</v>
      </c>
      <c r="M3463" t="n">
        <v>0</v>
      </c>
      <c r="N3463" t="n">
        <v>0</v>
      </c>
      <c r="O3463" t="n">
        <v>4</v>
      </c>
      <c r="P3463">
        <f>HYPERLINK("http://g1.globo.com/mundo/noticia/2012/04/presidente-haitiano-martelly-sofre-embolia-pulmonar.html", "URL")</f>
        <v/>
      </c>
      <c r="Q3463">
        <f>HYPERLINK("https://raw.githubusercontent.com/marcosmapl/dataset_imigrantes/main/materias_filtered/g1/haitianos/2012/03_abr/html/g1_d87717f0-2309-11ed-b24f-6dbe51e79fca_2468.html", "HTML")</f>
        <v/>
      </c>
      <c r="R3463">
        <f>HYPERLINK("https://raw.githubusercontent.com/marcosmapl/dataset_imigrantes/main/materias_filtered/g1/haitianos/2012/03_abr/txt/g1_d87717f0-2309-11ed-b24f-6dbe51e79fca_2468.txt", "TXT")</f>
        <v/>
      </c>
    </row>
    <row r="3464">
      <c r="A3464" s="1" t="n">
        <v>3462</v>
      </c>
      <c r="B3464" t="n">
        <v>2012</v>
      </c>
      <c r="C3464" s="2" t="n">
        <v>41012.73799768519</v>
      </c>
      <c r="D3464" t="inlineStr">
        <is>
          <t>A CRITICA</t>
        </is>
      </c>
      <c r="E3464" t="inlineStr">
        <is>
          <t>HAITIANOS</t>
        </is>
      </c>
      <c r="F3464" t="inlineStr">
        <is>
          <t>ENTRETENIMENTO</t>
        </is>
      </c>
      <c r="G3464" t="inlineStr">
        <is>
          <t>ACRÍTICA.COM</t>
        </is>
      </c>
      <c r="H3464" t="inlineStr">
        <is>
          <t>DO PAGODE AO ROCK E DESFILE DE COSPLAY: MUITAS OPÇÕES DE DIVERSÃO PARA ESTE FIM DE SEMANA</t>
        </is>
      </c>
      <c r="I3464" t="inlineStr">
        <is>
          <t>SAIBA ONDE ENCONTRAR A BALADA PERFEITA NA AGENDA CULTURAL</t>
        </is>
      </c>
      <c r="J3464" t="inlineStr"/>
      <c r="K3464" t="n">
        <v>0</v>
      </c>
      <c r="L3464" t="n">
        <v>1</v>
      </c>
      <c r="M3464" t="n">
        <v>0</v>
      </c>
      <c r="N3464" t="n">
        <v>0</v>
      </c>
      <c r="O3464" t="n">
        <v>0</v>
      </c>
      <c r="P3464">
        <f>HYPERLINK("https://www.acritica.com/entretenimento/do-pagode-ao-rock-e-desfile-de-cosplay-muitas-opc-es-de-divers-o-para-este-fim-de-semana-1.159775", "URL")</f>
        <v/>
      </c>
      <c r="Q3464">
        <f>HYPERLINK("https://raw.githubusercontent.com/marcosmapl/dataset_imigrantes/main/materias_filtered/a_critica/haitianos/2012/03_abr/html/1.159775_921.html", "HTML")</f>
        <v/>
      </c>
      <c r="R3464">
        <f>HYPERLINK("https://raw.githubusercontent.com/marcosmapl/dataset_imigrantes/main/materias_filtered/a_critica/haitianos/2012/03_abr/txt/1.159775_921.txt", "TXT")</f>
        <v/>
      </c>
    </row>
    <row r="3465">
      <c r="A3465" s="1" t="n">
        <v>3463</v>
      </c>
      <c r="B3465" t="n">
        <v>2012</v>
      </c>
      <c r="C3465" s="2" t="n">
        <v>41009.575</v>
      </c>
      <c r="D3465" t="inlineStr">
        <is>
          <t>G1</t>
        </is>
      </c>
      <c r="E3465" t="inlineStr">
        <is>
          <t>HAITIANOS</t>
        </is>
      </c>
      <c r="F3465" t="inlineStr"/>
      <c r="G3465" t="inlineStr"/>
      <c r="H3465" t="inlineStr">
        <is>
          <t>IMIGRANTES HAITIANOS ENTRAM NO BRASIL APÓS TRÊS MESES DE ESPERA</t>
        </is>
      </c>
      <c r="I3465" t="inlineStr"/>
      <c r="J3465" t="inlineStr"/>
      <c r="K3465" t="n">
        <v>0</v>
      </c>
      <c r="L3465" t="n">
        <v>1</v>
      </c>
      <c r="M3465" t="n">
        <v>0</v>
      </c>
      <c r="N3465" t="n">
        <v>0</v>
      </c>
      <c r="O3465" t="n">
        <v>4</v>
      </c>
      <c r="P3465">
        <f>HYPERLINK("http://g1.globo.com/mundo/noticia/2012/04/imigrantes-haitianos-entram-no-brasil-apos-tres-meses-de-espera.html", "URL")</f>
        <v/>
      </c>
      <c r="Q3465">
        <f>HYPERLINK("https://raw.githubusercontent.com/marcosmapl/dataset_imigrantes/main/materias_filtered/g1/haitianos/2012/03_abr/html/g1_506e37ac-22f6-11ed-b24f-6dbe51e79fca_2006.html", "HTML")</f>
        <v/>
      </c>
      <c r="R3465">
        <f>HYPERLINK("https://raw.githubusercontent.com/marcosmapl/dataset_imigrantes/main/materias_filtered/g1/haitianos/2012/03_abr/txt/g1_506e37ac-22f6-11ed-b24f-6dbe51e79fca_2006.txt", "TXT")</f>
        <v/>
      </c>
    </row>
    <row r="3466">
      <c r="A3466" s="1" t="n">
        <v>3464</v>
      </c>
      <c r="B3466" t="n">
        <v>2012</v>
      </c>
      <c r="C3466" s="2" t="n">
        <v>41008.8875</v>
      </c>
      <c r="D3466" t="inlineStr">
        <is>
          <t>G1</t>
        </is>
      </c>
      <c r="E3466" t="inlineStr">
        <is>
          <t>HAITIANOS</t>
        </is>
      </c>
      <c r="F3466" t="inlineStr"/>
      <c r="G3466" t="inlineStr"/>
      <c r="H3466" t="inlineStr">
        <is>
          <t>JUSTIÇA AUTORIZA ENTRADA DE 245 IMIGRANTES HAITIANOS NO BRASIL</t>
        </is>
      </c>
      <c r="I3466" t="inlineStr"/>
      <c r="J3466" t="inlineStr"/>
      <c r="K3466" t="n">
        <v>0</v>
      </c>
      <c r="L3466" t="n">
        <v>0</v>
      </c>
      <c r="M3466" t="n">
        <v>0</v>
      </c>
      <c r="N3466" t="n">
        <v>0</v>
      </c>
      <c r="O3466" t="n">
        <v>4</v>
      </c>
      <c r="P3466">
        <f>HYPERLINK("http://g1.globo.com/jornal-nacional/noticia/2012/04/justica-autoriza-entrada-de-245-imigrantes-haitianos-no-brasil.html", "URL")</f>
        <v/>
      </c>
      <c r="Q3466">
        <f>HYPERLINK("https://raw.githubusercontent.com/marcosmapl/dataset_imigrantes/main/materias_filtered/g1/haitianos/2012/03_abr/html/g1_aebd10c8-22f9-11ed-b24f-6dbe51e79fca_2178.html", "HTML")</f>
        <v/>
      </c>
      <c r="R3466">
        <f>HYPERLINK("https://raw.githubusercontent.com/marcosmapl/dataset_imigrantes/main/materias_filtered/g1/haitianos/2012/03_abr/txt/g1_aebd10c8-22f9-11ed-b24f-6dbe51e79fca_2178.txt", "TXT")</f>
        <v/>
      </c>
    </row>
    <row r="3467">
      <c r="A3467" s="1" t="n">
        <v>3465</v>
      </c>
      <c r="B3467" t="n">
        <v>2012</v>
      </c>
      <c r="C3467" s="2" t="n">
        <v>41007.59166666667</v>
      </c>
      <c r="D3467" t="inlineStr">
        <is>
          <t>G1</t>
        </is>
      </c>
      <c r="E3467" t="inlineStr">
        <is>
          <t>HAITIANOS</t>
        </is>
      </c>
      <c r="F3467" t="inlineStr"/>
      <c r="G3467" t="inlineStr">
        <is>
          <t>RANCE PRESSE</t>
        </is>
      </c>
      <c r="H3467" t="inlineStr">
        <is>
          <t>DESMORONAMENTO DE LOCAL DE CULTO EVANGÉLICO MATA UM NA FRANÇA</t>
        </is>
      </c>
      <c r="I3467" t="inlineStr"/>
      <c r="J3467" t="inlineStr">
        <is>
          <t>FRANÇA</t>
        </is>
      </c>
      <c r="K3467" t="n">
        <v>1</v>
      </c>
      <c r="L3467" t="n">
        <v>7</v>
      </c>
      <c r="M3467" t="n">
        <v>0</v>
      </c>
      <c r="N3467" t="n">
        <v>0</v>
      </c>
      <c r="O3467" t="n">
        <v>10</v>
      </c>
      <c r="P3467">
        <f>HYPERLINK("http://g1.globo.com/mundo/noticia/2012/04/desmoronamento-de-local-de-culto-evangelico-mata-um-na-franca.html", "URL")</f>
        <v/>
      </c>
      <c r="Q3467">
        <f>HYPERLINK("https://raw.githubusercontent.com/marcosmapl/dataset_imigrantes/main/materias_filtered/g1/haitianos/2012/03_abr/html/g1_c095da3c-231c-11ed-b24f-6dbe51e79fca_3462.html", "HTML")</f>
        <v/>
      </c>
      <c r="R3467">
        <f>HYPERLINK("https://raw.githubusercontent.com/marcosmapl/dataset_imigrantes/main/materias_filtered/g1/haitianos/2012/03_abr/txt/g1_c095da3c-231c-11ed-b24f-6dbe51e79fca_3462.txt", "TXT")</f>
        <v/>
      </c>
    </row>
    <row r="3468">
      <c r="A3468" s="1" t="n">
        <v>3466</v>
      </c>
      <c r="B3468" t="n">
        <v>2012</v>
      </c>
      <c r="C3468" s="2" t="n">
        <v>41006.54791666667</v>
      </c>
      <c r="D3468" t="inlineStr">
        <is>
          <t>G1</t>
        </is>
      </c>
      <c r="E3468" t="inlineStr">
        <is>
          <t>HAITIANOS</t>
        </is>
      </c>
      <c r="F3468" t="inlineStr"/>
      <c r="G3468" t="inlineStr">
        <is>
          <t>1 AM</t>
        </is>
      </c>
      <c r="H3468" t="inlineStr">
        <is>
          <t>GOVERNO DIZ QUE VAI REGULARIZAR MAIS 363 HAITIANOS QUE VIVEM NO AM</t>
        </is>
      </c>
      <c r="I3468" t="inlineStr"/>
      <c r="J3468" t="inlineStr"/>
      <c r="K3468" t="n">
        <v>0</v>
      </c>
      <c r="L3468" t="n">
        <v>1</v>
      </c>
      <c r="M3468" t="n">
        <v>0</v>
      </c>
      <c r="N3468" t="n">
        <v>0</v>
      </c>
      <c r="O3468" t="n">
        <v>4</v>
      </c>
      <c r="P3468">
        <f>HYPERLINK("http://g1.globo.com/am/amazonas/noticia/2012/04/governo-diz-que-vai-regularizar-363-haitianos-que-vivem-no-amazonas.html", "URL")</f>
        <v/>
      </c>
      <c r="Q3468">
        <f>HYPERLINK("https://raw.githubusercontent.com/marcosmapl/dataset_imigrantes/main/materias_filtered/g1/haitianos/2012/03_abr/html/g1_b1af82a6-22fa-11ed-b24f-6dbe51e79fca_2235.html", "HTML")</f>
        <v/>
      </c>
      <c r="R3468">
        <f>HYPERLINK("https://raw.githubusercontent.com/marcosmapl/dataset_imigrantes/main/materias_filtered/g1/haitianos/2012/03_abr/txt/g1_b1af82a6-22fa-11ed-b24f-6dbe51e79fca_2235.txt", "TXT")</f>
        <v/>
      </c>
    </row>
    <row r="3469">
      <c r="A3469" s="1" t="n">
        <v>3467</v>
      </c>
      <c r="B3469" t="n">
        <v>2012</v>
      </c>
      <c r="C3469" s="2" t="n">
        <v>41005.82327546296</v>
      </c>
      <c r="D3469" t="inlineStr">
        <is>
          <t>A CRITICA</t>
        </is>
      </c>
      <c r="E3469" t="inlineStr">
        <is>
          <t>HAITIANOS</t>
        </is>
      </c>
      <c r="F3469" t="inlineStr"/>
      <c r="G3469" t="inlineStr">
        <is>
          <t>LOURENÇO CANUTO/AGÊNCIA BRASIL</t>
        </is>
      </c>
      <c r="H3469" t="inlineStr">
        <is>
          <t>HAITIANOS QUE ESTÃO NO PERU VÃO ENTRAR NO BRASIL EM GRUPOS A PARTIR DA PRÓXIMA SEMANA</t>
        </is>
      </c>
      <c r="I3469" t="inlineStr">
        <is>
          <t>MAIS 363 HAITIANOS QUE ESTÃO EM SITUAÇÃO IRREGULAR EM TABATINGA, NO AMAZONAS, AINDA VÃO RECEBER VISTO PARA PROCURAR TRABALHO EM OUTRAS REGIÕES, INFORMOU O MINISTÉRIO DA JUSTIÇA</t>
        </is>
      </c>
      <c r="J3469" t="inlineStr"/>
      <c r="K3469" t="n">
        <v>0</v>
      </c>
      <c r="L3469" t="n">
        <v>1</v>
      </c>
      <c r="M3469" t="n">
        <v>0</v>
      </c>
      <c r="N3469" t="n">
        <v>0</v>
      </c>
      <c r="O3469" t="n">
        <v>0</v>
      </c>
      <c r="P3469">
        <f>HYPERLINK("https://www.acritica.com/haitianos-que-est-o-no-peru-v-o-entrar-no-brasil-em-grupos-a-partir-da-proxima-semana-1.110520", "URL")</f>
        <v/>
      </c>
      <c r="Q3469">
        <f>HYPERLINK("https://raw.githubusercontent.com/marcosmapl/dataset_imigrantes/main/materias_filtered/a_critica/haitianos/2012/03_abr/html/1.110520_1312.html", "HTML")</f>
        <v/>
      </c>
      <c r="R3469">
        <f>HYPERLINK("https://raw.githubusercontent.com/marcosmapl/dataset_imigrantes/main/materias_filtered/a_critica/haitianos/2012/03_abr/txt/1.110520_1312.txt", "TXT")</f>
        <v/>
      </c>
    </row>
    <row r="3470">
      <c r="A3470" s="1" t="n">
        <v>3468</v>
      </c>
      <c r="B3470" t="n">
        <v>2012</v>
      </c>
      <c r="C3470" s="2" t="n">
        <v>41005.80625</v>
      </c>
      <c r="D3470" t="inlineStr">
        <is>
          <t>G1</t>
        </is>
      </c>
      <c r="E3470" t="inlineStr">
        <is>
          <t>HAITIANOS</t>
        </is>
      </c>
      <c r="F3470" t="inlineStr"/>
      <c r="G3470" t="inlineStr">
        <is>
          <t>CE PRESSE</t>
        </is>
      </c>
      <c r="H3470" t="inlineStr">
        <is>
          <t>HAITIANA AFIRMA TER PERDIDO BILHETE PREMIADO DA MEGA MILLION</t>
        </is>
      </c>
      <c r="I3470" t="inlineStr"/>
      <c r="J3470" t="inlineStr"/>
      <c r="K3470" t="n">
        <v>0</v>
      </c>
      <c r="L3470" t="n">
        <v>1</v>
      </c>
      <c r="M3470" t="n">
        <v>0</v>
      </c>
      <c r="N3470" t="n">
        <v>0</v>
      </c>
      <c r="O3470" t="n">
        <v>4</v>
      </c>
      <c r="P3470">
        <f>HYPERLINK("http://g1.globo.com/mundo/noticia/2012/04/haitiana-afirma-ter-perdido-bilhete-premiado-da-mega-million.html", "URL")</f>
        <v/>
      </c>
      <c r="Q3470">
        <f>HYPERLINK("https://raw.githubusercontent.com/marcosmapl/dataset_imigrantes/main/materias_filtered/g1/haitianos/2012/03_abr/html/g1_2377671c-22ee-11ed-b24f-6dbe51e79fca_1700.html", "HTML")</f>
        <v/>
      </c>
      <c r="R3470">
        <f>HYPERLINK("https://raw.githubusercontent.com/marcosmapl/dataset_imigrantes/main/materias_filtered/g1/haitianos/2012/03_abr/txt/g1_2377671c-22ee-11ed-b24f-6dbe51e79fca_1700.txt", "TXT")</f>
        <v/>
      </c>
    </row>
    <row r="3471">
      <c r="A3471" s="1" t="n">
        <v>3469</v>
      </c>
      <c r="B3471" t="n">
        <v>2012</v>
      </c>
      <c r="C3471" s="2" t="n">
        <v>41005.48541666667</v>
      </c>
      <c r="D3471" t="inlineStr">
        <is>
          <t>G1</t>
        </is>
      </c>
      <c r="E3471" t="inlineStr">
        <is>
          <t>HAITIANOS</t>
        </is>
      </c>
      <c r="F3471" t="inlineStr"/>
      <c r="G3471" t="inlineStr"/>
      <c r="H3471" t="inlineStr">
        <is>
          <t>SECRETÁRIO DE JUSTIÇA DIZ QUE HAITIANOS NO PERU JÁ PODEM ENTRAR NO BRASIL, MAS GRUPO É BARRADO</t>
        </is>
      </c>
      <c r="I3471" t="inlineStr"/>
      <c r="J3471" t="inlineStr"/>
      <c r="K3471" t="n">
        <v>0</v>
      </c>
      <c r="L3471" t="n">
        <v>1</v>
      </c>
      <c r="M3471" t="n">
        <v>0</v>
      </c>
      <c r="N3471" t="n">
        <v>0</v>
      </c>
      <c r="O3471" t="n">
        <v>4</v>
      </c>
      <c r="P3471">
        <f>HYPERLINK("http://g1.globo.com/brasil/noticia/2012/04/secretario-de-justica-diz-que-haitianos-no-peru-ja-podem-entrar-no-brasil-mas-grupo-e-barrado-1.html", "URL")</f>
        <v/>
      </c>
      <c r="Q3471">
        <f>HYPERLINK("https://raw.githubusercontent.com/marcosmapl/dataset_imigrantes/main/materias_filtered/g1/haitianos/2012/03_abr/html/g1_a47643c8-2317-11ed-b24f-6dbe51e79fca_3221.html", "HTML")</f>
        <v/>
      </c>
      <c r="R3471">
        <f>HYPERLINK("https://raw.githubusercontent.com/marcosmapl/dataset_imigrantes/main/materias_filtered/g1/haitianos/2012/03_abr/txt/g1_a47643c8-2317-11ed-b24f-6dbe51e79fca_3221.txt", "TXT")</f>
        <v/>
      </c>
    </row>
    <row r="3472">
      <c r="A3472" s="1" t="n">
        <v>3470</v>
      </c>
      <c r="B3472" t="n">
        <v>2012</v>
      </c>
      <c r="C3472" s="2" t="n">
        <v>41003.58125</v>
      </c>
      <c r="D3472" t="inlineStr">
        <is>
          <t>G1</t>
        </is>
      </c>
      <c r="E3472" t="inlineStr">
        <is>
          <t>HAITIANOS</t>
        </is>
      </c>
      <c r="F3472" t="inlineStr"/>
      <c r="G3472" t="inlineStr"/>
      <c r="H3472" t="inlineStr">
        <is>
          <t>HAITIANOS AGUARDAM CONFIRMAÇÃO SOBRE PERMISSÃO DE ENTRADA NO BRASIL</t>
        </is>
      </c>
      <c r="I3472" t="inlineStr"/>
      <c r="J3472" t="inlineStr"/>
      <c r="K3472" t="n">
        <v>0</v>
      </c>
      <c r="L3472" t="n">
        <v>1</v>
      </c>
      <c r="M3472" t="n">
        <v>0</v>
      </c>
      <c r="N3472" t="n">
        <v>0</v>
      </c>
      <c r="O3472" t="n">
        <v>4</v>
      </c>
      <c r="P3472">
        <f>HYPERLINK("http://g1.globo.com/mundo/noticia/2012/04/haitianos-aguardam-confirmacao-sobre-permissao-de-entrada-no-brasil.html", "URL")</f>
        <v/>
      </c>
      <c r="Q3472">
        <f>HYPERLINK("https://raw.githubusercontent.com/marcosmapl/dataset_imigrantes/main/materias_filtered/g1/haitianos/2012/03_abr/html/g1_6035ff68-22fa-11ed-b24f-6dbe51e79fca_2215.html", "HTML")</f>
        <v/>
      </c>
      <c r="R3472">
        <f>HYPERLINK("https://raw.githubusercontent.com/marcosmapl/dataset_imigrantes/main/materias_filtered/g1/haitianos/2012/03_abr/txt/g1_6035ff68-22fa-11ed-b24f-6dbe51e79fca_2215.txt", "TXT")</f>
        <v/>
      </c>
    </row>
    <row r="3473">
      <c r="A3473" s="1" t="n">
        <v>3471</v>
      </c>
      <c r="B3473" t="n">
        <v>2012</v>
      </c>
      <c r="C3473" s="2" t="n">
        <v>41002.65347222222</v>
      </c>
      <c r="D3473" t="inlineStr">
        <is>
          <t>G1</t>
        </is>
      </c>
      <c r="E3473" t="inlineStr">
        <is>
          <t>HAITIANOS</t>
        </is>
      </c>
      <c r="F3473" t="inlineStr"/>
      <c r="G3473" t="inlineStr">
        <is>
          <t>1 PR, COM INFORMAÇÕES DA RPC TV CASCAVEL</t>
        </is>
      </c>
      <c r="H3473" t="inlineStr">
        <is>
          <t>HAITIANOS REFUGIADOS QUE TRABALHAM EM CASCAVEL APRENDEM PORTUGUÊS</t>
        </is>
      </c>
      <c r="I3473" t="inlineStr"/>
      <c r="J3473" t="inlineStr"/>
      <c r="K3473" t="n">
        <v>0</v>
      </c>
      <c r="L3473" t="n">
        <v>2</v>
      </c>
      <c r="M3473" t="n">
        <v>0</v>
      </c>
      <c r="N3473" t="n">
        <v>0</v>
      </c>
      <c r="O3473" t="n">
        <v>5</v>
      </c>
      <c r="P3473">
        <f>HYPERLINK("http://g1.globo.com/pr/parana/noticia/2012/04/haitianos-refugiados-que-trabalham-em-cascavel-aprendem-o-portugues.html", "URL")</f>
        <v/>
      </c>
      <c r="Q3473">
        <f>HYPERLINK("https://raw.githubusercontent.com/marcosmapl/dataset_imigrantes/main/materias_filtered/g1/haitianos/2012/03_abr/html/g1_72f9ad9a-22f8-11ed-b24f-6dbe51e79fca_2135.html", "HTML")</f>
        <v/>
      </c>
      <c r="R3473">
        <f>HYPERLINK("https://raw.githubusercontent.com/marcosmapl/dataset_imigrantes/main/materias_filtered/g1/haitianos/2012/03_abr/txt/g1_72f9ad9a-22f8-11ed-b24f-6dbe51e79fca_2135.txt", "TXT")</f>
        <v/>
      </c>
    </row>
    <row r="3474">
      <c r="A3474" s="1" t="n">
        <v>3472</v>
      </c>
      <c r="B3474" t="n">
        <v>2012</v>
      </c>
      <c r="C3474" s="2" t="n">
        <v>40999.25416666667</v>
      </c>
      <c r="D3474" t="inlineStr">
        <is>
          <t>G1</t>
        </is>
      </c>
      <c r="E3474" t="inlineStr">
        <is>
          <t>HAITIANOS</t>
        </is>
      </c>
      <c r="F3474" t="inlineStr"/>
      <c r="G3474" t="inlineStr">
        <is>
          <t>CIA EFE</t>
        </is>
      </c>
      <c r="H3474" t="inlineStr">
        <is>
          <t>GRUPO DE HAITIANOS AINDA SEGUE NA FRONTEIRA ENTRE PERU E BRASIL</t>
        </is>
      </c>
      <c r="I3474" t="inlineStr"/>
      <c r="J3474" t="inlineStr"/>
      <c r="K3474" t="n">
        <v>0</v>
      </c>
      <c r="L3474" t="n">
        <v>8</v>
      </c>
      <c r="M3474" t="n">
        <v>0</v>
      </c>
      <c r="N3474" t="n">
        <v>0</v>
      </c>
      <c r="O3474" t="n">
        <v>4</v>
      </c>
      <c r="P3474">
        <f>HYPERLINK("http://g1.globo.com/mundo/noticia/2012/03/grupo-de-haitianos-ainda-segue-na-fronteira-entre-peru-e-brasil.html", "URL")</f>
        <v/>
      </c>
      <c r="Q3474">
        <f>HYPERLINK("https://raw.githubusercontent.com/marcosmapl/dataset_imigrantes/main/materias_filtered/g1/haitianos/2012/02_mar/html/g1_e96a4430-22f3-11ed-b24f-6dbe51e79fca_1864.html", "HTML")</f>
        <v/>
      </c>
      <c r="R3474">
        <f>HYPERLINK("https://raw.githubusercontent.com/marcosmapl/dataset_imigrantes/main/materias_filtered/g1/haitianos/2012/02_mar/txt/g1_e96a4430-22f3-11ed-b24f-6dbe51e79fca_1864.txt", "TXT")</f>
        <v/>
      </c>
    </row>
    <row r="3475">
      <c r="A3475" s="1" t="n">
        <v>3473</v>
      </c>
      <c r="B3475" t="n">
        <v>2012</v>
      </c>
      <c r="C3475" s="2" t="n">
        <v>40998.35416666666</v>
      </c>
      <c r="D3475" t="inlineStr">
        <is>
          <t>G1</t>
        </is>
      </c>
      <c r="E3475" t="inlineStr">
        <is>
          <t>HAITIANOS</t>
        </is>
      </c>
      <c r="F3475" t="inlineStr"/>
      <c r="G3475" t="inlineStr"/>
      <c r="H3475" t="inlineStr">
        <is>
          <t>PROCURADORA COBRA NO SENADO SOLUÇÃO PARA HAITIANOS PRESOS NA FRONTEIRA</t>
        </is>
      </c>
      <c r="I3475" t="inlineStr"/>
      <c r="J3475" t="inlineStr"/>
      <c r="K3475" t="n">
        <v>0</v>
      </c>
      <c r="L3475" t="n">
        <v>1</v>
      </c>
      <c r="M3475" t="n">
        <v>0</v>
      </c>
      <c r="N3475" t="n">
        <v>0</v>
      </c>
      <c r="O3475" t="n">
        <v>4</v>
      </c>
      <c r="P3475">
        <f>HYPERLINK("http://g1.globo.com/brasil/noticia/2012/03/procuradora-cobra-no-senado-solucao-para-haitianos-presos-na-fronteira.html", "URL")</f>
        <v/>
      </c>
      <c r="Q3475">
        <f>HYPERLINK("https://raw.githubusercontent.com/marcosmapl/dataset_imigrantes/main/materias_filtered/g1/haitianos/2012/02_mar/html/g1_e74ef7de-22f0-11ed-b24f-6dbe51e79fca_1725.html", "HTML")</f>
        <v/>
      </c>
      <c r="R3475">
        <f>HYPERLINK("https://raw.githubusercontent.com/marcosmapl/dataset_imigrantes/main/materias_filtered/g1/haitianos/2012/02_mar/txt/g1_e74ef7de-22f0-11ed-b24f-6dbe51e79fca_1725.txt", "TXT")</f>
        <v/>
      </c>
    </row>
    <row r="3476">
      <c r="A3476" s="1" t="n">
        <v>3474</v>
      </c>
      <c r="B3476" t="n">
        <v>2012</v>
      </c>
      <c r="C3476" s="2" t="n">
        <v>40997.575</v>
      </c>
      <c r="D3476" t="inlineStr">
        <is>
          <t>G1</t>
        </is>
      </c>
      <c r="E3476" t="inlineStr">
        <is>
          <t>HAITIANOS</t>
        </is>
      </c>
      <c r="F3476" t="inlineStr"/>
      <c r="G3476" t="inlineStr"/>
      <c r="H3476" t="inlineStr">
        <is>
          <t>HAITIANOS ESPERAM PARA ENTRAR NO BRASIL</t>
        </is>
      </c>
      <c r="I3476" t="inlineStr"/>
      <c r="J3476" t="inlineStr"/>
      <c r="K3476" t="n">
        <v>0</v>
      </c>
      <c r="L3476" t="n">
        <v>1</v>
      </c>
      <c r="M3476" t="n">
        <v>0</v>
      </c>
      <c r="N3476" t="n">
        <v>0</v>
      </c>
      <c r="O3476" t="n">
        <v>4</v>
      </c>
      <c r="P3476">
        <f>HYPERLINK("http://g1.globo.com/brasil/noticia/2012/03/haitianos-esperam-para-entrar-no-brasil.html", "URL")</f>
        <v/>
      </c>
      <c r="Q3476">
        <f>HYPERLINK("https://raw.githubusercontent.com/marcosmapl/dataset_imigrantes/main/materias_filtered/g1/haitianos/2012/02_mar/html/g1_b8de60ec-22f0-11ed-b24f-6dbe51e79fca_1717.html", "HTML")</f>
        <v/>
      </c>
      <c r="R3476">
        <f>HYPERLINK("https://raw.githubusercontent.com/marcosmapl/dataset_imigrantes/main/materias_filtered/g1/haitianos/2012/02_mar/txt/g1_b8de60ec-22f0-11ed-b24f-6dbe51e79fca_1717.txt", "TXT")</f>
        <v/>
      </c>
    </row>
    <row r="3477">
      <c r="A3477" s="1" t="n">
        <v>3475</v>
      </c>
      <c r="B3477" t="n">
        <v>2012</v>
      </c>
      <c r="C3477" s="2" t="n">
        <v>40997.28125</v>
      </c>
      <c r="D3477" t="inlineStr">
        <is>
          <t>G1</t>
        </is>
      </c>
      <c r="E3477" t="inlineStr">
        <is>
          <t>HAITIANOS</t>
        </is>
      </c>
      <c r="F3477" t="inlineStr"/>
      <c r="G3477" t="inlineStr"/>
      <c r="H3477" t="inlineStr">
        <is>
          <t>BARRADOS HÁ 77 DIAS, HAITIANOS DORMEM EM PRAÇA NO PERU À ESPERA DE DECISÃO DO BRASIL</t>
        </is>
      </c>
      <c r="I3477" t="inlineStr"/>
      <c r="J3477" t="inlineStr"/>
      <c r="K3477" t="n">
        <v>0</v>
      </c>
      <c r="L3477" t="n">
        <v>1</v>
      </c>
      <c r="M3477" t="n">
        <v>0</v>
      </c>
      <c r="N3477" t="n">
        <v>0</v>
      </c>
      <c r="O3477" t="n">
        <v>4</v>
      </c>
      <c r="P3477">
        <f>HYPERLINK("http://g1.globo.com/brasil/noticia/2012/03/barrados-ha-77-dias-haitianos-dormem-em-praca-no-peru-a-espera-de-decisao-do-brasil.html", "URL")</f>
        <v/>
      </c>
      <c r="Q3477">
        <f>HYPERLINK("https://raw.githubusercontent.com/marcosmapl/dataset_imigrantes/main/materias_filtered/g1/haitianos/2012/02_mar/html/g1_4096faf4-230e-11ed-b24f-6dbe51e79fca_2730.html", "HTML")</f>
        <v/>
      </c>
      <c r="R3477">
        <f>HYPERLINK("https://raw.githubusercontent.com/marcosmapl/dataset_imigrantes/main/materias_filtered/g1/haitianos/2012/02_mar/txt/g1_4096faf4-230e-11ed-b24f-6dbe51e79fca_2730.txt", "TXT")</f>
        <v/>
      </c>
    </row>
    <row r="3478">
      <c r="A3478" s="1" t="n">
        <v>3476</v>
      </c>
      <c r="B3478" t="n">
        <v>2012</v>
      </c>
      <c r="C3478" s="2" t="n">
        <v>40996.94236111111</v>
      </c>
      <c r="D3478" t="inlineStr">
        <is>
          <t>G1</t>
        </is>
      </c>
      <c r="E3478" t="inlineStr">
        <is>
          <t>HAITIANOS</t>
        </is>
      </c>
      <c r="F3478" t="inlineStr"/>
      <c r="G3478" t="inlineStr">
        <is>
          <t>OS DANTASDO G1 AM</t>
        </is>
      </c>
      <c r="H3478" t="inlineStr">
        <is>
          <t>NO AM, HAITIANOS FAZEM PASSEATA PARA SENSIBILIZAR GOVERNO FEDERAL</t>
        </is>
      </c>
      <c r="I3478" t="inlineStr"/>
      <c r="J3478" t="inlineStr"/>
      <c r="K3478" t="n">
        <v>0</v>
      </c>
      <c r="L3478" t="n">
        <v>0</v>
      </c>
      <c r="M3478" t="n">
        <v>0</v>
      </c>
      <c r="N3478" t="n">
        <v>0</v>
      </c>
      <c r="O3478" t="n">
        <v>4</v>
      </c>
      <c r="P3478">
        <f>HYPERLINK("http://g1.globo.com/am/amazonas/noticia/2012/03/no-am-haitianos-fazem-passeata-para-sensibilizar-governo-federal.html", "URL")</f>
        <v/>
      </c>
      <c r="Q3478">
        <f>HYPERLINK("https://raw.githubusercontent.com/marcosmapl/dataset_imigrantes/main/materias_filtered/g1/haitianos/2012/02_mar/html/g1_2e23c228-22f8-11ed-b24f-6dbe51e79fca_2119.html", "HTML")</f>
        <v/>
      </c>
      <c r="R3478">
        <f>HYPERLINK("https://raw.githubusercontent.com/marcosmapl/dataset_imigrantes/main/materias_filtered/g1/haitianos/2012/02_mar/txt/g1_2e23c228-22f8-11ed-b24f-6dbe51e79fca_2119.txt", "TXT")</f>
        <v/>
      </c>
    </row>
    <row r="3479">
      <c r="A3479" s="1" t="n">
        <v>3477</v>
      </c>
      <c r="B3479" t="n">
        <v>2012</v>
      </c>
      <c r="C3479" s="2" t="n">
        <v>40991.69466435185</v>
      </c>
      <c r="D3479" t="inlineStr">
        <is>
          <t>A CRITICA</t>
        </is>
      </c>
      <c r="E3479" t="inlineStr">
        <is>
          <t>VENEZUELANOS</t>
        </is>
      </c>
      <c r="F3479" t="inlineStr"/>
      <c r="G3479" t="inlineStr">
        <is>
          <t>ELAÍZE FARIAS</t>
        </is>
      </c>
      <c r="H3479" t="inlineStr">
        <is>
          <t>ANTROPÓLOGO INGLÊS CONTABILIZA 40 ANOS DE TRABALHOS COM ETNIAS DA AMAZÔNIA</t>
        </is>
      </c>
      <c r="I3479" t="inlineStr">
        <is>
          <t>STEPHEN-HUGH-JONES ESTÁ APOSENTADO DA UNIVERSIDADE DE CAMBRIGDE MAS DESENVOLVE ESTUDOS POR “HOBBY” E ADMITE QUE GOSTARIA DE EMPREENDER UM NÚMERO MAIOR DE TRABALHO DE CAMPO SE “TIVESSE TEMPO E DINHEIRO”</t>
        </is>
      </c>
      <c r="J3479" t="inlineStr"/>
      <c r="K3479" t="n">
        <v>0</v>
      </c>
      <c r="L3479" t="n">
        <v>1</v>
      </c>
      <c r="M3479" t="n">
        <v>0</v>
      </c>
      <c r="N3479" t="n">
        <v>0</v>
      </c>
      <c r="O3479" t="n">
        <v>0</v>
      </c>
      <c r="P3479">
        <f>HYPERLINK("https://www.acritica.com/antropologo-ingles-contabiliza-40-anos-de-trabalhos-com-etnias-da-amazonia-1.163056", "URL")</f>
        <v/>
      </c>
      <c r="Q3479">
        <f>HYPERLINK("https://raw.githubusercontent.com/marcosmapl/dataset_imigrantes/main/materias_filtered/a_critica/venezuelanos/2012/02_mar/html/1.163056_62.html", "HTML")</f>
        <v/>
      </c>
      <c r="R3479">
        <f>HYPERLINK("https://raw.githubusercontent.com/marcosmapl/dataset_imigrantes/main/materias_filtered/a_critica/venezuelanos/2012/02_mar/txt/1.163056_62.txt", "TXT")</f>
        <v/>
      </c>
    </row>
    <row r="3480">
      <c r="A3480" s="1" t="n">
        <v>3478</v>
      </c>
      <c r="B3480" t="n">
        <v>2012</v>
      </c>
      <c r="C3480" s="2" t="n">
        <v>40990.87056712963</v>
      </c>
      <c r="D3480" t="inlineStr">
        <is>
          <t>A CRITICA</t>
        </is>
      </c>
      <c r="E3480" t="inlineStr">
        <is>
          <t>VENEZUELANOS</t>
        </is>
      </c>
      <c r="F3480" t="inlineStr">
        <is>
          <t>ENTRETENIMENTO</t>
        </is>
      </c>
      <c r="G3480" t="inlineStr">
        <is>
          <t>ACRÍTICA.COM</t>
        </is>
      </c>
      <c r="H3480" t="inlineStr">
        <is>
          <t>MÚSICO SALOMÃO ROSSY FARÁ SHOW TOADAS IMORTAIS EM MANAUS</t>
        </is>
      </c>
      <c r="I3480" t="inlineStr">
        <is>
          <t>O SHOW DE FORMATO ACÚSTICO, FAZ COM QUE AS TOADAS GANHEM REALCE, DESTACANDO SUA MELODIA E LETRA AO SOM DE VIOLÕES, CHARANGO, CUATRO VENEZUELANO E PERCUSSÃO</t>
        </is>
      </c>
      <c r="J3480" t="inlineStr"/>
      <c r="K3480" t="n">
        <v>0</v>
      </c>
      <c r="L3480" t="n">
        <v>1</v>
      </c>
      <c r="M3480" t="n">
        <v>0</v>
      </c>
      <c r="N3480" t="n">
        <v>0</v>
      </c>
      <c r="O3480" t="n">
        <v>0</v>
      </c>
      <c r="P3480">
        <f>HYPERLINK("https://www.acritica.com/entretenimento/musico-salom-o-rossy-fara-show-toadas-imortais-em-manaus-1.107858", "URL")</f>
        <v/>
      </c>
      <c r="Q3480">
        <f>HYPERLINK("https://raw.githubusercontent.com/marcosmapl/dataset_imigrantes/main/materias_filtered/a_critica/venezuelanos/2012/02_mar/html/1.107858_984.html", "HTML")</f>
        <v/>
      </c>
      <c r="R3480">
        <f>HYPERLINK("https://raw.githubusercontent.com/marcosmapl/dataset_imigrantes/main/materias_filtered/a_critica/venezuelanos/2012/02_mar/txt/1.107858_984.txt", "TXT")</f>
        <v/>
      </c>
    </row>
    <row r="3481">
      <c r="A3481" s="1" t="n">
        <v>3479</v>
      </c>
      <c r="B3481" t="n">
        <v>2012</v>
      </c>
      <c r="C3481" s="2" t="n">
        <v>40988.27430555555</v>
      </c>
      <c r="D3481" t="inlineStr">
        <is>
          <t>G1</t>
        </is>
      </c>
      <c r="E3481" t="inlineStr">
        <is>
          <t>HAITIANOS</t>
        </is>
      </c>
      <c r="F3481" t="inlineStr"/>
      <c r="G3481" t="inlineStr">
        <is>
          <t>LOBO RURAL</t>
        </is>
      </c>
      <c r="H3481" t="inlineStr">
        <is>
          <t>HAITIANOS RECONSTROEM A VIDA EM USINAS DE BIOENERGIA DE GO</t>
        </is>
      </c>
      <c r="I3481" t="inlineStr"/>
      <c r="J3481" t="inlineStr">
        <is>
          <t>GOIÁS, ECONOMIA</t>
        </is>
      </c>
      <c r="K3481" t="n">
        <v>2</v>
      </c>
      <c r="L3481" t="n">
        <v>4</v>
      </c>
      <c r="M3481" t="n">
        <v>0</v>
      </c>
      <c r="N3481" t="n">
        <v>0</v>
      </c>
      <c r="O3481" t="n">
        <v>11</v>
      </c>
      <c r="P3481">
        <f>HYPERLINK("http://g1.globo.com/economia/agronegocios/noticia/2012/03/haitianos-reconstroem-vida-em-usinas-de-bioenergia-de-go.html", "URL")</f>
        <v/>
      </c>
      <c r="Q3481">
        <f>HYPERLINK("https://raw.githubusercontent.com/marcosmapl/dataset_imigrantes/main/materias_filtered/g1/haitianos/2012/02_mar/html/g1_d56e6486-22f6-11ed-b24f-6dbe51e79fca_2041.html", "HTML")</f>
        <v/>
      </c>
      <c r="R3481">
        <f>HYPERLINK("https://raw.githubusercontent.com/marcosmapl/dataset_imigrantes/main/materias_filtered/g1/haitianos/2012/02_mar/txt/g1_d56e6486-22f6-11ed-b24f-6dbe51e79fca_2041.txt", "TXT")</f>
        <v/>
      </c>
    </row>
    <row r="3482">
      <c r="A3482" s="1" t="n">
        <v>3480</v>
      </c>
      <c r="B3482" t="n">
        <v>2012</v>
      </c>
      <c r="C3482" s="2" t="n">
        <v>40983.52716435185</v>
      </c>
      <c r="D3482" t="inlineStr">
        <is>
          <t>A CRITICA</t>
        </is>
      </c>
      <c r="E3482" t="inlineStr">
        <is>
          <t>VENEZUELANOS</t>
        </is>
      </c>
      <c r="F3482" t="inlineStr">
        <is>
          <t>ESPORTES</t>
        </is>
      </c>
      <c r="G3482" t="inlineStr">
        <is>
          <t>LANCE</t>
        </is>
      </c>
      <c r="H3482" t="inlineStr">
        <is>
          <t>FLU PODE IR ÀS OITAVAS DA LIBERTA NA PRÓXIMA RODADA</t>
        </is>
      </c>
      <c r="I3482" t="inlineStr">
        <is>
          <t>TRICOLOR ESTÁ MUITO PRÓXIMO DE SE CLASSIFICAR À PRÓXIMA FASE DO TORNEIO SUL-AMERICANO</t>
        </is>
      </c>
      <c r="J3482" t="inlineStr"/>
      <c r="K3482" t="n">
        <v>0</v>
      </c>
      <c r="L3482" t="n">
        <v>1</v>
      </c>
      <c r="M3482" t="n">
        <v>0</v>
      </c>
      <c r="N3482" t="n">
        <v>0</v>
      </c>
      <c r="O3482" t="n">
        <v>0</v>
      </c>
      <c r="P3482">
        <f>HYPERLINK("https://www.acritica.com/esportes/flu-pode-ir-as-oitavas-da-liberta-na-proxima-rodada-1.108710", "URL")</f>
        <v/>
      </c>
      <c r="Q3482">
        <f>HYPERLINK("https://raw.githubusercontent.com/marcosmapl/dataset_imigrantes/main/materias_filtered/a_critica/venezuelanos/2012/02_mar/html/1.108710_94.html", "HTML")</f>
        <v/>
      </c>
      <c r="R3482">
        <f>HYPERLINK("https://raw.githubusercontent.com/marcosmapl/dataset_imigrantes/main/materias_filtered/a_critica/venezuelanos/2012/02_mar/txt/1.108710_94.txt", "TXT")</f>
        <v/>
      </c>
    </row>
    <row r="3483">
      <c r="A3483" s="1" t="n">
        <v>3481</v>
      </c>
      <c r="B3483" t="n">
        <v>2012</v>
      </c>
      <c r="C3483" s="2" t="n">
        <v>40981.33819444444</v>
      </c>
      <c r="D3483" t="inlineStr">
        <is>
          <t>G1</t>
        </is>
      </c>
      <c r="E3483" t="inlineStr">
        <is>
          <t>HAITIANOS</t>
        </is>
      </c>
      <c r="F3483" t="inlineStr"/>
      <c r="G3483" t="inlineStr">
        <is>
          <t>OS EDUARDO MATOSDO G1 AM</t>
        </is>
      </c>
      <c r="H3483" t="inlineStr">
        <is>
          <t>HAITIANOS EM MANAUS SÃO RECRUTADOS PARA TRABALHAREM NO SUL E SUDESTE</t>
        </is>
      </c>
      <c r="I3483" t="inlineStr"/>
      <c r="J3483" t="inlineStr"/>
      <c r="K3483" t="n">
        <v>0</v>
      </c>
      <c r="L3483" t="n">
        <v>1</v>
      </c>
      <c r="M3483" t="n">
        <v>0</v>
      </c>
      <c r="N3483" t="n">
        <v>0</v>
      </c>
      <c r="O3483" t="n">
        <v>7</v>
      </c>
      <c r="P3483">
        <f>HYPERLINK("http://g1.globo.com/am/amazonas/noticia/2012/03/haitianos-em-manaus-sao-recrutados-para-trabalharem-no-sul-e-sudeste.html", "URL")</f>
        <v/>
      </c>
      <c r="Q3483">
        <f>HYPERLINK("https://raw.githubusercontent.com/marcosmapl/dataset_imigrantes/main/materias_filtered/g1/haitianos/2012/02_mar/html/g1_6f5cd0e0-2307-11ed-b24f-6dbe51e79fca_2317.html", "HTML")</f>
        <v/>
      </c>
      <c r="R3483">
        <f>HYPERLINK("https://raw.githubusercontent.com/marcosmapl/dataset_imigrantes/main/materias_filtered/g1/haitianos/2012/02_mar/txt/g1_6f5cd0e0-2307-11ed-b24f-6dbe51e79fca_2317.txt", "TXT")</f>
        <v/>
      </c>
    </row>
    <row r="3484">
      <c r="A3484" s="1" t="n">
        <v>3482</v>
      </c>
      <c r="B3484" t="n">
        <v>2012</v>
      </c>
      <c r="C3484" s="2" t="n">
        <v>40976.7375</v>
      </c>
      <c r="D3484" t="inlineStr">
        <is>
          <t>G1</t>
        </is>
      </c>
      <c r="E3484" t="inlineStr">
        <is>
          <t>VENEZUELANOS</t>
        </is>
      </c>
      <c r="F3484" t="inlineStr"/>
      <c r="G3484" t="inlineStr">
        <is>
          <t>CIA EFE</t>
        </is>
      </c>
      <c r="H3484" t="inlineStr">
        <is>
          <t>VENEZUELANAS MARCHAM PARA PEDIR RECUPERAÇÃO DE CHÁVEZ</t>
        </is>
      </c>
      <c r="I3484" t="inlineStr"/>
      <c r="J3484" t="inlineStr"/>
      <c r="K3484" t="n">
        <v>0</v>
      </c>
      <c r="L3484" t="n">
        <v>1</v>
      </c>
      <c r="M3484" t="n">
        <v>0</v>
      </c>
      <c r="N3484" t="n">
        <v>0</v>
      </c>
      <c r="O3484" t="n">
        <v>4</v>
      </c>
      <c r="P3484">
        <f>HYPERLINK("http://g1.globo.com/mundo/noticia/2012/03/venezuelanas-marcham-para-pedir-recuperacao-de-chavez.html", "URL")</f>
        <v/>
      </c>
      <c r="Q3484">
        <f>HYPERLINK("https://raw.githubusercontent.com/marcosmapl/dataset_imigrantes/main/materias_filtered/g1/venezuelanos/2012/02_mar/html/g1_850f6308-2325-11ed-b24f-6dbe51e79fca_3919.html", "HTML")</f>
        <v/>
      </c>
      <c r="R3484">
        <f>HYPERLINK("https://raw.githubusercontent.com/marcosmapl/dataset_imigrantes/main/materias_filtered/g1/venezuelanos/2012/02_mar/txt/g1_850f6308-2325-11ed-b24f-6dbe51e79fca_3919.txt", "TXT")</f>
        <v/>
      </c>
    </row>
    <row r="3485">
      <c r="A3485" s="1" t="n">
        <v>3483</v>
      </c>
      <c r="B3485" t="n">
        <v>2012</v>
      </c>
      <c r="C3485" s="2" t="n">
        <v>40975.80208333334</v>
      </c>
      <c r="D3485" t="inlineStr">
        <is>
          <t>G1</t>
        </is>
      </c>
      <c r="E3485" t="inlineStr">
        <is>
          <t>HAITIANOS</t>
        </is>
      </c>
      <c r="F3485" t="inlineStr"/>
      <c r="G3485" t="inlineStr">
        <is>
          <t>1 SUL DE MINAS</t>
        </is>
      </c>
      <c r="H3485" t="inlineStr">
        <is>
          <t>HAITIANAS APRESENTAM QUADRO DE ANEMIA EM FAZENDA DE ROSAS</t>
        </is>
      </c>
      <c r="I3485" t="inlineStr"/>
      <c r="J3485" t="inlineStr">
        <is>
          <t>ACRE, ANDRADAS</t>
        </is>
      </c>
      <c r="K3485" t="n">
        <v>2</v>
      </c>
      <c r="L3485" t="n">
        <v>3</v>
      </c>
      <c r="M3485" t="n">
        <v>0</v>
      </c>
      <c r="N3485" t="n">
        <v>0</v>
      </c>
      <c r="O3485" t="n">
        <v>12</v>
      </c>
      <c r="P3485">
        <f>HYPERLINK("http://g1.globo.com/mg/sul-de-minas/noticia/2012/03/haitianas-apresentam-quadro-de-anemia-em-fazenda-de-rosas.html", "URL")</f>
        <v/>
      </c>
      <c r="Q3485">
        <f>HYPERLINK("https://raw.githubusercontent.com/marcosmapl/dataset_imigrantes/main/materias_filtered/g1/haitianos/2012/02_mar/html/g1_bbf9f10e-2306-11ed-b24f-6dbe51e79fca_2275.html", "HTML")</f>
        <v/>
      </c>
      <c r="R3485">
        <f>HYPERLINK("https://raw.githubusercontent.com/marcosmapl/dataset_imigrantes/main/materias_filtered/g1/haitianos/2012/02_mar/txt/g1_bbf9f10e-2306-11ed-b24f-6dbe51e79fca_2275.txt", "TXT")</f>
        <v/>
      </c>
    </row>
    <row r="3486">
      <c r="A3486" s="1" t="n">
        <v>3484</v>
      </c>
      <c r="B3486" t="n">
        <v>2012</v>
      </c>
      <c r="C3486" s="2" t="n">
        <v>40974.92152777778</v>
      </c>
      <c r="D3486" t="inlineStr">
        <is>
          <t>G1</t>
        </is>
      </c>
      <c r="E3486" t="inlineStr">
        <is>
          <t>HAITIANOS</t>
        </is>
      </c>
      <c r="F3486" t="inlineStr"/>
      <c r="G3486" t="inlineStr">
        <is>
          <t>1 AM</t>
        </is>
      </c>
      <c r="H3486" t="inlineStr">
        <is>
          <t>CPI DISCUTE IMIGRAÇÃO ILEGAL DE HAITIANOS PARA O BRASIL, NO AMAZONAS</t>
        </is>
      </c>
      <c r="I3486" t="inlineStr"/>
      <c r="J3486" t="inlineStr"/>
      <c r="K3486" t="n">
        <v>0</v>
      </c>
      <c r="L3486" t="n">
        <v>1</v>
      </c>
      <c r="M3486" t="n">
        <v>0</v>
      </c>
      <c r="N3486" t="n">
        <v>0</v>
      </c>
      <c r="O3486" t="n">
        <v>4</v>
      </c>
      <c r="P3486">
        <f>HYPERLINK("http://g1.globo.com/am/amazonas/noticia/2012/03/cpi-discute-imigracao-ilegal-de-haitianos-para-o-brasil-no-amazonas.html", "URL")</f>
        <v/>
      </c>
      <c r="Q3486">
        <f>HYPERLINK("https://raw.githubusercontent.com/marcosmapl/dataset_imigrantes/main/materias_filtered/g1/haitianos/2012/02_mar/html/g1_50aeff34-22f7-11ed-b24f-6dbe51e79fca_2071.html", "HTML")</f>
        <v/>
      </c>
      <c r="R3486">
        <f>HYPERLINK("https://raw.githubusercontent.com/marcosmapl/dataset_imigrantes/main/materias_filtered/g1/haitianos/2012/02_mar/txt/g1_50aeff34-22f7-11ed-b24f-6dbe51e79fca_2071.txt", "TXT")</f>
        <v/>
      </c>
    </row>
    <row r="3487">
      <c r="A3487" s="1" t="n">
        <v>3485</v>
      </c>
      <c r="B3487" t="n">
        <v>2012</v>
      </c>
      <c r="C3487" s="2" t="n">
        <v>40974.02496527778</v>
      </c>
      <c r="D3487" t="inlineStr">
        <is>
          <t>A CRITICA</t>
        </is>
      </c>
      <c r="E3487" t="inlineStr">
        <is>
          <t>HAITIANOS</t>
        </is>
      </c>
      <c r="F3487" t="inlineStr"/>
      <c r="G3487" t="inlineStr">
        <is>
          <t>ACRÍTICA.COM</t>
        </is>
      </c>
      <c r="H3487" t="inlineStr">
        <is>
          <t>CPI DO TRÁFICO NACIONAL E INTERNACIONAL DE PESSOAS DISCUTE SITUAÇÃO DE HAITIANOS NO AMAZONAS</t>
        </is>
      </c>
      <c r="I3487" t="inlineStr">
        <is>
          <t>POLÍTICOS E AUTORIDADES DISCUTIRAM NESTA SEGUNDA-FEIRA, NO AUDITÓRIO BERLAMINO LINS, NA ASSEMBLEIA LEGISLATIVA DO AMAZONAS, AS NUANCES DO TRÁFICO DE PESSOAS NACIONALMENTE E INTERNACIONALMENTE, ALÉM DA SITUAÇÃO DOS IMIGRANTES HAITIANOS NO AMAZONAS</t>
        </is>
      </c>
      <c r="J3487" t="inlineStr"/>
      <c r="K3487" t="n">
        <v>0</v>
      </c>
      <c r="L3487" t="n">
        <v>1</v>
      </c>
      <c r="M3487" t="n">
        <v>0</v>
      </c>
      <c r="N3487" t="n">
        <v>0</v>
      </c>
      <c r="O3487" t="n">
        <v>0</v>
      </c>
      <c r="P3487">
        <f>HYPERLINK("https://www.acritica.com/cpi-do-trafico-nacional-e-internacional-de-pessoas-discute-situac-o-de-haitianos-no-amazonas-1.161149", "URL")</f>
        <v/>
      </c>
      <c r="Q3487">
        <f>HYPERLINK("https://raw.githubusercontent.com/marcosmapl/dataset_imigrantes/main/materias_filtered/a_critica/haitianos/2012/02_mar/html/1.161149_509.html", "HTML")</f>
        <v/>
      </c>
      <c r="R3487">
        <f>HYPERLINK("https://raw.githubusercontent.com/marcosmapl/dataset_imigrantes/main/materias_filtered/a_critica/haitianos/2012/02_mar/txt/1.161149_509.txt", "TXT")</f>
        <v/>
      </c>
    </row>
    <row r="3488">
      <c r="A3488" s="1" t="n">
        <v>3486</v>
      </c>
      <c r="B3488" t="n">
        <v>2012</v>
      </c>
      <c r="C3488" s="2" t="n">
        <v>40973.65405092593</v>
      </c>
      <c r="D3488" t="inlineStr">
        <is>
          <t>A CRITICA</t>
        </is>
      </c>
      <c r="E3488" t="inlineStr">
        <is>
          <t>HAITIANOS</t>
        </is>
      </c>
      <c r="F3488" t="inlineStr">
        <is>
          <t>MANAUS</t>
        </is>
      </c>
      <c r="G3488" t="inlineStr">
        <is>
          <t>JOELMA MUNIZ</t>
        </is>
      </c>
      <c r="H3488" t="inlineStr">
        <is>
          <t>AUDIÊNCIA PÚBLICA DISCUTE TRÁFICO DE PESSOAS NA ALE-AM</t>
        </is>
      </c>
      <c r="I3488" t="inlineStr">
        <is>
          <t>DE ACORDO COM A PRESIDENTE DA COMISSÃO PARLAMENTAR DE INQUÉRITO (CPI) DO SENADO FEDERAL, QUE INVESTIGA CASOS DE TRÁFICO HUMANO NO PAÍS, SENADORA VANESSA GRAZZIONTIN (PCDOB), O OBJETIVO DA AUDIÊNCIA E VERIFICAR CASOS REFERENTES A ATIVIDADES DE ‘COIOTES’, NO PROCESSO DE ENTRADA DE HAITIANOS NO ESTADO</t>
        </is>
      </c>
      <c r="J3488" t="inlineStr"/>
      <c r="K3488" t="n">
        <v>0</v>
      </c>
      <c r="L3488" t="n">
        <v>1</v>
      </c>
      <c r="M3488" t="n">
        <v>0</v>
      </c>
      <c r="N3488" t="n">
        <v>0</v>
      </c>
      <c r="O3488" t="n">
        <v>0</v>
      </c>
      <c r="P3488">
        <f>HYPERLINK("https://www.acritica.com/manaus/audiencia-publica-discute-trafico-de-pessoas-na-ale-am-1.161195", "URL")</f>
        <v/>
      </c>
      <c r="Q3488">
        <f>HYPERLINK("https://raw.githubusercontent.com/marcosmapl/dataset_imigrantes/main/materias_filtered/a_critica/haitianos/2012/02_mar/html/1.161195_672.html", "HTML")</f>
        <v/>
      </c>
      <c r="R3488">
        <f>HYPERLINK("https://raw.githubusercontent.com/marcosmapl/dataset_imigrantes/main/materias_filtered/a_critica/haitianos/2012/02_mar/txt/1.161195_672.txt", "TXT")</f>
        <v/>
      </c>
    </row>
    <row r="3489">
      <c r="A3489" s="1" t="n">
        <v>3487</v>
      </c>
      <c r="B3489" t="n">
        <v>2012</v>
      </c>
      <c r="C3489" s="2" t="n">
        <v>40970.72464120371</v>
      </c>
      <c r="D3489" t="inlineStr">
        <is>
          <t>A CRITICA</t>
        </is>
      </c>
      <c r="E3489" t="inlineStr">
        <is>
          <t>HAITIANOS</t>
        </is>
      </c>
      <c r="F3489" t="inlineStr">
        <is>
          <t>MANAUS</t>
        </is>
      </c>
      <c r="G3489" t="inlineStr">
        <is>
          <t>ACRÍTICA.COM</t>
        </is>
      </c>
      <c r="H3489" t="inlineStr">
        <is>
          <t>SUSPEITO DE TENTAR ROUBAR E ATIRAR CONTRA HAITIANO É PRESO NA ZONA OESTE DE MANAUS</t>
        </is>
      </c>
      <c r="I3489" t="inlineStr">
        <is>
          <t>JONATHA COLARES FOI RECONHECIDO PELA VÍTIMA, POR MEIO DE UMA FOTOGRAFIA. ELE E UM TIO PARTICPARAM DO CRIME</t>
        </is>
      </c>
      <c r="J3489" t="inlineStr"/>
      <c r="K3489" t="n">
        <v>0</v>
      </c>
      <c r="L3489" t="n">
        <v>1</v>
      </c>
      <c r="M3489" t="n">
        <v>0</v>
      </c>
      <c r="N3489" t="n">
        <v>0</v>
      </c>
      <c r="O3489" t="n">
        <v>0</v>
      </c>
      <c r="P3489">
        <f>HYPERLINK("https://www.acritica.com/manaus/suspeito-de-tentar-roubar-e-atirar-contra-haitiano-e-preso-na-zona-oeste-de-manaus-1.161030", "URL")</f>
        <v/>
      </c>
      <c r="Q3489">
        <f>HYPERLINK("https://raw.githubusercontent.com/marcosmapl/dataset_imigrantes/main/materias_filtered/a_critica/haitianos/2012/02_mar/html/1.161030_1338.html", "HTML")</f>
        <v/>
      </c>
      <c r="R3489">
        <f>HYPERLINK("https://raw.githubusercontent.com/marcosmapl/dataset_imigrantes/main/materias_filtered/a_critica/haitianos/2012/02_mar/txt/1.161030_1338.txt", "TXT")</f>
        <v/>
      </c>
    </row>
    <row r="3490">
      <c r="A3490" s="1" t="n">
        <v>3488</v>
      </c>
      <c r="B3490" t="n">
        <v>2012</v>
      </c>
      <c r="C3490" s="2" t="n">
        <v>40969.65023148148</v>
      </c>
      <c r="D3490" t="inlineStr">
        <is>
          <t>A CRITICA</t>
        </is>
      </c>
      <c r="E3490" t="inlineStr">
        <is>
          <t>VENEZUELANOS</t>
        </is>
      </c>
      <c r="F3490" t="inlineStr">
        <is>
          <t>ESPORTES</t>
        </is>
      </c>
      <c r="G3490" t="inlineStr">
        <is>
          <t>LANCE</t>
        </is>
      </c>
      <c r="H3490" t="inlineStr">
        <is>
          <t>RUBINHO ESTÁ CONFIRMADO NA FÓRMULA INDY EM 2012</t>
        </is>
      </c>
      <c r="I3490" t="inlineStr">
        <is>
          <t>BARRICHELLO SERÁ COMPANHEIRO DE EQUIPE DO AMIGO TONY KANAAN E DO VENEZUELANO ERNESTO VISO NA EQUIPE KV RACING</t>
        </is>
      </c>
      <c r="J3490" t="inlineStr"/>
      <c r="K3490" t="n">
        <v>0</v>
      </c>
      <c r="L3490" t="n">
        <v>1</v>
      </c>
      <c r="M3490" t="n">
        <v>0</v>
      </c>
      <c r="N3490" t="n">
        <v>0</v>
      </c>
      <c r="O3490" t="n">
        <v>0</v>
      </c>
      <c r="P3490">
        <f>HYPERLINK("https://www.acritica.com/esportes/rubinho-esta-confirmado-na-formula-indy-em-2012-1.160901", "URL")</f>
        <v/>
      </c>
      <c r="Q3490">
        <f>HYPERLINK("https://raw.githubusercontent.com/marcosmapl/dataset_imigrantes/main/materias_filtered/a_critica/venezuelanos/2012/02_mar/html/1.160901_216.html", "HTML")</f>
        <v/>
      </c>
      <c r="R3490">
        <f>HYPERLINK("https://raw.githubusercontent.com/marcosmapl/dataset_imigrantes/main/materias_filtered/a_critica/venezuelanos/2012/02_mar/txt/1.160901_216.txt", "TXT")</f>
        <v/>
      </c>
    </row>
    <row r="3491">
      <c r="A3491" s="1" t="n">
        <v>3489</v>
      </c>
      <c r="B3491" t="n">
        <v>2012</v>
      </c>
      <c r="C3491" s="2" t="n">
        <v>40969.25833333333</v>
      </c>
      <c r="D3491" t="inlineStr">
        <is>
          <t>G1</t>
        </is>
      </c>
      <c r="E3491" t="inlineStr">
        <is>
          <t>HAITIANOS</t>
        </is>
      </c>
      <c r="F3491" t="inlineStr"/>
      <c r="G3491" t="inlineStr">
        <is>
          <t>BC</t>
        </is>
      </c>
      <c r="H3491" t="inlineStr">
        <is>
          <t>ESTRANGEIROS FAZEM ARTE HAITIANA RENASCER</t>
        </is>
      </c>
      <c r="I3491" t="inlineStr"/>
      <c r="J3491" t="inlineStr">
        <is>
          <t>HAITI</t>
        </is>
      </c>
      <c r="K3491" t="n">
        <v>1</v>
      </c>
      <c r="L3491" t="n">
        <v>5</v>
      </c>
      <c r="M3491" t="n">
        <v>0</v>
      </c>
      <c r="N3491" t="n">
        <v>0</v>
      </c>
      <c r="O3491" t="n">
        <v>10</v>
      </c>
      <c r="P3491">
        <f>HYPERLINK("http://g1.globo.com/mundo/noticia/2012/03/estrangeiros-fazem-arte-haitiana-renascer.html", "URL")</f>
        <v/>
      </c>
      <c r="Q3491">
        <f>HYPERLINK("https://raw.githubusercontent.com/marcosmapl/dataset_imigrantes/main/materias_filtered/g1/haitianos/2012/02_mar/html/g1_e538ea64-2308-11ed-b24f-6dbe51e79fca_2411.html", "HTML")</f>
        <v/>
      </c>
      <c r="R3491">
        <f>HYPERLINK("https://raw.githubusercontent.com/marcosmapl/dataset_imigrantes/main/materias_filtered/g1/haitianos/2012/02_mar/txt/g1_e538ea64-2308-11ed-b24f-6dbe51e79fca_2411.txt", "TXT")</f>
        <v/>
      </c>
    </row>
    <row r="3492">
      <c r="A3492" s="1" t="n">
        <v>3490</v>
      </c>
      <c r="B3492" t="n">
        <v>2012</v>
      </c>
      <c r="C3492" s="2" t="n">
        <v>40968.58958333333</v>
      </c>
      <c r="D3492" t="inlineStr">
        <is>
          <t>G1</t>
        </is>
      </c>
      <c r="E3492" t="inlineStr">
        <is>
          <t>HAITIANOS</t>
        </is>
      </c>
      <c r="F3492" t="inlineStr"/>
      <c r="G3492" t="inlineStr"/>
      <c r="H3492" t="inlineStr">
        <is>
          <t>APÓS NOVA REGRA, BRASIL SÓ CONCEDE 30% DA COTA DE VISTOS A HAITIANOS</t>
        </is>
      </c>
      <c r="I3492" t="inlineStr"/>
      <c r="J3492" t="inlineStr"/>
      <c r="K3492" t="n">
        <v>0</v>
      </c>
      <c r="L3492" t="n">
        <v>1</v>
      </c>
      <c r="M3492" t="n">
        <v>0</v>
      </c>
      <c r="N3492" t="n">
        <v>0</v>
      </c>
      <c r="O3492" t="n">
        <v>4</v>
      </c>
      <c r="P3492">
        <f>HYPERLINK("http://g1.globo.com/mundo/noticia/2012/02/apos-nova-regra-brasil-so-concede-30-da-cota-de-vistos-a-haitianos.html", "URL")</f>
        <v/>
      </c>
      <c r="Q3492">
        <f>HYPERLINK("https://raw.githubusercontent.com/marcosmapl/dataset_imigrantes/main/materias_filtered/g1/haitianos/2012/01_fev/html/g1_3ff360dc-230f-11ed-b24f-6dbe51e79fca_2785.html", "HTML")</f>
        <v/>
      </c>
      <c r="R3492">
        <f>HYPERLINK("https://raw.githubusercontent.com/marcosmapl/dataset_imigrantes/main/materias_filtered/g1/haitianos/2012/01_fev/txt/g1_3ff360dc-230f-11ed-b24f-6dbe51e79fca_2785.txt", "TXT")</f>
        <v/>
      </c>
    </row>
    <row r="3493">
      <c r="A3493" s="1" t="n">
        <v>3491</v>
      </c>
      <c r="B3493" t="n">
        <v>2012</v>
      </c>
      <c r="C3493" s="2" t="n">
        <v>40968.5875</v>
      </c>
      <c r="D3493" t="inlineStr">
        <is>
          <t>G1</t>
        </is>
      </c>
      <c r="E3493" t="inlineStr">
        <is>
          <t>HAITIANOS</t>
        </is>
      </c>
      <c r="F3493" t="inlineStr"/>
      <c r="G3493" t="inlineStr"/>
      <c r="H3493" t="inlineStr">
        <is>
          <t>BARRADA NA FRONTEIRA, HAITIANA AGORA QUER ENTRAR NO BRASIL COM VISTO</t>
        </is>
      </c>
      <c r="I3493" t="inlineStr"/>
      <c r="J3493" t="inlineStr"/>
      <c r="K3493" t="n">
        <v>0</v>
      </c>
      <c r="L3493" t="n">
        <v>1</v>
      </c>
      <c r="M3493" t="n">
        <v>0</v>
      </c>
      <c r="N3493" t="n">
        <v>0</v>
      </c>
      <c r="O3493" t="n">
        <v>4</v>
      </c>
      <c r="P3493">
        <f>HYPERLINK("http://g1.globo.com/mundo/noticia/2012/02/barrada-na-fronteira-haitiana-agora-quer-entrar-no-brasil-com-visto.html", "URL")</f>
        <v/>
      </c>
      <c r="Q3493">
        <f>HYPERLINK("https://raw.githubusercontent.com/marcosmapl/dataset_imigrantes/main/materias_filtered/g1/haitianos/2012/01_fev/html/g1_049b9c2a-2328-11ed-b24f-6dbe51e79fca_4060.html", "HTML")</f>
        <v/>
      </c>
      <c r="R3493">
        <f>HYPERLINK("https://raw.githubusercontent.com/marcosmapl/dataset_imigrantes/main/materias_filtered/g1/haitianos/2012/01_fev/txt/g1_049b9c2a-2328-11ed-b24f-6dbe51e79fca_4060.txt", "TXT")</f>
        <v/>
      </c>
    </row>
    <row r="3494">
      <c r="A3494" s="1" t="n">
        <v>3492</v>
      </c>
      <c r="B3494" t="n">
        <v>2012</v>
      </c>
      <c r="C3494" s="2" t="n">
        <v>40968.21666666667</v>
      </c>
      <c r="D3494" t="inlineStr">
        <is>
          <t>G1</t>
        </is>
      </c>
      <c r="E3494" t="inlineStr">
        <is>
          <t>HAITIANOS</t>
        </is>
      </c>
      <c r="F3494" t="inlineStr"/>
      <c r="G3494" t="inlineStr">
        <is>
          <t>BC</t>
        </is>
      </c>
      <c r="H3494" t="inlineStr">
        <is>
          <t>EM PATRULHA POR PORTO PRÍNCIPE, MINUSTAH RECEBE CRÍTICAS E ELOGIOS</t>
        </is>
      </c>
      <c r="I3494" t="inlineStr"/>
      <c r="J3494" t="inlineStr">
        <is>
          <t>HAITI</t>
        </is>
      </c>
      <c r="K3494" t="n">
        <v>1</v>
      </c>
      <c r="L3494" t="n">
        <v>5</v>
      </c>
      <c r="M3494" t="n">
        <v>0</v>
      </c>
      <c r="N3494" t="n">
        <v>0</v>
      </c>
      <c r="O3494" t="n">
        <v>10</v>
      </c>
      <c r="P3494">
        <f>HYPERLINK("http://g1.globo.com/mundo/noticia/2012/02/em-patrulha-por-porto-principe-minustah-recebe-criticas-e-elogios.html", "URL")</f>
        <v/>
      </c>
      <c r="Q3494">
        <f>HYPERLINK("https://raw.githubusercontent.com/marcosmapl/dataset_imigrantes/main/materias_filtered/g1/haitianos/2012/01_fev/html/g1_1766a824-232b-11ed-b24f-6dbe51e79fca_4221.html", "HTML")</f>
        <v/>
      </c>
      <c r="R3494">
        <f>HYPERLINK("https://raw.githubusercontent.com/marcosmapl/dataset_imigrantes/main/materias_filtered/g1/haitianos/2012/01_fev/txt/g1_1766a824-232b-11ed-b24f-6dbe51e79fca_4221.txt", "TXT")</f>
        <v/>
      </c>
    </row>
    <row r="3495">
      <c r="A3495" s="1" t="n">
        <v>3493</v>
      </c>
      <c r="B3495" t="n">
        <v>2012</v>
      </c>
      <c r="C3495" s="2" t="n">
        <v>40967.80373842592</v>
      </c>
      <c r="D3495" t="inlineStr">
        <is>
          <t>A CRITICA</t>
        </is>
      </c>
      <c r="E3495" t="inlineStr">
        <is>
          <t>HAITIANOS</t>
        </is>
      </c>
      <c r="F3495" t="inlineStr">
        <is>
          <t>MANAUS</t>
        </is>
      </c>
      <c r="G3495" t="inlineStr">
        <is>
          <t>ACRÍTICA.COM</t>
        </is>
      </c>
      <c r="H3495" t="inlineStr">
        <is>
          <t>SAÚDE DA REDE MUNICIPAL DE MANAUS VAI CADASTRAR HAITIANOS PARA ACESSO AOS SERVIÇOS DO SUS</t>
        </is>
      </c>
      <c r="I3495" t="inlineStr">
        <is>
          <t>NESTA QUARTA-FEIRA (29) SERVIDORES DA SEMSA PARTICIPARÃO DE TREINAMENTO, COM NOÇÕES BÁSICAS DE COMUNICAÇÃO EM CRIOULO, DIALETO DE QUASE TODA A POPULAÇÃO DO HAITI</t>
        </is>
      </c>
      <c r="J3495" t="inlineStr"/>
      <c r="K3495" t="n">
        <v>0</v>
      </c>
      <c r="L3495" t="n">
        <v>1</v>
      </c>
      <c r="M3495" t="n">
        <v>0</v>
      </c>
      <c r="N3495" t="n">
        <v>0</v>
      </c>
      <c r="O3495" t="n">
        <v>0</v>
      </c>
      <c r="P3495">
        <f>HYPERLINK("https://www.acritica.com/manaus/saude-da-rede-municipal-de-manaus-vai-cadastrar-haitianos-para-acesso-aos-servicos-do-sus-1.166757", "URL")</f>
        <v/>
      </c>
      <c r="Q3495">
        <f>HYPERLINK("https://raw.githubusercontent.com/marcosmapl/dataset_imigrantes/main/materias_filtered/a_critica/haitianos/2012/01_fev/html/1.166757_39.html", "HTML")</f>
        <v/>
      </c>
      <c r="R3495">
        <f>HYPERLINK("https://raw.githubusercontent.com/marcosmapl/dataset_imigrantes/main/materias_filtered/a_critica/haitianos/2012/01_fev/txt/1.166757_39.txt", "TXT")</f>
        <v/>
      </c>
    </row>
    <row r="3496">
      <c r="A3496" s="1" t="n">
        <v>3494</v>
      </c>
      <c r="B3496" t="n">
        <v>2012</v>
      </c>
      <c r="C3496" s="2" t="n">
        <v>40967.78055555555</v>
      </c>
      <c r="D3496" t="inlineStr">
        <is>
          <t>G1</t>
        </is>
      </c>
      <c r="E3496" t="inlineStr">
        <is>
          <t>HAITIANOS</t>
        </is>
      </c>
      <c r="F3496" t="inlineStr"/>
      <c r="G3496" t="inlineStr">
        <is>
          <t>1 AM</t>
        </is>
      </c>
      <c r="H3496" t="inlineStr">
        <is>
          <t>SECRETARIA DE SAÚDE REALIZARÁ CADASTRO DE HAITIANOS NO SUS, NO AM</t>
        </is>
      </c>
      <c r="I3496" t="inlineStr"/>
      <c r="J3496" t="inlineStr"/>
      <c r="K3496" t="n">
        <v>0</v>
      </c>
      <c r="L3496" t="n">
        <v>1</v>
      </c>
      <c r="M3496" t="n">
        <v>0</v>
      </c>
      <c r="N3496" t="n">
        <v>0</v>
      </c>
      <c r="O3496" t="n">
        <v>4</v>
      </c>
      <c r="P3496">
        <f>HYPERLINK("http://g1.globo.com/am/amazonas/noticia/2012/02/secretaria-de-saude-realizara-cadastro-de-haitianos-no-sus-no-am.html", "URL")</f>
        <v/>
      </c>
      <c r="Q3496">
        <f>HYPERLINK("https://raw.githubusercontent.com/marcosmapl/dataset_imigrantes/main/materias_filtered/g1/haitianos/2012/01_fev/html/g1_b5a986a8-22f1-11ed-b24f-6dbe51e79fca_1762.html", "HTML")</f>
        <v/>
      </c>
      <c r="R3496">
        <f>HYPERLINK("https://raw.githubusercontent.com/marcosmapl/dataset_imigrantes/main/materias_filtered/g1/haitianos/2012/01_fev/txt/g1_b5a986a8-22f1-11ed-b24f-6dbe51e79fca_1762.txt", "TXT")</f>
        <v/>
      </c>
    </row>
    <row r="3497">
      <c r="A3497" s="1" t="n">
        <v>3495</v>
      </c>
      <c r="B3497" t="n">
        <v>2012</v>
      </c>
      <c r="C3497" s="2" t="n">
        <v>40967.46875</v>
      </c>
      <c r="D3497" t="inlineStr">
        <is>
          <t>G1</t>
        </is>
      </c>
      <c r="E3497" t="inlineStr">
        <is>
          <t>HAITIANOS</t>
        </is>
      </c>
      <c r="F3497" t="inlineStr"/>
      <c r="G3497" t="inlineStr">
        <is>
          <t>CE PRESSE</t>
        </is>
      </c>
      <c r="H3497" t="inlineStr">
        <is>
          <t>QUASE 500.000 HAITIANOS VIVEM EM ACAMPAMENTOS</t>
        </is>
      </c>
      <c r="I3497" t="inlineStr"/>
      <c r="J3497" t="inlineStr"/>
      <c r="K3497" t="n">
        <v>0</v>
      </c>
      <c r="L3497" t="n">
        <v>1</v>
      </c>
      <c r="M3497" t="n">
        <v>0</v>
      </c>
      <c r="N3497" t="n">
        <v>0</v>
      </c>
      <c r="O3497" t="n">
        <v>4</v>
      </c>
      <c r="P3497">
        <f>HYPERLINK("http://g1.globo.com/mundo/noticia/2012/02/quase-500000-haitianos-vivem-em-acampamentos.html", "URL")</f>
        <v/>
      </c>
      <c r="Q3497">
        <f>HYPERLINK("https://raw.githubusercontent.com/marcosmapl/dataset_imigrantes/main/materias_filtered/g1/haitianos/2012/01_fev/html/g1_7a669c88-22f2-11ed-b24f-6dbe51e79fca_1800.html", "HTML")</f>
        <v/>
      </c>
      <c r="R3497">
        <f>HYPERLINK("https://raw.githubusercontent.com/marcosmapl/dataset_imigrantes/main/materias_filtered/g1/haitianos/2012/01_fev/txt/g1_7a669c88-22f2-11ed-b24f-6dbe51e79fca_1800.txt", "TXT")</f>
        <v/>
      </c>
    </row>
    <row r="3498">
      <c r="A3498" s="1" t="n">
        <v>3496</v>
      </c>
      <c r="B3498" t="n">
        <v>2012</v>
      </c>
      <c r="C3498" s="2" t="n">
        <v>40966.81784722222</v>
      </c>
      <c r="D3498" t="inlineStr">
        <is>
          <t>A CRITICA</t>
        </is>
      </c>
      <c r="E3498" t="inlineStr">
        <is>
          <t>HAITIANOS</t>
        </is>
      </c>
      <c r="F3498" t="inlineStr"/>
      <c r="G3498" t="inlineStr">
        <is>
          <t>ACRÍTICA.COM</t>
        </is>
      </c>
      <c r="H3498" t="inlineStr">
        <is>
          <t>HAITIANOS DEVEM RECEBER R$ 520 MIL DE VERBA FEDERAL NAS PRÓXIMAS HORAS</t>
        </is>
      </c>
      <c r="I3498" t="inlineStr">
        <is>
          <t>A SECRETÁRIA EXECUTIVA DA SEAS AFIRMOU QUE A VERBA REPASSADA PELO GOVERNO FEDERAL DEVERÁ SER ENTREGUE NAS PRÓXIMAS HORAS</t>
        </is>
      </c>
      <c r="J3498" t="inlineStr"/>
      <c r="K3498" t="n">
        <v>0</v>
      </c>
      <c r="L3498" t="n">
        <v>1</v>
      </c>
      <c r="M3498" t="n">
        <v>0</v>
      </c>
      <c r="N3498" t="n">
        <v>0</v>
      </c>
      <c r="O3498" t="n">
        <v>1</v>
      </c>
      <c r="P3498">
        <f>HYPERLINK("https://www.acritica.com/haitianos-devem-receber-r-520-mil-de-verba-federal-nas-proximas-horas-1.166600", "URL")</f>
        <v/>
      </c>
      <c r="Q3498">
        <f>HYPERLINK("https://raw.githubusercontent.com/marcosmapl/dataset_imigrantes/main/materias_filtered/a_critica/haitianos/2012/01_fev/html/1.166600_40.html", "HTML")</f>
        <v/>
      </c>
      <c r="R3498">
        <f>HYPERLINK("https://raw.githubusercontent.com/marcosmapl/dataset_imigrantes/main/materias_filtered/a_critica/haitianos/2012/01_fev/txt/1.166600_40.txt", "TXT")</f>
        <v/>
      </c>
    </row>
    <row r="3499">
      <c r="A3499" s="1" t="n">
        <v>3497</v>
      </c>
      <c r="B3499" t="n">
        <v>2012</v>
      </c>
      <c r="C3499" s="2" t="n">
        <v>40966.69583333333</v>
      </c>
      <c r="D3499" t="inlineStr">
        <is>
          <t>G1</t>
        </is>
      </c>
      <c r="E3499" t="inlineStr">
        <is>
          <t>HAITIANOS</t>
        </is>
      </c>
      <c r="F3499" t="inlineStr"/>
      <c r="G3499" t="inlineStr">
        <is>
          <t>GRAZIELA MAIADO G1 AM</t>
        </is>
      </c>
      <c r="H3499" t="inlineStr">
        <is>
          <t>MENOR APREENDIDO LEVA A PRISÃO DE SUSPEITO DE ATIRAR EM HAITIANO, NO AM</t>
        </is>
      </c>
      <c r="I3499" t="inlineStr"/>
      <c r="J3499" t="inlineStr"/>
      <c r="K3499" t="n">
        <v>0</v>
      </c>
      <c r="L3499" t="n">
        <v>0</v>
      </c>
      <c r="M3499" t="n">
        <v>0</v>
      </c>
      <c r="N3499" t="n">
        <v>0</v>
      </c>
      <c r="O3499" t="n">
        <v>4</v>
      </c>
      <c r="P3499">
        <f>HYPERLINK("http://g1.globo.com/am/amazonas/noticia/2012/02/menor-apreendido-leva-prisao-de-suspeito-de-atirar-em-haitiano-no-am.html", "URL")</f>
        <v/>
      </c>
      <c r="Q3499">
        <f>HYPERLINK("https://raw.githubusercontent.com/marcosmapl/dataset_imigrantes/main/materias_filtered/g1/haitianos/2012/01_fev/html/g1_d96a7f88-2329-11ed-b24f-6dbe51e79fca_4143.html", "HTML")</f>
        <v/>
      </c>
      <c r="R3499">
        <f>HYPERLINK("https://raw.githubusercontent.com/marcosmapl/dataset_imigrantes/main/materias_filtered/g1/haitianos/2012/01_fev/txt/g1_d96a7f88-2329-11ed-b24f-6dbe51e79fca_4143.txt", "TXT")</f>
        <v/>
      </c>
    </row>
    <row r="3500">
      <c r="A3500" s="1" t="n">
        <v>3498</v>
      </c>
      <c r="B3500" t="n">
        <v>2012</v>
      </c>
      <c r="C3500" s="2" t="n">
        <v>40966.63325231482</v>
      </c>
      <c r="D3500" t="inlineStr">
        <is>
          <t>A CRITICA</t>
        </is>
      </c>
      <c r="E3500" t="inlineStr">
        <is>
          <t>HAITIANOS</t>
        </is>
      </c>
      <c r="F3500" t="inlineStr">
        <is>
          <t>MANAUS</t>
        </is>
      </c>
      <c r="G3500" t="inlineStr">
        <is>
          <t>JOELMA MUNIZ</t>
        </is>
      </c>
      <c r="H3500" t="inlineStr">
        <is>
          <t>IMIGRAÇÃO DE HAITIANOS AO AM SERÁ DEBATIDA PELA ALE-AM NESTA SEGUNDA-FEIRA (27)</t>
        </is>
      </c>
      <c r="I3500" t="inlineStr">
        <is>
          <t>A PROPOSITURA DOS DEPUTADOS JOSÉ RICARDO WENDLING (PT), LUIZ CASTRO (PPS) E MARCELO RAMOS (PSB), VISA DISCUTIR A SITUAÇÃO DE APROXIMADAMENTE 4 MIL HAITIANOS QUE ESTÃO NO ESTADO</t>
        </is>
      </c>
      <c r="J3500" t="inlineStr"/>
      <c r="K3500" t="n">
        <v>0</v>
      </c>
      <c r="L3500" t="n">
        <v>1</v>
      </c>
      <c r="M3500" t="n">
        <v>0</v>
      </c>
      <c r="N3500" t="n">
        <v>0</v>
      </c>
      <c r="O3500" t="n">
        <v>0</v>
      </c>
      <c r="P3500">
        <f>HYPERLINK("https://www.acritica.com/manaus/imigrac-o-de-haitianos-ao-am-sera-debatida-pela-ale-am-nesta-segunda-feira-27-1.166640", "URL")</f>
        <v/>
      </c>
      <c r="Q3500">
        <f>HYPERLINK("https://raw.githubusercontent.com/marcosmapl/dataset_imigrantes/main/materias_filtered/a_critica/haitianos/2012/01_fev/html/1.166640_33.html", "HTML")</f>
        <v/>
      </c>
      <c r="R3500">
        <f>HYPERLINK("https://raw.githubusercontent.com/marcosmapl/dataset_imigrantes/main/materias_filtered/a_critica/haitianos/2012/01_fev/txt/1.166640_33.txt", "TXT")</f>
        <v/>
      </c>
    </row>
    <row r="3501">
      <c r="A3501" s="1" t="n">
        <v>3499</v>
      </c>
      <c r="B3501" t="n">
        <v>2012</v>
      </c>
      <c r="C3501" s="2" t="n">
        <v>40966.52638888889</v>
      </c>
      <c r="D3501" t="inlineStr">
        <is>
          <t>G1</t>
        </is>
      </c>
      <c r="E3501" t="inlineStr">
        <is>
          <t>HAITIANOS</t>
        </is>
      </c>
      <c r="F3501" t="inlineStr"/>
      <c r="G3501" t="inlineStr">
        <is>
          <t>1 AM</t>
        </is>
      </c>
      <c r="H3501" t="inlineStr">
        <is>
          <t>ASSEMBLEIA DEBATE MIGRAÇÃO DOS HAITIANOS NO AM, NESTA SEGUNDA-FEIRA</t>
        </is>
      </c>
      <c r="I3501" t="inlineStr"/>
      <c r="J3501" t="inlineStr"/>
      <c r="K3501" t="n">
        <v>0</v>
      </c>
      <c r="L3501" t="n">
        <v>1</v>
      </c>
      <c r="M3501" t="n">
        <v>0</v>
      </c>
      <c r="N3501" t="n">
        <v>0</v>
      </c>
      <c r="O3501" t="n">
        <v>4</v>
      </c>
      <c r="P3501">
        <f>HYPERLINK("http://g1.globo.com/am/amazonas/noticia/2012/02/assembleia-debate-imigracao-dos-haitianos-no-am-nesta-segunda-feira.html", "URL")</f>
        <v/>
      </c>
      <c r="Q3501">
        <f>HYPERLINK("https://raw.githubusercontent.com/marcosmapl/dataset_imigrantes/main/materias_filtered/g1/haitianos/2012/01_fev/html/g1_d9c5e0c8-22fa-11ed-b24f-6dbe51e79fca_2246.html", "HTML")</f>
        <v/>
      </c>
      <c r="R3501">
        <f>HYPERLINK("https://raw.githubusercontent.com/marcosmapl/dataset_imigrantes/main/materias_filtered/g1/haitianos/2012/01_fev/txt/g1_d9c5e0c8-22fa-11ed-b24f-6dbe51e79fca_2246.txt", "TXT")</f>
        <v/>
      </c>
    </row>
    <row r="3502">
      <c r="A3502" s="1" t="n">
        <v>3500</v>
      </c>
      <c r="B3502" t="n">
        <v>2012</v>
      </c>
      <c r="C3502" s="2" t="n">
        <v>40965.6519675926</v>
      </c>
      <c r="D3502" t="inlineStr">
        <is>
          <t>A CRITICA</t>
        </is>
      </c>
      <c r="E3502" t="inlineStr">
        <is>
          <t>HAITIANOS</t>
        </is>
      </c>
      <c r="F3502" t="inlineStr">
        <is>
          <t>MANAUS</t>
        </is>
      </c>
      <c r="G3502" t="inlineStr">
        <is>
          <t>LEANDRO PRAZERES</t>
        </is>
      </c>
      <c r="H3502" t="inlineStr">
        <is>
          <t>SENADOR EDUARDO BRAGA (PMDB) AVALIA ONDA MIGRATÓRIA NO PAÍS</t>
        </is>
      </c>
      <c r="I3502" t="inlineStr">
        <is>
          <t>“O BRASIL NÃO PODE FICAR SÓ OLHANDO O PRÓPRIO UMBIGO”</t>
        </is>
      </c>
      <c r="J3502" t="inlineStr"/>
      <c r="K3502" t="n">
        <v>0</v>
      </c>
      <c r="L3502" t="n">
        <v>1</v>
      </c>
      <c r="M3502" t="n">
        <v>0</v>
      </c>
      <c r="N3502" t="n">
        <v>0</v>
      </c>
      <c r="O3502" t="n">
        <v>0</v>
      </c>
      <c r="P3502">
        <f>HYPERLINK("https://www.acritica.com/manaus/senador-eduardo-braga-pmdb-avalia-onda-migratoria-no-pais-1.105243", "URL")</f>
        <v/>
      </c>
      <c r="Q3502">
        <f>HYPERLINK("https://raw.githubusercontent.com/marcosmapl/dataset_imigrantes/main/materias_filtered/a_critica/haitianos/2012/01_fev/html/1.105243_1198.html", "HTML")</f>
        <v/>
      </c>
      <c r="R3502">
        <f>HYPERLINK("https://raw.githubusercontent.com/marcosmapl/dataset_imigrantes/main/materias_filtered/a_critica/haitianos/2012/01_fev/txt/1.105243_1198.txt", "TXT")</f>
        <v/>
      </c>
    </row>
    <row r="3503">
      <c r="A3503" s="1" t="n">
        <v>3501</v>
      </c>
      <c r="B3503" t="n">
        <v>2012</v>
      </c>
      <c r="C3503" s="2" t="n">
        <v>40963.68333333333</v>
      </c>
      <c r="D3503" t="inlineStr">
        <is>
          <t>G1</t>
        </is>
      </c>
      <c r="E3503" t="inlineStr">
        <is>
          <t>HAITIANOS</t>
        </is>
      </c>
      <c r="F3503" t="inlineStr"/>
      <c r="G3503" t="inlineStr">
        <is>
          <t>CE PRESSE</t>
        </is>
      </c>
      <c r="H3503" t="inlineStr">
        <is>
          <t>PRIMEIRO-MINISTRO HAITIANO APRESENTA RENÚNCIA</t>
        </is>
      </c>
      <c r="I3503" t="inlineStr"/>
      <c r="J3503" t="inlineStr"/>
      <c r="K3503" t="n">
        <v>0</v>
      </c>
      <c r="L3503" t="n">
        <v>1</v>
      </c>
      <c r="M3503" t="n">
        <v>0</v>
      </c>
      <c r="N3503" t="n">
        <v>0</v>
      </c>
      <c r="O3503" t="n">
        <v>4</v>
      </c>
      <c r="P3503">
        <f>HYPERLINK("http://g1.globo.com/mundo/noticia/2012/02/primeiro-ministro-haitiano-apresenta-renuncia.html", "URL")</f>
        <v/>
      </c>
      <c r="Q3503">
        <f>HYPERLINK("https://raw.githubusercontent.com/marcosmapl/dataset_imigrantes/main/materias_filtered/g1/haitianos/2012/01_fev/html/g1_b38f7bba-2306-11ed-b24f-6dbe51e79fca_2274.html", "HTML")</f>
        <v/>
      </c>
      <c r="R3503">
        <f>HYPERLINK("https://raw.githubusercontent.com/marcosmapl/dataset_imigrantes/main/materias_filtered/g1/haitianos/2012/01_fev/txt/g1_b38f7bba-2306-11ed-b24f-6dbe51e79fca_2274.txt", "TXT")</f>
        <v/>
      </c>
    </row>
    <row r="3504">
      <c r="A3504" s="1" t="n">
        <v>3502</v>
      </c>
      <c r="B3504" t="n">
        <v>2012</v>
      </c>
      <c r="C3504" s="2" t="n">
        <v>40963.28333333333</v>
      </c>
      <c r="D3504" t="inlineStr">
        <is>
          <t>G1</t>
        </is>
      </c>
      <c r="E3504" t="inlineStr">
        <is>
          <t>HAITIANOS</t>
        </is>
      </c>
      <c r="F3504" t="inlineStr"/>
      <c r="G3504" t="inlineStr">
        <is>
          <t>LOBO RURAL</t>
        </is>
      </c>
      <c r="H3504" t="inlineStr">
        <is>
          <t>HAITIANOS ENCONTRAM NOVA VIDA NAS LAVOURAS DO SUL DE MINAS GERAIS</t>
        </is>
      </c>
      <c r="I3504" t="inlineStr"/>
      <c r="J3504" t="inlineStr">
        <is>
          <t>MINAS GERAIS, ECONOMIA</t>
        </is>
      </c>
      <c r="K3504" t="n">
        <v>2</v>
      </c>
      <c r="L3504" t="n">
        <v>4</v>
      </c>
      <c r="M3504" t="n">
        <v>0</v>
      </c>
      <c r="N3504" t="n">
        <v>0</v>
      </c>
      <c r="O3504" t="n">
        <v>11</v>
      </c>
      <c r="P3504">
        <f>HYPERLINK("http://g1.globo.com/economia/agronegocios/noticia/2012/02/haitianos-encontram-nova-vida-nas-lavouras-do-sul-de-minas-gerais.html", "URL")</f>
        <v/>
      </c>
      <c r="Q3504">
        <f>HYPERLINK("https://raw.githubusercontent.com/marcosmapl/dataset_imigrantes/main/materias_filtered/g1/haitianos/2012/01_fev/html/g1_9e7b513a-22ee-11ed-b24f-6dbe51e79fca_1706.html", "HTML")</f>
        <v/>
      </c>
      <c r="R3504">
        <f>HYPERLINK("https://raw.githubusercontent.com/marcosmapl/dataset_imigrantes/main/materias_filtered/g1/haitianos/2012/01_fev/txt/g1_9e7b513a-22ee-11ed-b24f-6dbe51e79fca_1706.txt", "TXT")</f>
        <v/>
      </c>
    </row>
    <row r="3505">
      <c r="A3505" s="1" t="n">
        <v>3503</v>
      </c>
      <c r="B3505" t="n">
        <v>2012</v>
      </c>
      <c r="C3505" s="2" t="n">
        <v>40962.45481481482</v>
      </c>
      <c r="D3505" t="inlineStr">
        <is>
          <t>A CRITICA</t>
        </is>
      </c>
      <c r="E3505" t="inlineStr">
        <is>
          <t>VENEZUELANOS</t>
        </is>
      </c>
      <c r="F3505" t="inlineStr">
        <is>
          <t>ESPORTES</t>
        </is>
      </c>
      <c r="G3505" t="inlineStr">
        <is>
          <t>JHONNY LIMA</t>
        </is>
      </c>
      <c r="H3505" t="inlineStr">
        <is>
          <t>BARCELONA DE MANAUS É TERCEIRO EM TORNEIO DE FUTEBOL, EM RORAIMA</t>
        </is>
      </c>
      <c r="I3505" t="inlineStr">
        <is>
          <t>A EQUIPE DO PROFESSOR NEDSON SILVA FEZ BONITO E SÓ PERDEU A SEMIFINAL PARA OS DONOS DA CASA, O EXTREMO NORTE, NOS PÊNALTIS</t>
        </is>
      </c>
      <c r="J3505" t="inlineStr"/>
      <c r="K3505" t="n">
        <v>0</v>
      </c>
      <c r="L3505" t="n">
        <v>1</v>
      </c>
      <c r="M3505" t="n">
        <v>0</v>
      </c>
      <c r="N3505" t="n">
        <v>0</v>
      </c>
      <c r="O3505" t="n">
        <v>1</v>
      </c>
      <c r="P3505">
        <f>HYPERLINK("https://www.acritica.com/esportes/barcelona-de-manaus-e-terceiro-em-torneio-de-futebol-em-roraima-1.166568", "URL")</f>
        <v/>
      </c>
      <c r="Q3505">
        <f>HYPERLINK("https://raw.githubusercontent.com/marcosmapl/dataset_imigrantes/main/materias_filtered/a_critica/venezuelanos/2012/01_fev/html/1.166568_1043.html", "HTML")</f>
        <v/>
      </c>
      <c r="R3505">
        <f>HYPERLINK("https://raw.githubusercontent.com/marcosmapl/dataset_imigrantes/main/materias_filtered/a_critica/venezuelanos/2012/01_fev/txt/1.166568_1043.txt", "TXT")</f>
        <v/>
      </c>
    </row>
    <row r="3506">
      <c r="A3506" s="1" t="n">
        <v>3504</v>
      </c>
      <c r="B3506" t="n">
        <v>2012</v>
      </c>
      <c r="C3506" s="2" t="n">
        <v>40959.51804398148</v>
      </c>
      <c r="D3506" t="inlineStr">
        <is>
          <t>A CRITICA</t>
        </is>
      </c>
      <c r="E3506" t="inlineStr">
        <is>
          <t>HAITIANOS</t>
        </is>
      </c>
      <c r="F3506" t="inlineStr">
        <is>
          <t>ESPORTES</t>
        </is>
      </c>
      <c r="G3506" t="inlineStr">
        <is>
          <t>LORENNA SERRÃO</t>
        </is>
      </c>
      <c r="H3506" t="inlineStr">
        <is>
          <t>AMAZONENSES VENCEM HAITIANOS EM AMISTOSO</t>
        </is>
      </c>
      <c r="I3506" t="inlineStr">
        <is>
          <t>---</t>
        </is>
      </c>
      <c r="J3506" t="inlineStr"/>
      <c r="K3506" t="n">
        <v>0</v>
      </c>
      <c r="L3506" t="n">
        <v>1</v>
      </c>
      <c r="M3506" t="n">
        <v>0</v>
      </c>
      <c r="N3506" t="n">
        <v>0</v>
      </c>
      <c r="O3506" t="n">
        <v>0</v>
      </c>
      <c r="P3506">
        <f>HYPERLINK("https://www.acritica.com/esportes/amazonenses-vencem-haitianos-em-amistoso-1.137516", "URL")</f>
        <v/>
      </c>
      <c r="Q3506">
        <f>HYPERLINK("https://raw.githubusercontent.com/marcosmapl/dataset_imigrantes/main/materias_filtered/a_critica/haitianos/2012/01_fev/html/1.137516_160.html", "HTML")</f>
        <v/>
      </c>
      <c r="R3506">
        <f>HYPERLINK("https://raw.githubusercontent.com/marcosmapl/dataset_imigrantes/main/materias_filtered/a_critica/haitianos/2012/01_fev/txt/1.137516_160.txt", "TXT")</f>
        <v/>
      </c>
    </row>
    <row r="3507">
      <c r="A3507" s="1" t="n">
        <v>3505</v>
      </c>
      <c r="B3507" t="n">
        <v>2012</v>
      </c>
      <c r="C3507" s="2" t="n">
        <v>40958.98194444444</v>
      </c>
      <c r="D3507" t="inlineStr">
        <is>
          <t>A CRITICA</t>
        </is>
      </c>
      <c r="E3507" t="inlineStr">
        <is>
          <t>HAITIANOS</t>
        </is>
      </c>
      <c r="F3507" t="inlineStr"/>
      <c r="G3507" t="inlineStr">
        <is>
          <t>LORENNA SERRÃO</t>
        </is>
      </c>
      <c r="H3507" t="inlineStr">
        <is>
          <t>HAITIANO SONHA SER JOGADOR DE FUTEBOL NO AMAZONAS</t>
        </is>
      </c>
      <c r="I3507" t="inlineStr">
        <is>
          <t>UMA PARTIDA ENTRE IMIGRANTES HAITIANOS,  EX-JOGADORES PROFISSIONAIS DE TIMES DO HAITI, QUE TAMBÉM SÃO FÃS DO FLAMENGO E DO R10, FOI REALIZADA NESTE DOMINGO, EM MANAUS</t>
        </is>
      </c>
      <c r="J3507" t="inlineStr"/>
      <c r="K3507" t="n">
        <v>0</v>
      </c>
      <c r="L3507" t="n">
        <v>1</v>
      </c>
      <c r="M3507" t="n">
        <v>0</v>
      </c>
      <c r="N3507" t="n">
        <v>0</v>
      </c>
      <c r="O3507" t="n">
        <v>2</v>
      </c>
      <c r="P3507">
        <f>HYPERLINK("https://www.acritica.com/haitiano-sonha-ser-jogador-de-futebol-no-amazonas-1.105479", "URL")</f>
        <v/>
      </c>
      <c r="Q3507">
        <f>HYPERLINK("https://raw.githubusercontent.com/marcosmapl/dataset_imigrantes/main/materias_filtered/a_critica/haitianos/2012/01_fev/html/1.105479_1357.html", "HTML")</f>
        <v/>
      </c>
      <c r="R3507">
        <f>HYPERLINK("https://raw.githubusercontent.com/marcosmapl/dataset_imigrantes/main/materias_filtered/a_critica/haitianos/2012/01_fev/txt/1.105479_1357.txt", "TXT")</f>
        <v/>
      </c>
    </row>
    <row r="3508">
      <c r="A3508" s="1" t="n">
        <v>3506</v>
      </c>
      <c r="B3508" t="n">
        <v>2012</v>
      </c>
      <c r="C3508" s="2" t="n">
        <v>40957.92618055556</v>
      </c>
      <c r="D3508" t="inlineStr">
        <is>
          <t>A CRITICA</t>
        </is>
      </c>
      <c r="E3508" t="inlineStr">
        <is>
          <t>HAITIANOS</t>
        </is>
      </c>
      <c r="F3508" t="inlineStr">
        <is>
          <t>ENTRETENIMENTO</t>
        </is>
      </c>
      <c r="G3508" t="inlineStr">
        <is>
          <t>MILTON DE OLIVEIRA</t>
        </is>
      </c>
      <c r="H3508" t="inlineStr">
        <is>
          <t>GRUPO DE HAITIANOS QUE VIVE EM MANAUS VAI CAIR NA FOLIA NESTE CARNAVAL</t>
        </is>
      </c>
      <c r="I3508" t="inlineStr">
        <is>
          <t>PELO MENOS 15 IMIGRANTES FARÃO PARTE DA APRESENTAÇÃO DA VITÓRIA RÉGIA, A PENÚLTIMA ESCOLA A DESFILAR NA MADRUGADA DE DOMINGO</t>
        </is>
      </c>
      <c r="J3508" t="inlineStr"/>
      <c r="K3508" t="n">
        <v>0</v>
      </c>
      <c r="L3508" t="n">
        <v>1</v>
      </c>
      <c r="M3508" t="n">
        <v>0</v>
      </c>
      <c r="N3508" t="n">
        <v>0</v>
      </c>
      <c r="O3508" t="n">
        <v>0</v>
      </c>
      <c r="P3508">
        <f>HYPERLINK("https://www.acritica.com/entretenimento/grupo-de-haitianos-que-vive-em-manaus-vai-cair-na-folia-neste-carnaval-1.166426", "URL")</f>
        <v/>
      </c>
      <c r="Q3508">
        <f>HYPERLINK("https://raw.githubusercontent.com/marcosmapl/dataset_imigrantes/main/materias_filtered/a_critica/haitianos/2012/01_fev/html/1.166426_6.html", "HTML")</f>
        <v/>
      </c>
      <c r="R3508">
        <f>HYPERLINK("https://raw.githubusercontent.com/marcosmapl/dataset_imigrantes/main/materias_filtered/a_critica/haitianos/2012/01_fev/txt/1.166426_6.txt", "TXT")</f>
        <v/>
      </c>
    </row>
    <row r="3509">
      <c r="A3509" s="1" t="n">
        <v>3507</v>
      </c>
      <c r="B3509" t="n">
        <v>2012</v>
      </c>
      <c r="C3509" s="2" t="n">
        <v>40957.81196759259</v>
      </c>
      <c r="D3509" t="inlineStr">
        <is>
          <t>A CRITICA</t>
        </is>
      </c>
      <c r="E3509" t="inlineStr">
        <is>
          <t>HAITIANOS</t>
        </is>
      </c>
      <c r="F3509" t="inlineStr"/>
      <c r="G3509" t="inlineStr">
        <is>
          <t>DÉBORA ZAMPIER /AGÊNCIA BRASIL</t>
        </is>
      </c>
      <c r="H3509" t="inlineStr">
        <is>
          <t>PROCESSO SOBRE HAITIANOS NO BRASIL CORRE EM SEGREDO DE JUSTIÇA</t>
        </is>
      </c>
      <c r="I3509" t="inlineStr">
        <is>
          <t>A ALEGAÇÃO DA  JUSTIÇA É DE QUE O PROCESSO COLOCADO SOB SIGILO SEJA PARA PREVENIR PERTURBAÇÕES INTERNACIONAIS</t>
        </is>
      </c>
      <c r="J3509" t="inlineStr"/>
      <c r="K3509" t="n">
        <v>0</v>
      </c>
      <c r="L3509" t="n">
        <v>1</v>
      </c>
      <c r="M3509" t="n">
        <v>0</v>
      </c>
      <c r="N3509" t="n">
        <v>0</v>
      </c>
      <c r="O3509" t="n">
        <v>0</v>
      </c>
      <c r="P3509">
        <f>HYPERLINK("https://www.acritica.com/processo-sobre-haitianos-no-brasil-corre-em-segredo-de-justica-1.166442", "URL")</f>
        <v/>
      </c>
      <c r="Q3509">
        <f>HYPERLINK("https://raw.githubusercontent.com/marcosmapl/dataset_imigrantes/main/materias_filtered/a_critica/haitianos/2012/01_fev/html/1.166442_748.html", "HTML")</f>
        <v/>
      </c>
      <c r="R3509">
        <f>HYPERLINK("https://raw.githubusercontent.com/marcosmapl/dataset_imigrantes/main/materias_filtered/a_critica/haitianos/2012/01_fev/txt/1.166442_748.txt", "TXT")</f>
        <v/>
      </c>
    </row>
    <row r="3510">
      <c r="A3510" s="1" t="n">
        <v>3508</v>
      </c>
      <c r="B3510" t="n">
        <v>2012</v>
      </c>
      <c r="C3510" s="2" t="n">
        <v>40956.97916666666</v>
      </c>
      <c r="D3510" t="inlineStr">
        <is>
          <t>G1</t>
        </is>
      </c>
      <c r="E3510" t="inlineStr">
        <is>
          <t>HAITIANOS</t>
        </is>
      </c>
      <c r="F3510" t="inlineStr"/>
      <c r="G3510" t="inlineStr">
        <is>
          <t>CIA EFE</t>
        </is>
      </c>
      <c r="H3510" t="inlineStr">
        <is>
          <t>INUNDAÇÕES AFETAM OS HAITIANOS NA FRONTEIRA ENTRE PERU E BRASIL</t>
        </is>
      </c>
      <c r="I3510" t="inlineStr"/>
      <c r="J3510" t="inlineStr"/>
      <c r="K3510" t="n">
        <v>0</v>
      </c>
      <c r="L3510" t="n">
        <v>1</v>
      </c>
      <c r="M3510" t="n">
        <v>0</v>
      </c>
      <c r="N3510" t="n">
        <v>0</v>
      </c>
      <c r="O3510" t="n">
        <v>4</v>
      </c>
      <c r="P3510">
        <f>HYPERLINK("http://g1.globo.com/mundo/noticia/2012/02/inundacoes-afetam-os-haitianos-na-fronteira-entre-peru-e-brasil.html", "URL")</f>
        <v/>
      </c>
      <c r="Q3510">
        <f>HYPERLINK("https://raw.githubusercontent.com/marcosmapl/dataset_imigrantes/main/materias_filtered/g1/haitianos/2012/01_fev/html/g1_c8decd4e-22f8-11ed-b24f-6dbe51e79fca_2157.html", "HTML")</f>
        <v/>
      </c>
      <c r="R3510">
        <f>HYPERLINK("https://raw.githubusercontent.com/marcosmapl/dataset_imigrantes/main/materias_filtered/g1/haitianos/2012/01_fev/txt/g1_c8decd4e-22f8-11ed-b24f-6dbe51e79fca_2157.txt", "TXT")</f>
        <v/>
      </c>
    </row>
    <row r="3511">
      <c r="A3511" s="1" t="n">
        <v>3509</v>
      </c>
      <c r="B3511" t="n">
        <v>2012</v>
      </c>
      <c r="C3511" s="2" t="n">
        <v>40956.35208333333</v>
      </c>
      <c r="D3511" t="inlineStr">
        <is>
          <t>G1</t>
        </is>
      </c>
      <c r="E3511" t="inlineStr">
        <is>
          <t>VENEZUELANOS</t>
        </is>
      </c>
      <c r="F3511" t="inlineStr"/>
      <c r="G3511" t="inlineStr">
        <is>
          <t>RANCE PRESSE</t>
        </is>
      </c>
      <c r="H3511" t="inlineStr">
        <is>
          <t>CHÁVEZ CHAMA CANDIDATO DA OPOSIÇÃO VENEZUELANA DE 'PORCO'</t>
        </is>
      </c>
      <c r="I3511" t="inlineStr"/>
      <c r="J3511" t="inlineStr">
        <is>
          <t>VENEZUELA</t>
        </is>
      </c>
      <c r="K3511" t="n">
        <v>1</v>
      </c>
      <c r="L3511" t="n">
        <v>4</v>
      </c>
      <c r="M3511" t="n">
        <v>0</v>
      </c>
      <c r="N3511" t="n">
        <v>0</v>
      </c>
      <c r="O3511" t="n">
        <v>9</v>
      </c>
      <c r="P3511">
        <f>HYPERLINK("http://g1.globo.com/mundo/noticia/2012/02/chavez-chama-candidato-da-oposicao-capriles-de-porco.html", "URL")</f>
        <v/>
      </c>
      <c r="Q3511">
        <f>HYPERLINK("https://raw.githubusercontent.com/marcosmapl/dataset_imigrantes/main/materias_filtered/g1/venezuelanos/2012/01_fev/html/g1_323f0fd8-2312-11ed-b24f-6dbe51e79fca_2955.html", "HTML")</f>
        <v/>
      </c>
      <c r="R3511">
        <f>HYPERLINK("https://raw.githubusercontent.com/marcosmapl/dataset_imigrantes/main/materias_filtered/g1/venezuelanos/2012/01_fev/txt/g1_323f0fd8-2312-11ed-b24f-6dbe51e79fca_2955.txt", "TXT")</f>
        <v/>
      </c>
    </row>
    <row r="3512">
      <c r="A3512" s="1" t="n">
        <v>3510</v>
      </c>
      <c r="B3512" t="n">
        <v>2012</v>
      </c>
      <c r="C3512" s="2" t="n">
        <v>40955.42770833334</v>
      </c>
      <c r="D3512" t="inlineStr">
        <is>
          <t>A CRITICA</t>
        </is>
      </c>
      <c r="E3512" t="inlineStr">
        <is>
          <t>HAITIANOS</t>
        </is>
      </c>
      <c r="F3512" t="inlineStr">
        <is>
          <t>ESPORTES</t>
        </is>
      </c>
      <c r="G3512" t="inlineStr">
        <is>
          <t>NATHÁLIA SILVEIRA</t>
        </is>
      </c>
      <c r="H3512" t="inlineStr">
        <is>
          <t>HAITIANOS E AMAZONENSES DISPUTAM PARTIDA DE FUTEBOL, EM MANAUS</t>
        </is>
      </c>
      <c r="I3512" t="inlineStr">
        <is>
          <t>O JOGO ACONTECERÁ NO CAMPO DO NÚCLEO 9 DA CIDADE NOVA, ZONA NORTE, A PARTIR DAS 16H</t>
        </is>
      </c>
      <c r="J3512" t="inlineStr"/>
      <c r="K3512" t="n">
        <v>0</v>
      </c>
      <c r="L3512" t="n">
        <v>1</v>
      </c>
      <c r="M3512" t="n">
        <v>0</v>
      </c>
      <c r="N3512" t="n">
        <v>0</v>
      </c>
      <c r="O3512" t="n">
        <v>1</v>
      </c>
      <c r="P3512">
        <f>HYPERLINK("https://www.acritica.com/esportes/haitianos-e-amazonenses-disputam-partida-de-futebol-em-manaus-1.166089", "URL")</f>
        <v/>
      </c>
      <c r="Q3512">
        <f>HYPERLINK("https://raw.githubusercontent.com/marcosmapl/dataset_imigrantes/main/materias_filtered/a_critica/haitianos/2012/01_fev/html/1.166089_440.html", "HTML")</f>
        <v/>
      </c>
      <c r="R3512">
        <f>HYPERLINK("https://raw.githubusercontent.com/marcosmapl/dataset_imigrantes/main/materias_filtered/a_critica/haitianos/2012/01_fev/txt/1.166089_440.txt", "TXT")</f>
        <v/>
      </c>
    </row>
    <row r="3513">
      <c r="A3513" s="1" t="n">
        <v>3511</v>
      </c>
      <c r="B3513" t="n">
        <v>2012</v>
      </c>
      <c r="C3513" s="2" t="n">
        <v>40953.97291666667</v>
      </c>
      <c r="D3513" t="inlineStr">
        <is>
          <t>G1</t>
        </is>
      </c>
      <c r="E3513" t="inlineStr">
        <is>
          <t>HAITIANOS</t>
        </is>
      </c>
      <c r="F3513" t="inlineStr"/>
      <c r="G3513" t="inlineStr">
        <is>
          <t>1 AM</t>
        </is>
      </c>
      <c r="H3513" t="inlineStr">
        <is>
          <t>FUNDAÇÃO REALIZA MOBILIZAÇÃO DE SAÚDE EM ABRIGO HAITIANO EM MANAUS</t>
        </is>
      </c>
      <c r="I3513" t="inlineStr"/>
      <c r="J3513" t="inlineStr"/>
      <c r="K3513" t="n">
        <v>0</v>
      </c>
      <c r="L3513" t="n">
        <v>1</v>
      </c>
      <c r="M3513" t="n">
        <v>0</v>
      </c>
      <c r="N3513" t="n">
        <v>0</v>
      </c>
      <c r="O3513" t="n">
        <v>4</v>
      </c>
      <c r="P3513">
        <f>HYPERLINK("http://g1.globo.com/am/amazonas/noticia/2012/02/fundacao-realiza-mobilizacao-de-saude-em-abrigo-haitiano-em-manaus.html", "URL")</f>
        <v/>
      </c>
      <c r="Q3513">
        <f>HYPERLINK("https://raw.githubusercontent.com/marcosmapl/dataset_imigrantes/main/materias_filtered/g1/haitianos/2012/01_fev/html/g1_87e7ad56-2316-11ed-b24f-6dbe51e79fca_3153.html", "HTML")</f>
        <v/>
      </c>
      <c r="R3513">
        <f>HYPERLINK("https://raw.githubusercontent.com/marcosmapl/dataset_imigrantes/main/materias_filtered/g1/haitianos/2012/01_fev/txt/g1_87e7ad56-2316-11ed-b24f-6dbe51e79fca_3153.txt", "TXT")</f>
        <v/>
      </c>
    </row>
    <row r="3514">
      <c r="A3514" s="1" t="n">
        <v>3512</v>
      </c>
      <c r="B3514" t="n">
        <v>2012</v>
      </c>
      <c r="C3514" s="2" t="n">
        <v>40953.51851851852</v>
      </c>
      <c r="D3514" t="inlineStr">
        <is>
          <t>A CRITICA</t>
        </is>
      </c>
      <c r="E3514" t="inlineStr">
        <is>
          <t>HAITIANOS</t>
        </is>
      </c>
      <c r="F3514" t="inlineStr">
        <is>
          <t>MANAUS</t>
        </is>
      </c>
      <c r="G3514" t="inlineStr">
        <is>
          <t>ACRÍTICA.COM</t>
        </is>
      </c>
      <c r="H3514" t="inlineStr">
        <is>
          <t>IMIGRAÇÃO DE HAITIANOS NO PAÍS VOLTA À PAUTA DO SENADO NESTA TERÇA-FEIRA (14)</t>
        </is>
      </c>
      <c r="I3514" t="inlineStr">
        <is>
          <t>A REUNIÃO FOI SOLICITADA NESSA SEGUNDA-FEIRA (13), PELO SENADOR EDUARDO BRAGA (PMDB) DURANTE AUDIÊNCIA PÚBLICA PARA DISCUTIR O ASSUNTO NA COMISSÃO DE RELAÇÕES EXTERIORES DO SENADO (CRE)</t>
        </is>
      </c>
      <c r="J3514" t="inlineStr"/>
      <c r="K3514" t="n">
        <v>0</v>
      </c>
      <c r="L3514" t="n">
        <v>1</v>
      </c>
      <c r="M3514" t="n">
        <v>0</v>
      </c>
      <c r="N3514" t="n">
        <v>0</v>
      </c>
      <c r="O3514" t="n">
        <v>0</v>
      </c>
      <c r="P3514">
        <f>HYPERLINK("https://www.acritica.com/manaus/imigrac-o-de-haitianos-no-pais-volta-a-pauta-do-senado-nesta-terca-feira-14-1.117559", "URL")</f>
        <v/>
      </c>
      <c r="Q3514">
        <f>HYPERLINK("https://raw.githubusercontent.com/marcosmapl/dataset_imigrantes/main/materias_filtered/a_critica/haitianos/2012/01_fev/html/1.117559_1250.html", "HTML")</f>
        <v/>
      </c>
      <c r="R3514">
        <f>HYPERLINK("https://raw.githubusercontent.com/marcosmapl/dataset_imigrantes/main/materias_filtered/a_critica/haitianos/2012/01_fev/txt/1.117559_1250.txt", "TXT")</f>
        <v/>
      </c>
    </row>
    <row r="3515">
      <c r="A3515" s="1" t="n">
        <v>3513</v>
      </c>
      <c r="B3515" t="n">
        <v>2012</v>
      </c>
      <c r="C3515" s="2" t="n">
        <v>40953.4182175926</v>
      </c>
      <c r="D3515" t="inlineStr">
        <is>
          <t>A CRITICA</t>
        </is>
      </c>
      <c r="E3515" t="inlineStr">
        <is>
          <t>HAITIANOS</t>
        </is>
      </c>
      <c r="F3515" t="inlineStr">
        <is>
          <t>MANAUS</t>
        </is>
      </c>
      <c r="G3515" t="inlineStr">
        <is>
          <t>MILTON DE OLIVEIRA</t>
        </is>
      </c>
      <c r="H3515" t="inlineStr">
        <is>
          <t>HAITIANAS NÃO PERDEM A ESPERANÇA EM MANAUS</t>
        </is>
      </c>
      <c r="I3515" t="inlineStr">
        <is>
          <t>ALOJADAS NA CASA DE RETIRO DOS CAPUCHINHOS, MUITAS SONHAM EM CONCLUIR OS ESTUDOS E SER ENFERMEIRAS</t>
        </is>
      </c>
      <c r="J3515" t="inlineStr"/>
      <c r="K3515" t="n">
        <v>0</v>
      </c>
      <c r="L3515" t="n">
        <v>1</v>
      </c>
      <c r="M3515" t="n">
        <v>0</v>
      </c>
      <c r="N3515" t="n">
        <v>0</v>
      </c>
      <c r="O3515" t="n">
        <v>0</v>
      </c>
      <c r="P3515">
        <f>HYPERLINK("https://www.acritica.com/manaus/haitianas-n-o-perdem-a-esperanca-em-manaus-1.117569", "URL")</f>
        <v/>
      </c>
      <c r="Q3515">
        <f>HYPERLINK("https://raw.githubusercontent.com/marcosmapl/dataset_imigrantes/main/materias_filtered/a_critica/haitianos/2012/01_fev/html/1.117569_846.html", "HTML")</f>
        <v/>
      </c>
      <c r="R3515">
        <f>HYPERLINK("https://raw.githubusercontent.com/marcosmapl/dataset_imigrantes/main/materias_filtered/a_critica/haitianos/2012/01_fev/txt/1.117569_846.txt", "TXT")</f>
        <v/>
      </c>
    </row>
    <row r="3516">
      <c r="A3516" s="1" t="n">
        <v>3514</v>
      </c>
      <c r="B3516" t="n">
        <v>2012</v>
      </c>
      <c r="C3516" s="2" t="n">
        <v>40952.95731481481</v>
      </c>
      <c r="D3516" t="inlineStr">
        <is>
          <t>A CRITICA</t>
        </is>
      </c>
      <c r="E3516" t="inlineStr">
        <is>
          <t>HAITIANOS</t>
        </is>
      </c>
      <c r="F3516" t="inlineStr">
        <is>
          <t>MANAUS</t>
        </is>
      </c>
      <c r="G3516" t="inlineStr">
        <is>
          <t>ACRÍTICA.COM</t>
        </is>
      </c>
      <c r="H3516" t="inlineStr">
        <is>
          <t>SENADOR QUER QUE GOVERNO FEDERAL ADOTE MEDITAS QUANTO A IMIGRANTES HAITIANOS NO AM</t>
        </is>
      </c>
      <c r="I3516" t="inlineStr">
        <is>
          <t>EDUARDO BRAGA TAMBÉM PEDIU UMA SOLUÇÃO DO GOVERNO BRASILEIRO PARA O IMPASSE EM QUE VIVEM 343 IMIGRANTES DO HAITI QUE ESTÃO NA CIDADE DE TABATINGA EM SITUAÇÃO IRREGULAR</t>
        </is>
      </c>
      <c r="J3516" t="inlineStr"/>
      <c r="K3516" t="n">
        <v>0</v>
      </c>
      <c r="L3516" t="n">
        <v>1</v>
      </c>
      <c r="M3516" t="n">
        <v>0</v>
      </c>
      <c r="N3516" t="n">
        <v>0</v>
      </c>
      <c r="O3516" t="n">
        <v>0</v>
      </c>
      <c r="P3516">
        <f>HYPERLINK("https://www.acritica.com/manaus/senador-quer-que-governo-federal-adote-meditas-quanto-a-imigrantes-haitianos-no-am-1.117577", "URL")</f>
        <v/>
      </c>
      <c r="Q3516">
        <f>HYPERLINK("https://raw.githubusercontent.com/marcosmapl/dataset_imigrantes/main/materias_filtered/a_critica/haitianos/2012/01_fev/html/1.117577_1360.html", "HTML")</f>
        <v/>
      </c>
      <c r="R3516">
        <f>HYPERLINK("https://raw.githubusercontent.com/marcosmapl/dataset_imigrantes/main/materias_filtered/a_critica/haitianos/2012/01_fev/txt/1.117577_1360.txt", "TXT")</f>
        <v/>
      </c>
    </row>
    <row r="3517">
      <c r="A3517" s="1" t="n">
        <v>3515</v>
      </c>
      <c r="B3517" t="n">
        <v>2012</v>
      </c>
      <c r="C3517" s="2" t="n">
        <v>40952.86666666667</v>
      </c>
      <c r="D3517" t="inlineStr">
        <is>
          <t>G1</t>
        </is>
      </c>
      <c r="E3517" t="inlineStr">
        <is>
          <t>HAITIANOS</t>
        </is>
      </c>
      <c r="F3517" t="inlineStr"/>
      <c r="G3517" t="inlineStr">
        <is>
          <t>ALIA PASSARINHODO G1, EM BRASÍLIA</t>
        </is>
      </c>
      <c r="H3517" t="inlineStr">
        <is>
          <t>GOVERNO NÃO VAI DEPORTAR HAITIANOS QUE IMIGRARAM ILEGALMENTE, DIZ MJ</t>
        </is>
      </c>
      <c r="I3517" t="inlineStr"/>
      <c r="J3517" t="inlineStr">
        <is>
          <t>LUIZ PAULO BARRETO, MINISTÉRIO DA JUSTIÇA</t>
        </is>
      </c>
      <c r="K3517" t="n">
        <v>2</v>
      </c>
      <c r="L3517" t="n">
        <v>4</v>
      </c>
      <c r="M3517" t="n">
        <v>0</v>
      </c>
      <c r="N3517" t="n">
        <v>0</v>
      </c>
      <c r="O3517" t="n">
        <v>13</v>
      </c>
      <c r="P3517">
        <f>HYPERLINK("http://g1.globo.com/politica/noticia/2012/02/governo-nao-vai-deportar-haitianos-que-imigraram-ilegalmente-diz-mj.html", "URL")</f>
        <v/>
      </c>
      <c r="Q3517">
        <f>HYPERLINK("https://raw.githubusercontent.com/marcosmapl/dataset_imigrantes/main/materias_filtered/g1/haitianos/2012/01_fev/html/g1_891f53d4-22fa-11ed-b24f-6dbe51e79fca_2226.html", "HTML")</f>
        <v/>
      </c>
      <c r="R3517">
        <f>HYPERLINK("https://raw.githubusercontent.com/marcosmapl/dataset_imigrantes/main/materias_filtered/g1/haitianos/2012/01_fev/txt/g1_891f53d4-22fa-11ed-b24f-6dbe51e79fca_2226.txt", "TXT")</f>
        <v/>
      </c>
    </row>
    <row r="3518">
      <c r="A3518" s="1" t="n">
        <v>3516</v>
      </c>
      <c r="B3518" t="n">
        <v>2012</v>
      </c>
      <c r="C3518" s="2" t="n">
        <v>40952.85625</v>
      </c>
      <c r="D3518" t="inlineStr">
        <is>
          <t>G1</t>
        </is>
      </c>
      <c r="E3518" t="inlineStr">
        <is>
          <t>HAITIANOS</t>
        </is>
      </c>
      <c r="F3518" t="inlineStr"/>
      <c r="G3518" t="inlineStr">
        <is>
          <t>1 MT</t>
        </is>
      </c>
      <c r="H3518" t="inlineStr">
        <is>
          <t>AUDITORES FISCALIZAM FÁBRICA EM MT APÓS CONTRATAÇÃO DE HAITIANOS</t>
        </is>
      </c>
      <c r="I3518" t="inlineStr"/>
      <c r="J3518" t="inlineStr"/>
      <c r="K3518" t="n">
        <v>0</v>
      </c>
      <c r="L3518" t="n">
        <v>0</v>
      </c>
      <c r="M3518" t="n">
        <v>0</v>
      </c>
      <c r="N3518" t="n">
        <v>0</v>
      </c>
      <c r="O3518" t="n">
        <v>6</v>
      </c>
      <c r="P3518">
        <f>HYPERLINK("http://g1.globo.com/mato-grosso/noticia/2012/02/auditores-fiscalizam-fabrica-em-mt-apos-contratacao-de-haitianos.html", "URL")</f>
        <v/>
      </c>
      <c r="Q3518">
        <f>HYPERLINK("https://raw.githubusercontent.com/marcosmapl/dataset_imigrantes/main/materias_filtered/g1/haitianos/2012/01_fev/html/g1_ba836282-22f8-11ed-b24f-6dbe51e79fca_2154.html", "HTML")</f>
        <v/>
      </c>
      <c r="R3518">
        <f>HYPERLINK("https://raw.githubusercontent.com/marcosmapl/dataset_imigrantes/main/materias_filtered/g1/haitianos/2012/01_fev/txt/g1_ba836282-22f8-11ed-b24f-6dbe51e79fca_2154.txt", "TXT")</f>
        <v/>
      </c>
    </row>
    <row r="3519">
      <c r="A3519" s="1" t="n">
        <v>3517</v>
      </c>
      <c r="B3519" t="n">
        <v>2012</v>
      </c>
      <c r="C3519" s="2" t="n">
        <v>40952.8172337963</v>
      </c>
      <c r="D3519" t="inlineStr">
        <is>
          <t>A CRITICA</t>
        </is>
      </c>
      <c r="E3519" t="inlineStr">
        <is>
          <t>HAITIANOS</t>
        </is>
      </c>
      <c r="F3519" t="inlineStr">
        <is>
          <t>MANAUS</t>
        </is>
      </c>
      <c r="G3519" t="inlineStr">
        <is>
          <t>ACRÍTICA.COM</t>
        </is>
      </c>
      <c r="H3519" t="inlineStr">
        <is>
          <t>FVS/AM INICIA VACINAÇÃO DE IMIGRANTES HAITIANOS, EM MANAUS</t>
        </is>
      </c>
      <c r="I3519" t="inlineStr">
        <is>
          <t>NO TOTAL, SÃO SETE CASAS DE APOIO AOS HAITIANOS, AS QUAIS RECEBERÃO A SÉRIE DE AÇÕES VOLTADAS À MELHORIA DA SAÚD</t>
        </is>
      </c>
      <c r="J3519" t="inlineStr"/>
      <c r="K3519" t="n">
        <v>0</v>
      </c>
      <c r="L3519" t="n">
        <v>1</v>
      </c>
      <c r="M3519" t="n">
        <v>0</v>
      </c>
      <c r="N3519" t="n">
        <v>0</v>
      </c>
      <c r="O3519" t="n">
        <v>0</v>
      </c>
      <c r="P3519">
        <f>HYPERLINK("https://www.acritica.com/manaus/fvs-am-inicia-vacinac-o-de-imigrantes-haitianos-em-manaus-1.105757", "URL")</f>
        <v/>
      </c>
      <c r="Q3519">
        <f>HYPERLINK("https://raw.githubusercontent.com/marcosmapl/dataset_imigrantes/main/materias_filtered/a_critica/haitianos/2012/01_fev/html/1.105757_615.html", "HTML")</f>
        <v/>
      </c>
      <c r="R3519">
        <f>HYPERLINK("https://raw.githubusercontent.com/marcosmapl/dataset_imigrantes/main/materias_filtered/a_critica/haitianos/2012/01_fev/txt/1.105757_615.txt", "TXT")</f>
        <v/>
      </c>
    </row>
    <row r="3520">
      <c r="A3520" s="1" t="n">
        <v>3518</v>
      </c>
      <c r="B3520" t="n">
        <v>2012</v>
      </c>
      <c r="C3520" s="2" t="n">
        <v>40952.56976851852</v>
      </c>
      <c r="D3520" t="inlineStr">
        <is>
          <t>A CRITICA</t>
        </is>
      </c>
      <c r="E3520" t="inlineStr">
        <is>
          <t>HAITIANOS</t>
        </is>
      </c>
      <c r="F3520" t="inlineStr">
        <is>
          <t>MANAUS</t>
        </is>
      </c>
      <c r="G3520" t="inlineStr">
        <is>
          <t>ACRÍTICA.COM</t>
        </is>
      </c>
      <c r="H3520" t="inlineStr">
        <is>
          <t>AUDIÊNCIA PÚBLICA NO SENADO DISCUTIRÁ IMIGRAÇÃO DE HAITIANOS NO PAÍS</t>
        </is>
      </c>
      <c r="I3520" t="inlineStr">
        <is>
          <t>A AUDIÊNCIA BUSCA CONTRIBUIR COM SOLUÇÕES PARA AS DIFICULDADES ENFRENTADAS PELOS IMIGRANTES DO HAITI QUE CHEGAM AO PAÍS PELAS FRONTEIRAS DA REGIÃO NORTE, ESPECIALMENTE NO ESTADO DO AMAZONAS E ACRE</t>
        </is>
      </c>
      <c r="J3520" t="inlineStr"/>
      <c r="K3520" t="n">
        <v>0</v>
      </c>
      <c r="L3520" t="n">
        <v>1</v>
      </c>
      <c r="M3520" t="n">
        <v>0</v>
      </c>
      <c r="N3520" t="n">
        <v>0</v>
      </c>
      <c r="O3520" t="n">
        <v>0</v>
      </c>
      <c r="P3520">
        <f>HYPERLINK("https://www.acritica.com/manaus/audiencia-publica-no-senado-discutira-imigrac-o-de-haitianos-no-pais-1.166192", "URL")</f>
        <v/>
      </c>
      <c r="Q3520">
        <f>HYPERLINK("https://raw.githubusercontent.com/marcosmapl/dataset_imigrantes/main/materias_filtered/a_critica/haitianos/2012/01_fev/html/1.166192_1168.html", "HTML")</f>
        <v/>
      </c>
      <c r="R3520">
        <f>HYPERLINK("https://raw.githubusercontent.com/marcosmapl/dataset_imigrantes/main/materias_filtered/a_critica/haitianos/2012/01_fev/txt/1.166192_1168.txt", "TXT")</f>
        <v/>
      </c>
    </row>
    <row r="3521">
      <c r="A3521" s="1" t="n">
        <v>3519</v>
      </c>
      <c r="B3521" t="n">
        <v>2012</v>
      </c>
      <c r="C3521" s="2" t="n">
        <v>40952.43247685185</v>
      </c>
      <c r="D3521" t="inlineStr">
        <is>
          <t>A CRITICA</t>
        </is>
      </c>
      <c r="E3521" t="inlineStr">
        <is>
          <t>HAITIANOS</t>
        </is>
      </c>
      <c r="F3521" t="inlineStr">
        <is>
          <t>MANAUS</t>
        </is>
      </c>
      <c r="G3521" t="inlineStr">
        <is>
          <t>JORNAL A CRÍTICA</t>
        </is>
      </c>
      <c r="H3521" t="inlineStr">
        <is>
          <t>ENTIDADE PRÓ-HAITIANOS FARÁ RIFA VISANDO NOVA SEDE EM MANAUS</t>
        </is>
      </c>
      <c r="I3521" t="inlineStr">
        <is>
          <t>A PRESIDENTE DA ATHAM, A HAITIANA NATURALIZADA BRASILEIRA MARIE KETLY FRANCESCHI: SORTEIO MARCADO PARA 14 DE ABRIL</t>
        </is>
      </c>
      <c r="J3521" t="inlineStr"/>
      <c r="K3521" t="n">
        <v>0</v>
      </c>
      <c r="L3521" t="n">
        <v>1</v>
      </c>
      <c r="M3521" t="n">
        <v>0</v>
      </c>
      <c r="N3521" t="n">
        <v>0</v>
      </c>
      <c r="O3521" t="n">
        <v>0</v>
      </c>
      <c r="P3521">
        <f>HYPERLINK("https://www.acritica.com/manaus/entidade-pro-haitianos-fara-rifa-visando-nova-sede-em-manaus-1.165969", "URL")</f>
        <v/>
      </c>
      <c r="Q3521">
        <f>HYPERLINK("https://raw.githubusercontent.com/marcosmapl/dataset_imigrantes/main/materias_filtered/a_critica/haitianos/2012/01_fev/html/1.165969_15.html", "HTML")</f>
        <v/>
      </c>
      <c r="R3521">
        <f>HYPERLINK("https://raw.githubusercontent.com/marcosmapl/dataset_imigrantes/main/materias_filtered/a_critica/haitianos/2012/01_fev/txt/1.165969_15.txt", "TXT")</f>
        <v/>
      </c>
    </row>
    <row r="3522">
      <c r="A3522" s="1" t="n">
        <v>3520</v>
      </c>
      <c r="B3522" t="n">
        <v>2012</v>
      </c>
      <c r="C3522" s="2" t="n">
        <v>40952.42430555556</v>
      </c>
      <c r="D3522" t="inlineStr">
        <is>
          <t>G1</t>
        </is>
      </c>
      <c r="E3522" t="inlineStr">
        <is>
          <t>HAITIANOS</t>
        </is>
      </c>
      <c r="F3522" t="inlineStr"/>
      <c r="G3522" t="inlineStr">
        <is>
          <t>1, EM SÃO PAULO</t>
        </is>
      </c>
      <c r="H3522" t="inlineStr">
        <is>
          <t>HAITIANO É FLAGRADO COM COBRAS ENROLADAS NA CABEÇA</t>
        </is>
      </c>
      <c r="I3522" t="inlineStr"/>
      <c r="J3522" t="inlineStr"/>
      <c r="K3522" t="n">
        <v>0</v>
      </c>
      <c r="L3522" t="n">
        <v>1</v>
      </c>
      <c r="M3522" t="n">
        <v>0</v>
      </c>
      <c r="N3522" t="n">
        <v>0</v>
      </c>
      <c r="O3522" t="n">
        <v>21</v>
      </c>
      <c r="P3522">
        <f>HYPERLINK("http://g1.globo.com/planeta-bizarro/noticia/2012/02/haitiano-e-flagrado-com-duas-cobras-enroladas-na-cabeca.html", "URL")</f>
        <v/>
      </c>
      <c r="Q3522">
        <f>HYPERLINK("https://raw.githubusercontent.com/marcosmapl/dataset_imigrantes/main/materias_filtered/g1/haitianos/2012/01_fev/html/g1_f697b62a-230b-11ed-b24f-6dbe51e79fca_2599.html", "HTML")</f>
        <v/>
      </c>
      <c r="R3522">
        <f>HYPERLINK("https://raw.githubusercontent.com/marcosmapl/dataset_imigrantes/main/materias_filtered/g1/haitianos/2012/01_fev/txt/g1_f697b62a-230b-11ed-b24f-6dbe51e79fca_2599.txt", "TXT")</f>
        <v/>
      </c>
    </row>
    <row r="3523">
      <c r="A3523" s="1" t="n">
        <v>3521</v>
      </c>
      <c r="B3523" t="n">
        <v>2012</v>
      </c>
      <c r="C3523" s="2" t="n">
        <v>40951.80208333334</v>
      </c>
      <c r="D3523" t="inlineStr">
        <is>
          <t>G1</t>
        </is>
      </c>
      <c r="E3523" t="inlineStr">
        <is>
          <t>HAITIANOS</t>
        </is>
      </c>
      <c r="F3523" t="inlineStr"/>
      <c r="G3523" t="inlineStr">
        <is>
          <t>1 MT</t>
        </is>
      </c>
      <c r="H3523" t="inlineStr">
        <is>
          <t>'NÃO SE ADAPTARAM', DIZ EMPRESÁRIO DE MT SOBRE CONTRATAÇÃO DE HAITIANOS</t>
        </is>
      </c>
      <c r="I3523" t="inlineStr"/>
      <c r="J3523" t="inlineStr"/>
      <c r="K3523" t="n">
        <v>0</v>
      </c>
      <c r="L3523" t="n">
        <v>1</v>
      </c>
      <c r="M3523" t="n">
        <v>0</v>
      </c>
      <c r="N3523" t="n">
        <v>0</v>
      </c>
      <c r="O3523" t="n">
        <v>6</v>
      </c>
      <c r="P3523">
        <f>HYPERLINK("http://g1.globo.com/mato-grosso/noticia/2012/02/nao-se-adaptaram-diz-empresario-de-mt-sobre-contratacao-de-haitianos.html", "URL")</f>
        <v/>
      </c>
      <c r="Q3523">
        <f>HYPERLINK("https://raw.githubusercontent.com/marcosmapl/dataset_imigrantes/main/materias_filtered/g1/haitianos/2012/01_fev/html/g1_e452ed88-22f0-11ed-b24f-6dbe51e79fca_1724.html", "HTML")</f>
        <v/>
      </c>
      <c r="R3523">
        <f>HYPERLINK("https://raw.githubusercontent.com/marcosmapl/dataset_imigrantes/main/materias_filtered/g1/haitianos/2012/01_fev/txt/g1_e452ed88-22f0-11ed-b24f-6dbe51e79fca_1724.txt", "TXT")</f>
        <v/>
      </c>
    </row>
    <row r="3524">
      <c r="A3524" s="1" t="n">
        <v>3522</v>
      </c>
      <c r="B3524" t="n">
        <v>2012</v>
      </c>
      <c r="C3524" s="2" t="n">
        <v>40950.90416666667</v>
      </c>
      <c r="D3524" t="inlineStr">
        <is>
          <t>G1</t>
        </is>
      </c>
      <c r="E3524" t="inlineStr">
        <is>
          <t>HAITIANOS</t>
        </is>
      </c>
      <c r="F3524" t="inlineStr"/>
      <c r="G3524" t="inlineStr">
        <is>
          <t>1 AM</t>
        </is>
      </c>
      <c r="H3524" t="inlineStr">
        <is>
          <t>HAITIANOS RECEBEM ATENDIMENTO MÉDICO GRATUITO EM MANAUS</t>
        </is>
      </c>
      <c r="I3524" t="inlineStr"/>
      <c r="J3524" t="inlineStr"/>
      <c r="K3524" t="n">
        <v>0</v>
      </c>
      <c r="L3524" t="n">
        <v>0</v>
      </c>
      <c r="M3524" t="n">
        <v>0</v>
      </c>
      <c r="N3524" t="n">
        <v>0</v>
      </c>
      <c r="O3524" t="n">
        <v>4</v>
      </c>
      <c r="P3524">
        <f>HYPERLINK("http://g1.globo.com/am/amazonas/noticia/2012/02/haitianos-recebem-atendimento-medico-gratuito-em-manaus.html", "URL")</f>
        <v/>
      </c>
      <c r="Q3524">
        <f>HYPERLINK("https://raw.githubusercontent.com/marcosmapl/dataset_imigrantes/main/materias_filtered/g1/haitianos/2012/01_fev/html/g1_d6dd112e-22fa-11ed-b24f-6dbe51e79fca_2245.html", "HTML")</f>
        <v/>
      </c>
      <c r="R3524">
        <f>HYPERLINK("https://raw.githubusercontent.com/marcosmapl/dataset_imigrantes/main/materias_filtered/g1/haitianos/2012/01_fev/txt/g1_d6dd112e-22fa-11ed-b24f-6dbe51e79fca_2245.txt", "TXT")</f>
        <v/>
      </c>
    </row>
    <row r="3525">
      <c r="A3525" s="1" t="n">
        <v>3523</v>
      </c>
      <c r="B3525" t="n">
        <v>2012</v>
      </c>
      <c r="C3525" s="2" t="n">
        <v>40950.78383101852</v>
      </c>
      <c r="D3525" t="inlineStr">
        <is>
          <t>A CRITICA</t>
        </is>
      </c>
      <c r="E3525" t="inlineStr">
        <is>
          <t>HAITIANOS</t>
        </is>
      </c>
      <c r="F3525" t="inlineStr">
        <is>
          <t>MANAUS</t>
        </is>
      </c>
      <c r="G3525" t="inlineStr">
        <is>
          <t>THIAGO GONÇALVES</t>
        </is>
      </c>
      <c r="H3525" t="inlineStr">
        <is>
          <t>HAITIANOS BUSCAM INGRESSO NO MERCADO DE TRABALHO EM MANAUS</t>
        </is>
      </c>
      <c r="I3525" t="inlineStr">
        <is>
          <t>CERCA DE 300 IMIGRANTES HAITIANOS RECEBERAM CARTEIRAS DE TRABALHO. OUTROS 200 DERAM ENTRADA AO PROCESSO DE SOLICITAÇÃO DO DOCUMENTO, NO MUTIRÃO DA SRTE-AM, NA TARDE DESTA QUARTA-FEIRA (08)</t>
        </is>
      </c>
      <c r="J3525" t="inlineStr"/>
      <c r="K3525" t="n">
        <v>0</v>
      </c>
      <c r="L3525" t="n">
        <v>1</v>
      </c>
      <c r="M3525" t="n">
        <v>0</v>
      </c>
      <c r="N3525" t="n">
        <v>0</v>
      </c>
      <c r="O3525" t="n">
        <v>0</v>
      </c>
      <c r="P3525">
        <f>HYPERLINK("https://www.acritica.com/manaus/haitianos-buscam-ingresso-no-mercado-de-trabalho-em-manaus-1.117813", "URL")</f>
        <v/>
      </c>
      <c r="Q3525">
        <f>HYPERLINK("https://raw.githubusercontent.com/marcosmapl/dataset_imigrantes/main/materias_filtered/a_critica/haitianos/2012/01_fev/html/1.117813_600.html", "HTML")</f>
        <v/>
      </c>
      <c r="R3525">
        <f>HYPERLINK("https://raw.githubusercontent.com/marcosmapl/dataset_imigrantes/main/materias_filtered/a_critica/haitianos/2012/01_fev/txt/1.117813_600.txt", "TXT")</f>
        <v/>
      </c>
    </row>
    <row r="3526">
      <c r="A3526" s="1" t="n">
        <v>3524</v>
      </c>
      <c r="B3526" t="n">
        <v>2012</v>
      </c>
      <c r="C3526" s="2" t="n">
        <v>40950.62373842593</v>
      </c>
      <c r="D3526" t="inlineStr">
        <is>
          <t>A CRITICA</t>
        </is>
      </c>
      <c r="E3526" t="inlineStr">
        <is>
          <t>HAITIANOS</t>
        </is>
      </c>
      <c r="F3526" t="inlineStr">
        <is>
          <t>MANAUS</t>
        </is>
      </c>
      <c r="G3526" t="inlineStr">
        <is>
          <t>SÍNTIA MACIEL E MILTON DE OLIVEIRA</t>
        </is>
      </c>
      <c r="H3526" t="inlineStr">
        <is>
          <t>MUTIRÃO DE SAÚDE EM MANAUS ATENDE MULHERES HAITIANAS</t>
        </is>
      </c>
      <c r="I3526" t="inlineStr">
        <is>
          <t>GRUPO ABRIGADO NO CENTRO FOI SUBMETIDO A COLETA DE SANGUE E TESTAGEM RÁPIDA DE ALGUMAS DOENÇAS, ALÉM DE RECEBER ORIENTAÇÕES SOBRE ATENDIMENTO DE SAÚDE</t>
        </is>
      </c>
      <c r="J3526" t="inlineStr"/>
      <c r="K3526" t="n">
        <v>0</v>
      </c>
      <c r="L3526" t="n">
        <v>1</v>
      </c>
      <c r="M3526" t="n">
        <v>0</v>
      </c>
      <c r="N3526" t="n">
        <v>0</v>
      </c>
      <c r="O3526" t="n">
        <v>1</v>
      </c>
      <c r="P3526">
        <f>HYPERLINK("https://www.acritica.com/manaus/mutir-o-de-saude-em-manaus-atende-mulheres-haitianas-1.166039", "URL")</f>
        <v/>
      </c>
      <c r="Q3526">
        <f>HYPERLINK("https://raw.githubusercontent.com/marcosmapl/dataset_imigrantes/main/materias_filtered/a_critica/haitianos/2012/01_fev/html/1.166039_465.html", "HTML")</f>
        <v/>
      </c>
      <c r="R3526">
        <f>HYPERLINK("https://raw.githubusercontent.com/marcosmapl/dataset_imigrantes/main/materias_filtered/a_critica/haitianos/2012/01_fev/txt/1.166039_465.txt", "TXT")</f>
        <v/>
      </c>
    </row>
    <row r="3527">
      <c r="A3527" s="1" t="n">
        <v>3525</v>
      </c>
      <c r="B3527" t="n">
        <v>2012</v>
      </c>
      <c r="C3527" s="2" t="n">
        <v>40949.84990740741</v>
      </c>
      <c r="D3527" t="inlineStr">
        <is>
          <t>A CRITICA</t>
        </is>
      </c>
      <c r="E3527" t="inlineStr">
        <is>
          <t>HAITIANOS</t>
        </is>
      </c>
      <c r="F3527" t="inlineStr">
        <is>
          <t>MANAUS</t>
        </is>
      </c>
      <c r="G3527" t="inlineStr">
        <is>
          <t>ACRÍTICA.COM</t>
        </is>
      </c>
      <c r="H3527" t="inlineStr">
        <is>
          <t>GOVERNO DO AMAZONAS REALIZA AÇÕES DE SAÚDE COM IMIGRANTES HAITIANOS</t>
        </is>
      </c>
      <c r="I3527" t="inlineStr">
        <is>
          <t>DE ACORDO COM O GOVERNO, TODOS OS ALOJAMENTOS DOS IMIGRANTES HAITIANOS EM MANAUS RECEBERÃO A SÉRIE DE AÇÕES. AS DATAS ESTÃO SENDO AGENDADA</t>
        </is>
      </c>
      <c r="J3527" t="inlineStr"/>
      <c r="K3527" t="n">
        <v>0</v>
      </c>
      <c r="L3527" t="n">
        <v>1</v>
      </c>
      <c r="M3527" t="n">
        <v>0</v>
      </c>
      <c r="N3527" t="n">
        <v>0</v>
      </c>
      <c r="O3527" t="n">
        <v>0</v>
      </c>
      <c r="P3527">
        <f>HYPERLINK("https://www.acritica.com/manaus/governo-do-amazonas-realiza-ac-es-de-saude-com-imigrantes-haitianos-1.166081", "URL")</f>
        <v/>
      </c>
      <c r="Q3527">
        <f>HYPERLINK("https://raw.githubusercontent.com/marcosmapl/dataset_imigrantes/main/materias_filtered/a_critica/haitianos/2012/01_fev/html/1.166081_1218.html", "HTML")</f>
        <v/>
      </c>
      <c r="R3527">
        <f>HYPERLINK("https://raw.githubusercontent.com/marcosmapl/dataset_imigrantes/main/materias_filtered/a_critica/haitianos/2012/01_fev/txt/1.166081_1218.txt", "TXT")</f>
        <v/>
      </c>
    </row>
    <row r="3528">
      <c r="A3528" s="1" t="n">
        <v>3526</v>
      </c>
      <c r="B3528" t="n">
        <v>2012</v>
      </c>
      <c r="C3528" s="2" t="n">
        <v>40949.55581018519</v>
      </c>
      <c r="D3528" t="inlineStr">
        <is>
          <t>A CRITICA</t>
        </is>
      </c>
      <c r="E3528" t="inlineStr">
        <is>
          <t>HAITIANOS</t>
        </is>
      </c>
      <c r="F3528" t="inlineStr">
        <is>
          <t>MANAUS</t>
        </is>
      </c>
      <c r="G3528" t="inlineStr">
        <is>
          <t>ACRÍTICA.COM</t>
        </is>
      </c>
      <c r="H3528" t="inlineStr">
        <is>
          <t>CPI DO TRÁFICO DE PESSOAS DO SENADO FARÁ AUDIÊNCIA PARA DEBATER IMIGRAÇÃO DE HAITIANOS</t>
        </is>
      </c>
      <c r="I3528" t="inlineStr">
        <is>
          <t>PARA FUGIR DA MISÉRIA EM SEU PAÍS, QUE SE AGRAVOU APÓS O TERREMOTO OCORRIDO EM 2010, MUITOS HAITIANOS VÊM ENTRANDO NO BRASIL DE FORMA IRREGULAR, CONDUZIDOS POR "COIOTES" - HOMENS QUE COBRAM PARA GUIAR IMIGRANTES CLANDESTINOS PELA FRONTEIRA ENTRE DOIS PAÍSES</t>
        </is>
      </c>
      <c r="J3528" t="inlineStr"/>
      <c r="K3528" t="n">
        <v>0</v>
      </c>
      <c r="L3528" t="n">
        <v>1</v>
      </c>
      <c r="M3528" t="n">
        <v>0</v>
      </c>
      <c r="N3528" t="n">
        <v>0</v>
      </c>
      <c r="O3528" t="n">
        <v>0</v>
      </c>
      <c r="P3528">
        <f>HYPERLINK("https://www.acritica.com/manaus/cpi-do-trafico-de-pessoas-do-senado-fara-audiencia-para-debater-imigrac-o-de-haitianos-1.165882", "URL")</f>
        <v/>
      </c>
      <c r="Q3528">
        <f>HYPERLINK("https://raw.githubusercontent.com/marcosmapl/dataset_imigrantes/main/materias_filtered/a_critica/haitianos/2012/01_fev/html/1.165882_356.html", "HTML")</f>
        <v/>
      </c>
      <c r="R3528">
        <f>HYPERLINK("https://raw.githubusercontent.com/marcosmapl/dataset_imigrantes/main/materias_filtered/a_critica/haitianos/2012/01_fev/txt/1.165882_356.txt", "TXT")</f>
        <v/>
      </c>
    </row>
    <row r="3529">
      <c r="A3529" s="1" t="n">
        <v>3527</v>
      </c>
      <c r="B3529" t="n">
        <v>2012</v>
      </c>
      <c r="C3529" s="2" t="n">
        <v>40948.93052083333</v>
      </c>
      <c r="D3529" t="inlineStr">
        <is>
          <t>A CRITICA</t>
        </is>
      </c>
      <c r="E3529" t="inlineStr">
        <is>
          <t>HAITIANOS</t>
        </is>
      </c>
      <c r="F3529" t="inlineStr">
        <is>
          <t>MANAUS</t>
        </is>
      </c>
      <c r="G3529" t="inlineStr">
        <is>
          <t>CATIANE MOURA</t>
        </is>
      </c>
      <c r="H3529" t="inlineStr">
        <is>
          <t>POLÍCIA CIVIL PRENDE SUSPEITO DE TER ASSASSINADO HAITIANO EM MANAUS</t>
        </is>
      </c>
      <c r="I3529" t="inlineStr">
        <is>
          <t>SEGUNDO INFORMAÇÕES DA ESPECIALIZADA, RAFAEL DE OLIVEIRA LOPES, 19, FOI NOTIFICADO A PRESTAR ESCLARECIMENTO SOBRE SEU SUPOSTO ENVOLVIMENTO NO HOMICÍDIO E DURANTE DEPOIMENTO ACABOU CONFESSANDO O CRIME</t>
        </is>
      </c>
      <c r="J3529" t="inlineStr"/>
      <c r="K3529" t="n">
        <v>0</v>
      </c>
      <c r="L3529" t="n">
        <v>1</v>
      </c>
      <c r="M3529" t="n">
        <v>0</v>
      </c>
      <c r="N3529" t="n">
        <v>0</v>
      </c>
      <c r="O3529" t="n">
        <v>0</v>
      </c>
      <c r="P3529">
        <f>HYPERLINK("https://www.acritica.com/manaus/policia-civil-prende-suspeito-de-ter-assassinado-haitiano-em-manaus-1.107637", "URL")</f>
        <v/>
      </c>
      <c r="Q3529">
        <f>HYPERLINK("https://raw.githubusercontent.com/marcosmapl/dataset_imigrantes/main/materias_filtered/a_critica/haitianos/2012/01_fev/html/1.107637_71.html", "HTML")</f>
        <v/>
      </c>
      <c r="R3529">
        <f>HYPERLINK("https://raw.githubusercontent.com/marcosmapl/dataset_imigrantes/main/materias_filtered/a_critica/haitianos/2012/01_fev/txt/1.107637_71.txt", "TXT")</f>
        <v/>
      </c>
    </row>
    <row r="3530">
      <c r="A3530" s="1" t="n">
        <v>3528</v>
      </c>
      <c r="B3530" t="n">
        <v>2012</v>
      </c>
      <c r="C3530" s="2" t="n">
        <v>40948.84652777778</v>
      </c>
      <c r="D3530" t="inlineStr">
        <is>
          <t>G1</t>
        </is>
      </c>
      <c r="E3530" t="inlineStr">
        <is>
          <t>HAITIANOS</t>
        </is>
      </c>
      <c r="F3530" t="inlineStr"/>
      <c r="G3530" t="inlineStr">
        <is>
          <t>1 AM</t>
        </is>
      </c>
      <c r="H3530" t="inlineStr">
        <is>
          <t>SUSPEITO DE MATAR HAITIANO RESPONDERÁ PROCESSO EM LIBERDADE, NO AM</t>
        </is>
      </c>
      <c r="I3530" t="inlineStr"/>
      <c r="J3530" t="inlineStr"/>
      <c r="K3530" t="n">
        <v>0</v>
      </c>
      <c r="L3530" t="n">
        <v>0</v>
      </c>
      <c r="M3530" t="n">
        <v>0</v>
      </c>
      <c r="N3530" t="n">
        <v>0</v>
      </c>
      <c r="O3530" t="n">
        <v>6</v>
      </c>
      <c r="P3530">
        <f>HYPERLINK("http://g1.globo.com/am/amazonas/noticia/2012/02/suspeito-de-matar-haitiano-respondera-processo-em-liberdade-no-am.html", "URL")</f>
        <v/>
      </c>
      <c r="Q3530">
        <f>HYPERLINK("https://raw.githubusercontent.com/marcosmapl/dataset_imigrantes/main/materias_filtered/g1/haitianos/2012/01_fev/html/g1_abfe467a-230f-11ed-b24f-6dbe51e79fca_2811.html", "HTML")</f>
        <v/>
      </c>
      <c r="R3530">
        <f>HYPERLINK("https://raw.githubusercontent.com/marcosmapl/dataset_imigrantes/main/materias_filtered/g1/haitianos/2012/01_fev/txt/g1_abfe467a-230f-11ed-b24f-6dbe51e79fca_2811.txt", "TXT")</f>
        <v/>
      </c>
    </row>
    <row r="3531">
      <c r="A3531" s="1" t="n">
        <v>3529</v>
      </c>
      <c r="B3531" t="n">
        <v>2012</v>
      </c>
      <c r="C3531" s="2" t="n">
        <v>40948.35625</v>
      </c>
      <c r="D3531" t="inlineStr">
        <is>
          <t>G1</t>
        </is>
      </c>
      <c r="E3531" t="inlineStr">
        <is>
          <t>HAITIANOS</t>
        </is>
      </c>
      <c r="F3531" t="inlineStr"/>
      <c r="G3531" t="inlineStr">
        <is>
          <t>CE PRESSE</t>
        </is>
      </c>
      <c r="H3531" t="inlineStr">
        <is>
          <t>INCÊNDIO EM CAMPO DE REFUGIADOS NO HAITI</t>
        </is>
      </c>
      <c r="I3531" t="inlineStr"/>
      <c r="J3531" t="inlineStr"/>
      <c r="K3531" t="n">
        <v>0</v>
      </c>
      <c r="L3531" t="n">
        <v>1</v>
      </c>
      <c r="M3531" t="n">
        <v>0</v>
      </c>
      <c r="N3531" t="n">
        <v>0</v>
      </c>
      <c r="O3531" t="n">
        <v>4</v>
      </c>
      <c r="P3531">
        <f>HYPERLINK("http://g1.globo.com/mundo/noticia/2012/02/incendio-em-campo-de-refugiados-no-haiti.html", "URL")</f>
        <v/>
      </c>
      <c r="Q3531">
        <f>HYPERLINK("https://raw.githubusercontent.com/marcosmapl/dataset_imigrantes/main/materias_filtered/g1/haitianos/2012/01_fev/html/g1_0ba705f4-2319-11ed-b24f-6dbe51e79fca_3296.html", "HTML")</f>
        <v/>
      </c>
      <c r="R3531">
        <f>HYPERLINK("https://raw.githubusercontent.com/marcosmapl/dataset_imigrantes/main/materias_filtered/g1/haitianos/2012/01_fev/txt/g1_0ba705f4-2319-11ed-b24f-6dbe51e79fca_3296.txt", "TXT")</f>
        <v/>
      </c>
    </row>
    <row r="3532">
      <c r="A3532" s="1" t="n">
        <v>3530</v>
      </c>
      <c r="B3532" t="n">
        <v>2012</v>
      </c>
      <c r="C3532" s="2" t="n">
        <v>40947.84375</v>
      </c>
      <c r="D3532" t="inlineStr">
        <is>
          <t>G1</t>
        </is>
      </c>
      <c r="E3532" t="inlineStr">
        <is>
          <t>HAITIANOS</t>
        </is>
      </c>
      <c r="F3532" t="inlineStr"/>
      <c r="G3532" t="inlineStr">
        <is>
          <t>1 MT</t>
        </is>
      </c>
      <c r="H3532" t="inlineStr">
        <is>
          <t>HAITIANOS RECLAMAM DE REDUÇÃO DE SALÁRIO E ABANDONAM EMPREGO EM MT</t>
        </is>
      </c>
      <c r="I3532" t="inlineStr"/>
      <c r="J3532" t="inlineStr"/>
      <c r="K3532" t="n">
        <v>0</v>
      </c>
      <c r="L3532" t="n">
        <v>1</v>
      </c>
      <c r="M3532" t="n">
        <v>0</v>
      </c>
      <c r="N3532" t="n">
        <v>0</v>
      </c>
      <c r="O3532" t="n">
        <v>6</v>
      </c>
      <c r="P3532">
        <f>HYPERLINK("http://g1.globo.com/mato-grosso/noticia/2012/02/haitianos-reclamam-de-reducao-de-salario-e-abandonam-emprego-em-mt.html", "URL")</f>
        <v/>
      </c>
      <c r="Q3532">
        <f>HYPERLINK("https://raw.githubusercontent.com/marcosmapl/dataset_imigrantes/main/materias_filtered/g1/haitianos/2012/01_fev/html/g1_713536a2-22f6-11ed-b24f-6dbe51e79fca_2013.html", "HTML")</f>
        <v/>
      </c>
      <c r="R3532">
        <f>HYPERLINK("https://raw.githubusercontent.com/marcosmapl/dataset_imigrantes/main/materias_filtered/g1/haitianos/2012/01_fev/txt/g1_713536a2-22f6-11ed-b24f-6dbe51e79fca_2013.txt", "TXT")</f>
        <v/>
      </c>
    </row>
    <row r="3533">
      <c r="A3533" s="1" t="n">
        <v>3531</v>
      </c>
      <c r="B3533" t="n">
        <v>2012</v>
      </c>
      <c r="C3533" s="2" t="n">
        <v>40947.71041666667</v>
      </c>
      <c r="D3533" t="inlineStr">
        <is>
          <t>G1</t>
        </is>
      </c>
      <c r="E3533" t="inlineStr">
        <is>
          <t>HAITIANOS</t>
        </is>
      </c>
      <c r="F3533" t="inlineStr"/>
      <c r="G3533" t="inlineStr">
        <is>
          <t>ERS</t>
        </is>
      </c>
      <c r="H3533" t="inlineStr">
        <is>
          <t>HAITIANOS QUE BUSCAM O BRASIL DEFINHAM NA AMAZÔNIA PERUANA</t>
        </is>
      </c>
      <c r="I3533" t="inlineStr"/>
      <c r="J3533" t="inlineStr"/>
      <c r="K3533" t="n">
        <v>0</v>
      </c>
      <c r="L3533" t="n">
        <v>1</v>
      </c>
      <c r="M3533" t="n">
        <v>0</v>
      </c>
      <c r="N3533" t="n">
        <v>0</v>
      </c>
      <c r="O3533" t="n">
        <v>4</v>
      </c>
      <c r="P3533">
        <f>HYPERLINK("http://g1.globo.com/mundo/noticia/2012/02/haitianos-que-buscam-o-brasil-definham-na-amazonia-peruana.html", "URL")</f>
        <v/>
      </c>
      <c r="Q3533">
        <f>HYPERLINK("https://raw.githubusercontent.com/marcosmapl/dataset_imigrantes/main/materias_filtered/g1/haitianos/2012/01_fev/html/g1_db68ff7c-22f6-11ed-b24f-6dbe51e79fca_2043.html", "HTML")</f>
        <v/>
      </c>
      <c r="R3533">
        <f>HYPERLINK("https://raw.githubusercontent.com/marcosmapl/dataset_imigrantes/main/materias_filtered/g1/haitianos/2012/01_fev/txt/g1_db68ff7c-22f6-11ed-b24f-6dbe51e79fca_2043.txt", "TXT")</f>
        <v/>
      </c>
    </row>
    <row r="3534">
      <c r="A3534" s="1" t="n">
        <v>3532</v>
      </c>
      <c r="B3534" t="n">
        <v>2012</v>
      </c>
      <c r="C3534" s="2" t="n">
        <v>40947.54298611111</v>
      </c>
      <c r="D3534" t="inlineStr">
        <is>
          <t>A CRITICA</t>
        </is>
      </c>
      <c r="E3534" t="inlineStr">
        <is>
          <t>HAITIANOS</t>
        </is>
      </c>
      <c r="F3534" t="inlineStr">
        <is>
          <t>MANAUS</t>
        </is>
      </c>
      <c r="G3534" t="inlineStr">
        <is>
          <t>JORNAL A CRÍTICA</t>
        </is>
      </c>
      <c r="H3534" t="inlineStr">
        <is>
          <t>PESQUISA DA UFAM TRAÇA PERFIL DOS HAITIANOS QUE MIGRARAM PARA MANAUS</t>
        </is>
      </c>
      <c r="I3534" t="inlineStr">
        <is>
          <t>ESTUDOS FAZ PARTE DA ATIVIDADE CURRICULAR DE EXTENSÃO (ACE) E FOI COORDENADO PELOS DEPARTAMENTOS DE ANTROPOLOGIA, SERVIÇO SOCIAL E LETRAS, DA INSTITUIÇÃO</t>
        </is>
      </c>
      <c r="J3534" t="inlineStr"/>
      <c r="K3534" t="n">
        <v>0</v>
      </c>
      <c r="L3534" t="n">
        <v>1</v>
      </c>
      <c r="M3534" t="n">
        <v>0</v>
      </c>
      <c r="N3534" t="n">
        <v>0</v>
      </c>
      <c r="O3534" t="n">
        <v>0</v>
      </c>
      <c r="P3534">
        <f>HYPERLINK("https://www.acritica.com/manaus/pesquisa-da-ufam-traca-perfil-dos-haitianos-que-migraram-para-manaus-1.165799", "URL")</f>
        <v/>
      </c>
      <c r="Q3534">
        <f>HYPERLINK("https://raw.githubusercontent.com/marcosmapl/dataset_imigrantes/main/materias_filtered/a_critica/haitianos/2012/01_fev/html/1.165799_1383.html", "HTML")</f>
        <v/>
      </c>
      <c r="R3534">
        <f>HYPERLINK("https://raw.githubusercontent.com/marcosmapl/dataset_imigrantes/main/materias_filtered/a_critica/haitianos/2012/01_fev/txt/1.165799_1383.txt", "TXT")</f>
        <v/>
      </c>
    </row>
    <row r="3535">
      <c r="A3535" s="1" t="n">
        <v>3533</v>
      </c>
      <c r="B3535" t="n">
        <v>2012</v>
      </c>
      <c r="C3535" s="2" t="n">
        <v>40946.93869212963</v>
      </c>
      <c r="D3535" t="inlineStr">
        <is>
          <t>A CRITICA</t>
        </is>
      </c>
      <c r="E3535" t="inlineStr">
        <is>
          <t>HAITIANOS</t>
        </is>
      </c>
      <c r="F3535" t="inlineStr"/>
      <c r="G3535" t="inlineStr">
        <is>
          <t>ANTÔNIO PAULO</t>
        </is>
      </c>
      <c r="H3535" t="inlineStr">
        <is>
          <t>EDUARDO BRAGA DENUNCIA PREFEITURA DE MANAUS NO SENADO</t>
        </is>
      </c>
      <c r="I3535" t="inlineStr">
        <is>
          <t>A AÇÃO PEDE QUE A PREFEITURA DISTRIBUA ÁGUA À POPULAÇÃO COM TARIFA SOCIAL, UMA VEZ QUE A EMPRESA TERIA DESCUMPRIDO O CONTRATO DE CONCESSÃO POR DIVERSAS VEZES E O ABASTECIMENTO NA CIDADE SÓ FOI MANTIDO COM A INTERVENÇÃO DO GOVERNO DO ESTADO E DO GOVERNO FEDERAL</t>
        </is>
      </c>
      <c r="J3535" t="inlineStr"/>
      <c r="K3535" t="n">
        <v>0</v>
      </c>
      <c r="L3535" t="n">
        <v>1</v>
      </c>
      <c r="M3535" t="n">
        <v>0</v>
      </c>
      <c r="N3535" t="n">
        <v>0</v>
      </c>
      <c r="O3535" t="n">
        <v>0</v>
      </c>
      <c r="P3535">
        <f>HYPERLINK("https://www.acritica.com/eduardo-braga-denuncia-prefeitura-de-manaus-no-senado-1.137375", "URL")</f>
        <v/>
      </c>
      <c r="Q3535">
        <f>HYPERLINK("https://raw.githubusercontent.com/marcosmapl/dataset_imigrantes/main/materias_filtered/a_critica/haitianos/2012/01_fev/html/1.137375_936.html", "HTML")</f>
        <v/>
      </c>
      <c r="R3535">
        <f>HYPERLINK("https://raw.githubusercontent.com/marcosmapl/dataset_imigrantes/main/materias_filtered/a_critica/haitianos/2012/01_fev/txt/1.137375_936.txt", "TXT")</f>
        <v/>
      </c>
    </row>
    <row r="3536">
      <c r="A3536" s="1" t="n">
        <v>3534</v>
      </c>
      <c r="B3536" t="n">
        <v>2012</v>
      </c>
      <c r="C3536" s="2" t="n">
        <v>40945.57565972222</v>
      </c>
      <c r="D3536" t="inlineStr">
        <is>
          <t>A CRITICA</t>
        </is>
      </c>
      <c r="E3536" t="inlineStr">
        <is>
          <t>HAITIANOS</t>
        </is>
      </c>
      <c r="F3536" t="inlineStr"/>
      <c r="G3536" t="inlineStr">
        <is>
          <t>ANTÔNIO PAULO</t>
        </is>
      </c>
      <c r="H3536" t="inlineStr">
        <is>
          <t>EMBAIXADOR DO HAITI ESTÁ DE MALAS PRONTAS PARA VISITAR O AMAZONAS</t>
        </is>
      </c>
      <c r="I3536" t="inlineStr">
        <is>
          <t>EM ENTREVISTA EXCLUSIVA PARA A CRÍTICA, O EMBAIXADOR DO HAITI NO BRASIL REVELOU QUE FOI IDEIA DELE A PROPOSTA DA COTA DO VISTO HUMANITÁRIO E DE EMPREGO PARA A ENTRADA DE HAITIANOS NO BRASIL</t>
        </is>
      </c>
      <c r="J3536" t="inlineStr"/>
      <c r="K3536" t="n">
        <v>0</v>
      </c>
      <c r="L3536" t="n">
        <v>1</v>
      </c>
      <c r="M3536" t="n">
        <v>0</v>
      </c>
      <c r="N3536" t="n">
        <v>0</v>
      </c>
      <c r="O3536" t="n">
        <v>0</v>
      </c>
      <c r="P3536">
        <f>HYPERLINK("https://www.acritica.com/embaixador-do-haiti-esta-de-malas-prontas-para-visitar-o-amazonas-1.165698", "URL")</f>
        <v/>
      </c>
      <c r="Q3536">
        <f>HYPERLINK("https://raw.githubusercontent.com/marcosmapl/dataset_imigrantes/main/materias_filtered/a_critica/haitianos/2012/01_fev/html/1.165698_101.html", "HTML")</f>
        <v/>
      </c>
      <c r="R3536">
        <f>HYPERLINK("https://raw.githubusercontent.com/marcosmapl/dataset_imigrantes/main/materias_filtered/a_critica/haitianos/2012/01_fev/txt/1.165698_101.txt", "TXT")</f>
        <v/>
      </c>
    </row>
    <row r="3537">
      <c r="A3537" s="1" t="n">
        <v>3535</v>
      </c>
      <c r="B3537" t="n">
        <v>2012</v>
      </c>
      <c r="C3537" s="2" t="n">
        <v>40945.44033564815</v>
      </c>
      <c r="D3537" t="inlineStr">
        <is>
          <t>A CRITICA</t>
        </is>
      </c>
      <c r="E3537" t="inlineStr">
        <is>
          <t>HAITIANOS</t>
        </is>
      </c>
      <c r="F3537" t="inlineStr">
        <is>
          <t>ENTRETENIMENTO</t>
        </is>
      </c>
      <c r="G3537" t="inlineStr">
        <is>
          <t>JORNAL A CRÍTICA</t>
        </is>
      </c>
      <c r="H3537" t="inlineStr">
        <is>
          <t>OMAR AZIZ E EDUARDO BRAGA CONVERSAM SOBRE ALIANÇA PARA AS ELEIÇÕES DE 2012</t>
        </is>
      </c>
      <c r="I3537" t="inlineStr">
        <is>
          <t>EM UMA CONVERSA INFORMAL NO ÚLTIMO SÁBADO (04), AS DUAS LIDERANÇAS POLÍTICAS DO AMAZONAS FECHARAM ALIANÇA PARA AS ELEIÇÕES 2012</t>
        </is>
      </c>
      <c r="J3537" t="inlineStr"/>
      <c r="K3537" t="n">
        <v>0</v>
      </c>
      <c r="L3537" t="n">
        <v>1</v>
      </c>
      <c r="M3537" t="n">
        <v>0</v>
      </c>
      <c r="N3537" t="n">
        <v>0</v>
      </c>
      <c r="O3537" t="n">
        <v>0</v>
      </c>
      <c r="P3537">
        <f>HYPERLINK("https://www.acritica.com/entretenimento/omar-aziz-e-eduardo-braga-conversam-sobre-alianca-para-as-eleic-es-de-2012-1.165706", "URL")</f>
        <v/>
      </c>
      <c r="Q3537">
        <f>HYPERLINK("https://raw.githubusercontent.com/marcosmapl/dataset_imigrantes/main/materias_filtered/a_critica/haitianos/2012/01_fev/html/1.165706_744.html", "HTML")</f>
        <v/>
      </c>
      <c r="R3537">
        <f>HYPERLINK("https://raw.githubusercontent.com/marcosmapl/dataset_imigrantes/main/materias_filtered/a_critica/haitianos/2012/01_fev/txt/1.165706_744.txt", "TXT")</f>
        <v/>
      </c>
    </row>
    <row r="3538">
      <c r="A3538" s="1" t="n">
        <v>3536</v>
      </c>
      <c r="B3538" t="n">
        <v>2012</v>
      </c>
      <c r="C3538" s="2" t="n">
        <v>40943.78150462963</v>
      </c>
      <c r="D3538" t="inlineStr">
        <is>
          <t>A CRITICA</t>
        </is>
      </c>
      <c r="E3538" t="inlineStr">
        <is>
          <t>HAITIANOS</t>
        </is>
      </c>
      <c r="F3538" t="inlineStr">
        <is>
          <t>ENTRETENIMENTO</t>
        </is>
      </c>
      <c r="G3538" t="inlineStr">
        <is>
          <t>ANA CAROLINA BARBOSA</t>
        </is>
      </c>
      <c r="H3538" t="inlineStr">
        <is>
          <t>ESTADO DOA COLCHÕES E ÁGUA A HAITIANOS RECÉM-CHEGADOS A MANAUS</t>
        </is>
      </c>
      <c r="I3538" t="inlineStr">
        <is>
          <t>DE ACORDO COM A SECRETÁRIA-EXECUTIVA DA SEAS, GRAÇA PROLA, AS MEDIDAS EMERGENCIAIS ESTÃO SENDO CUSTEADAS COM PARTE DOS R$ 400 MIL DOADOS PELO GOVERNO DO ESTADO. JÁ OS R$ 540 MIL DISPONIBILIZADOS PELO GOVERNO FEDERAL PARA O AUXÍLIO A ESSES IMIGRANTES, AINDA NÃO FORAM LIBERADOS</t>
        </is>
      </c>
      <c r="J3538" t="inlineStr"/>
      <c r="K3538" t="n">
        <v>0</v>
      </c>
      <c r="L3538" t="n">
        <v>1</v>
      </c>
      <c r="M3538" t="n">
        <v>0</v>
      </c>
      <c r="N3538" t="n">
        <v>0</v>
      </c>
      <c r="O3538" t="n">
        <v>0</v>
      </c>
      <c r="P3538">
        <f>HYPERLINK("https://www.acritica.com/entretenimento/estado-doa-colch-es-e-agua-a-haitianos-recem-chegados-a-manaus-1.106943", "URL")</f>
        <v/>
      </c>
      <c r="Q3538">
        <f>HYPERLINK("https://raw.githubusercontent.com/marcosmapl/dataset_imigrantes/main/materias_filtered/a_critica/haitianos/2012/01_fev/html/1.106943_514.html", "HTML")</f>
        <v/>
      </c>
      <c r="R3538">
        <f>HYPERLINK("https://raw.githubusercontent.com/marcosmapl/dataset_imigrantes/main/materias_filtered/a_critica/haitianos/2012/01_fev/txt/1.106943_514.txt", "TXT")</f>
        <v/>
      </c>
    </row>
    <row r="3539">
      <c r="A3539" s="1" t="n">
        <v>3537</v>
      </c>
      <c r="B3539" t="n">
        <v>2012</v>
      </c>
      <c r="C3539" s="2" t="n">
        <v>40943.64799768518</v>
      </c>
      <c r="D3539" t="inlineStr">
        <is>
          <t>A CRITICA</t>
        </is>
      </c>
      <c r="E3539" t="inlineStr">
        <is>
          <t>HAITIANOS</t>
        </is>
      </c>
      <c r="F3539" t="inlineStr">
        <is>
          <t>ENTRETENIMENTO</t>
        </is>
      </c>
      <c r="G3539" t="inlineStr">
        <is>
          <t>JOELMA MUNIZ</t>
        </is>
      </c>
      <c r="H3539" t="inlineStr">
        <is>
          <t>MAIS UM GRUPO DE 400 HAITIANOS DESEMBARCA EM MANAUS</t>
        </is>
      </c>
      <c r="I3539" t="inlineStr">
        <is>
          <t>SEGUNDO O VOLUNTÁRIO DA PARÓQUIA DE SÃO GERALDO, TOM RODRIGUES, ATÉ A SEGUNDA-FEIRA (6), OS IMIGRANTES JÁ COMEÇARÃO A RECEBER CARTEIRAS DE TRABALHO E OS DEMAIS DOCUMENTOS EXIGIDOS PARA A PERMANÊNCIA EM MANAUS</t>
        </is>
      </c>
      <c r="J3539" t="inlineStr"/>
      <c r="K3539" t="n">
        <v>0</v>
      </c>
      <c r="L3539" t="n">
        <v>1</v>
      </c>
      <c r="M3539" t="n">
        <v>0</v>
      </c>
      <c r="N3539" t="n">
        <v>0</v>
      </c>
      <c r="O3539" t="n">
        <v>2</v>
      </c>
      <c r="P3539">
        <f>HYPERLINK("https://www.acritica.com/entretenimento/mais-um-grupo-de-400-haitianos-desembarca-em-manaus-1.165566", "URL")</f>
        <v/>
      </c>
      <c r="Q3539">
        <f>HYPERLINK("https://raw.githubusercontent.com/marcosmapl/dataset_imigrantes/main/materias_filtered/a_critica/haitianos/2012/01_fev/html/1.165566_687.html", "HTML")</f>
        <v/>
      </c>
      <c r="R3539">
        <f>HYPERLINK("https://raw.githubusercontent.com/marcosmapl/dataset_imigrantes/main/materias_filtered/a_critica/haitianos/2012/01_fev/txt/1.165566_687.txt", "TXT")</f>
        <v/>
      </c>
    </row>
    <row r="3540">
      <c r="A3540" s="1" t="n">
        <v>3538</v>
      </c>
      <c r="B3540" t="n">
        <v>2012</v>
      </c>
      <c r="C3540" s="2" t="n">
        <v>40942.60232638889</v>
      </c>
      <c r="D3540" t="inlineStr">
        <is>
          <t>A CRITICA</t>
        </is>
      </c>
      <c r="E3540" t="inlineStr">
        <is>
          <t>HAITIANOS</t>
        </is>
      </c>
      <c r="F3540" t="inlineStr"/>
      <c r="G3540" t="inlineStr">
        <is>
          <t>SÍNTIA MACIEL</t>
        </is>
      </c>
      <c r="H3540" t="inlineStr">
        <is>
          <t>REPRESENTANTES DO GOVERNO FEDERAL VISITAM INSTALAÇÕES DE ABRIGOS HAITIANOS NO AM</t>
        </is>
      </c>
      <c r="I3540" t="inlineStr">
        <is>
          <t>NESTA SEXTA (3), ENQUANTO A COMITIVA DO GOVERNO FEDERAL SEGUE PARA TABATINGA, UM GRUPO DE APROXIMADAMENTE 200 HAITIANOS CHEGA A MANAUS</t>
        </is>
      </c>
      <c r="J3540" t="inlineStr"/>
      <c r="K3540" t="n">
        <v>0</v>
      </c>
      <c r="L3540" t="n">
        <v>1</v>
      </c>
      <c r="M3540" t="n">
        <v>0</v>
      </c>
      <c r="N3540" t="n">
        <v>0</v>
      </c>
      <c r="O3540" t="n">
        <v>1</v>
      </c>
      <c r="P3540">
        <f>HYPERLINK("https://www.acritica.com/representantes-do-governo-federal-visitam-instalac-es-de-abrigos-haitianos-no-am-1.165279", "URL")</f>
        <v/>
      </c>
      <c r="Q3540">
        <f>HYPERLINK("https://raw.githubusercontent.com/marcosmapl/dataset_imigrantes/main/materias_filtered/a_critica/haitianos/2012/01_fev/html/1.165279_83.html", "HTML")</f>
        <v/>
      </c>
      <c r="R3540">
        <f>HYPERLINK("https://raw.githubusercontent.com/marcosmapl/dataset_imigrantes/main/materias_filtered/a_critica/haitianos/2012/01_fev/txt/1.165279_83.txt", "TXT")</f>
        <v/>
      </c>
    </row>
    <row r="3541">
      <c r="A3541" s="1" t="n">
        <v>3539</v>
      </c>
      <c r="B3541" t="n">
        <v>2012</v>
      </c>
      <c r="C3541" s="2" t="n">
        <v>40942.57534722222</v>
      </c>
      <c r="D3541" t="inlineStr">
        <is>
          <t>A CRITICA</t>
        </is>
      </c>
      <c r="E3541" t="inlineStr">
        <is>
          <t>HAITIANOS</t>
        </is>
      </c>
      <c r="F3541" t="inlineStr">
        <is>
          <t>MANAUS</t>
        </is>
      </c>
      <c r="G3541" t="inlineStr">
        <is>
          <t>SÍNTIA MACIEL</t>
        </is>
      </c>
      <c r="H3541" t="inlineStr">
        <is>
          <t>MAIS DE 200 HAITIANOS DESEMBARCAM EM MANAUS, NESTA SEXTA (3)</t>
        </is>
      </c>
      <c r="I3541" t="inlineStr">
        <is>
          <t>NESTE SÁBADO (4) OUTROS 400 REFUGIADOS, QUE SE ENCONTRAVAM NO MUNICÍPIO DE TABATINGA, TAMBÉM DEVEM CHEGAR À CAPITAL</t>
        </is>
      </c>
      <c r="J3541" t="inlineStr"/>
      <c r="K3541" t="n">
        <v>0</v>
      </c>
      <c r="L3541" t="n">
        <v>1</v>
      </c>
      <c r="M3541" t="n">
        <v>0</v>
      </c>
      <c r="N3541" t="n">
        <v>0</v>
      </c>
      <c r="O3541" t="n">
        <v>1</v>
      </c>
      <c r="P3541">
        <f>HYPERLINK("https://www.acritica.com/manaus/mais-de-200-haitianos-desembarcam-em-manaus-nesta-sexta-3-1.165207", "URL")</f>
        <v/>
      </c>
      <c r="Q3541">
        <f>HYPERLINK("https://raw.githubusercontent.com/marcosmapl/dataset_imigrantes/main/materias_filtered/a_critica/haitianos/2012/01_fev/html/1.165207_396.html", "HTML")</f>
        <v/>
      </c>
      <c r="R3541">
        <f>HYPERLINK("https://raw.githubusercontent.com/marcosmapl/dataset_imigrantes/main/materias_filtered/a_critica/haitianos/2012/01_fev/txt/1.165207_396.txt", "TXT")</f>
        <v/>
      </c>
    </row>
    <row r="3542">
      <c r="A3542" s="1" t="n">
        <v>3540</v>
      </c>
      <c r="B3542" t="n">
        <v>2012</v>
      </c>
      <c r="C3542" s="2" t="n">
        <v>40941.66574074074</v>
      </c>
      <c r="D3542" t="inlineStr">
        <is>
          <t>A CRITICA</t>
        </is>
      </c>
      <c r="E3542" t="inlineStr">
        <is>
          <t>HAITIANOS</t>
        </is>
      </c>
      <c r="F3542" t="inlineStr">
        <is>
          <t>MANAUS</t>
        </is>
      </c>
      <c r="G3542" t="inlineStr">
        <is>
          <t>ACRÍTICA.COM</t>
        </is>
      </c>
      <c r="H3542" t="inlineStr">
        <is>
          <t>COMITIVA DO GOVERNO DO AMAZONAS E DE REPRESENTANTES DO GOVERNO FEDERAL VISITA ABRIGOS QUE ACOLHEM HAITIANOS EM MANAUS</t>
        </is>
      </c>
      <c r="I3542" t="inlineStr">
        <is>
          <t>A COMITIVA IRÁ VISITAR DOIS LOCAIS ONDE ESTÁ CONCENTRADA A MAIOR PARTE DOS HAITIANOS QUE CHEGA A MANAUS, A PARÓQUIA DE SÃO GERALDO E UM GALPÃO NO CONJUNTO SHANGRI-LÁ, NO PARQUE DAS LARANJEIRAS</t>
        </is>
      </c>
      <c r="J3542" t="inlineStr"/>
      <c r="K3542" t="n">
        <v>0</v>
      </c>
      <c r="L3542" t="n">
        <v>1</v>
      </c>
      <c r="M3542" t="n">
        <v>0</v>
      </c>
      <c r="N3542" t="n">
        <v>0</v>
      </c>
      <c r="O3542" t="n">
        <v>0</v>
      </c>
      <c r="P3542">
        <f>HYPERLINK("https://www.acritica.com/manaus/comitiva-do-governo-do-amazonas-e-de-representantes-do-governo-federal-visita-abrigos-que-acolhem-haitianos-em-manaus-1.117836", "URL")</f>
        <v/>
      </c>
      <c r="Q3542">
        <f>HYPERLINK("https://raw.githubusercontent.com/marcosmapl/dataset_imigrantes/main/materias_filtered/a_critica/haitianos/2012/01_fev/html/1.117836_670.html", "HTML")</f>
        <v/>
      </c>
      <c r="R3542">
        <f>HYPERLINK("https://raw.githubusercontent.com/marcosmapl/dataset_imigrantes/main/materias_filtered/a_critica/haitianos/2012/01_fev/txt/1.117836_670.txt", "TXT")</f>
        <v/>
      </c>
    </row>
    <row r="3543">
      <c r="A3543" s="1" t="n">
        <v>3541</v>
      </c>
      <c r="B3543" t="n">
        <v>2012</v>
      </c>
      <c r="C3543" s="2" t="n">
        <v>40941.02638888889</v>
      </c>
      <c r="D3543" t="inlineStr">
        <is>
          <t>G1</t>
        </is>
      </c>
      <c r="E3543" t="inlineStr">
        <is>
          <t>HAITIANOS</t>
        </is>
      </c>
      <c r="F3543" t="inlineStr"/>
      <c r="G3543" t="inlineStr">
        <is>
          <t>DIA BOMTEMPOPORTO PRÍNCIPE, HAITI</t>
        </is>
      </c>
      <c r="H3543" t="inlineStr">
        <is>
          <t>DILMA PROMETE AJUDA A HAITIANOS QUE CHEGAREM AO BRASIL</t>
        </is>
      </c>
      <c r="I3543" t="inlineStr"/>
      <c r="J3543" t="inlineStr"/>
      <c r="K3543" t="n">
        <v>0</v>
      </c>
      <c r="L3543" t="n">
        <v>0</v>
      </c>
      <c r="M3543" t="n">
        <v>0</v>
      </c>
      <c r="N3543" t="n">
        <v>0</v>
      </c>
      <c r="O3543" t="n">
        <v>4</v>
      </c>
      <c r="P3543">
        <f>HYPERLINK("http://g1.globo.com/jornal-da-globo/noticia/2012/02/dilma-promete-ajuda-haitianos-que-chegarem-ao-brasil.html", "URL")</f>
        <v/>
      </c>
      <c r="Q3543">
        <f>HYPERLINK("https://raw.githubusercontent.com/marcosmapl/dataset_imigrantes/main/materias_filtered/g1/haitianos/2012/01_fev/html/g1_8682bbe2-22f6-11ed-b24f-6dbe51e79fca_2019.html", "HTML")</f>
        <v/>
      </c>
      <c r="R3543">
        <f>HYPERLINK("https://raw.githubusercontent.com/marcosmapl/dataset_imigrantes/main/materias_filtered/g1/haitianos/2012/01_fev/txt/g1_8682bbe2-22f6-11ed-b24f-6dbe51e79fca_2019.txt", "TXT")</f>
        <v/>
      </c>
    </row>
    <row r="3544">
      <c r="A3544" s="1" t="n">
        <v>3542</v>
      </c>
      <c r="B3544" t="n">
        <v>2012</v>
      </c>
      <c r="C3544" s="2" t="n">
        <v>40940.85208333333</v>
      </c>
      <c r="D3544" t="inlineStr">
        <is>
          <t>G1</t>
        </is>
      </c>
      <c r="E3544" t="inlineStr">
        <is>
          <t>HAITIANOS</t>
        </is>
      </c>
      <c r="F3544" t="inlineStr"/>
      <c r="G3544" t="inlineStr">
        <is>
          <t>ERS</t>
        </is>
      </c>
      <c r="H3544" t="inlineStr">
        <is>
          <t>DILMA: BRASIL ESTÁ ABERTO A HAITIANOS; COMBATE É CONTRA COIOTES</t>
        </is>
      </c>
      <c r="I3544" t="inlineStr"/>
      <c r="J3544" t="inlineStr"/>
      <c r="K3544" t="n">
        <v>0</v>
      </c>
      <c r="L3544" t="n">
        <v>1</v>
      </c>
      <c r="M3544" t="n">
        <v>0</v>
      </c>
      <c r="N3544" t="n">
        <v>0</v>
      </c>
      <c r="O3544" t="n">
        <v>4</v>
      </c>
      <c r="P3544">
        <f>HYPERLINK("http://g1.globo.com/politica/noticia/2012/02/dilma-brasil-esta-aberto-a-haitianos-combate-e-contra-coiotes-1.html", "URL")</f>
        <v/>
      </c>
      <c r="Q3544">
        <f>HYPERLINK("https://raw.githubusercontent.com/marcosmapl/dataset_imigrantes/main/materias_filtered/g1/haitianos/2012/01_fev/html/g1_9d098d38-22fa-11ed-b24f-6dbe51e79fca_2231.html", "HTML")</f>
        <v/>
      </c>
      <c r="R3544">
        <f>HYPERLINK("https://raw.githubusercontent.com/marcosmapl/dataset_imigrantes/main/materias_filtered/g1/haitianos/2012/01_fev/txt/g1_9d098d38-22fa-11ed-b24f-6dbe51e79fca_2231.txt", "TXT")</f>
        <v/>
      </c>
    </row>
    <row r="3545">
      <c r="A3545" s="1" t="n">
        <v>3543</v>
      </c>
      <c r="B3545" t="n">
        <v>2012</v>
      </c>
      <c r="C3545" s="2" t="n">
        <v>40940.85208333333</v>
      </c>
      <c r="D3545" t="inlineStr">
        <is>
          <t>G1</t>
        </is>
      </c>
      <c r="E3545" t="inlineStr">
        <is>
          <t>HAITIANOS</t>
        </is>
      </c>
      <c r="F3545" t="inlineStr"/>
      <c r="G3545" t="inlineStr">
        <is>
          <t>ERS</t>
        </is>
      </c>
      <c r="H3545" t="inlineStr">
        <is>
          <t>DILMA: BRASIL ESTÁ ABERTO A HAITIANOS; COMBATE É CONTRA COIOTES</t>
        </is>
      </c>
      <c r="I3545" t="inlineStr"/>
      <c r="J3545" t="inlineStr"/>
      <c r="K3545" t="n">
        <v>0</v>
      </c>
      <c r="L3545" t="n">
        <v>1</v>
      </c>
      <c r="M3545" t="n">
        <v>0</v>
      </c>
      <c r="N3545" t="n">
        <v>0</v>
      </c>
      <c r="O3545" t="n">
        <v>4</v>
      </c>
      <c r="P3545">
        <f>HYPERLINK("http://g1.globo.com/mundo/noticia/2012/02/dilma-brasil-esta-aberto-a-haitianos-combate-e-contra-coiotes.html", "URL")</f>
        <v/>
      </c>
      <c r="Q3545">
        <f>HYPERLINK("https://raw.githubusercontent.com/marcosmapl/dataset_imigrantes/main/materias_filtered/g1/haitianos/2012/01_fev/html/g1_2b599f2c-22f8-11ed-b24f-6dbe51e79fca_2118.html", "HTML")</f>
        <v/>
      </c>
      <c r="R3545">
        <f>HYPERLINK("https://raw.githubusercontent.com/marcosmapl/dataset_imigrantes/main/materias_filtered/g1/haitianos/2012/01_fev/txt/g1_2b599f2c-22f8-11ed-b24f-6dbe51e79fca_2118.txt", "TXT")</f>
        <v/>
      </c>
    </row>
    <row r="3546">
      <c r="A3546" s="1" t="n">
        <v>3544</v>
      </c>
      <c r="B3546" t="n">
        <v>2012</v>
      </c>
      <c r="C3546" s="2" t="n">
        <v>40940.80625</v>
      </c>
      <c r="D3546" t="inlineStr">
        <is>
          <t>G1</t>
        </is>
      </c>
      <c r="E3546" t="inlineStr">
        <is>
          <t>HAITIANOS</t>
        </is>
      </c>
      <c r="F3546" t="inlineStr"/>
      <c r="G3546" t="inlineStr">
        <is>
          <t>1, EM BRASÍLIA</t>
        </is>
      </c>
      <c r="H3546" t="inlineStr">
        <is>
          <t>'ESTAMOS ABERTOS A RECEBER CIDADÃOS HAITIANOS', DIZ DILMA NO HAITI</t>
        </is>
      </c>
      <c r="I3546" t="inlineStr"/>
      <c r="J3546" t="inlineStr">
        <is>
          <t>DILMA ROUSSEFF, MINISTÉRIO DA JUSTIÇA, DILMA ROUSSEFF</t>
        </is>
      </c>
      <c r="K3546" t="n">
        <v>3</v>
      </c>
      <c r="L3546" t="n">
        <v>4</v>
      </c>
      <c r="M3546" t="n">
        <v>0</v>
      </c>
      <c r="N3546" t="n">
        <v>0</v>
      </c>
      <c r="O3546" t="n">
        <v>14</v>
      </c>
      <c r="P3546">
        <f>HYPERLINK("http://g1.globo.com/mundo/noticia/2012/02/estamos-abertos-receber-cidadaos-haitianos-diz-dilma-no-haiti.html", "URL")</f>
        <v/>
      </c>
      <c r="Q3546">
        <f>HYPERLINK("https://raw.githubusercontent.com/marcosmapl/dataset_imigrantes/main/materias_filtered/g1/haitianos/2012/01_fev/html/g1_192db092-22f6-11ed-b24f-6dbe51e79fca_1993.html", "HTML")</f>
        <v/>
      </c>
      <c r="R3546">
        <f>HYPERLINK("https://raw.githubusercontent.com/marcosmapl/dataset_imigrantes/main/materias_filtered/g1/haitianos/2012/01_fev/txt/g1_192db092-22f6-11ed-b24f-6dbe51e79fca_1993.txt", "TXT")</f>
        <v/>
      </c>
    </row>
    <row r="3547">
      <c r="A3547" s="1" t="n">
        <v>3545</v>
      </c>
      <c r="B3547" t="n">
        <v>2012</v>
      </c>
      <c r="C3547" s="2" t="n">
        <v>40940.77291666667</v>
      </c>
      <c r="D3547" t="inlineStr">
        <is>
          <t>G1</t>
        </is>
      </c>
      <c r="E3547" t="inlineStr">
        <is>
          <t>HAITIANOS</t>
        </is>
      </c>
      <c r="F3547" t="inlineStr"/>
      <c r="G3547" t="inlineStr"/>
      <c r="H3547" t="inlineStr">
        <is>
          <t>DILMA DIZ QUE HAITIANOS SÃO BEM-VINDOS NO BRASIL, MAS CONDENA AÇÃO DE COIOTES</t>
        </is>
      </c>
      <c r="I3547" t="inlineStr"/>
      <c r="J3547" t="inlineStr"/>
      <c r="K3547" t="n">
        <v>0</v>
      </c>
      <c r="L3547" t="n">
        <v>1</v>
      </c>
      <c r="M3547" t="n">
        <v>0</v>
      </c>
      <c r="N3547" t="n">
        <v>0</v>
      </c>
      <c r="O3547" t="n">
        <v>4</v>
      </c>
      <c r="P3547">
        <f>HYPERLINK("http://g1.globo.com/mundo/noticia/2012/02/dilma-diz-que-haitianos-sao-bem-vindos-no-brasil-mas-condena-acao-de-coiotes.html", "URL")</f>
        <v/>
      </c>
      <c r="Q3547">
        <f>HYPERLINK("https://raw.githubusercontent.com/marcosmapl/dataset_imigrantes/main/materias_filtered/g1/haitianos/2012/01_fev/html/g1_c106a702-2309-11ed-b24f-6dbe51e79fca_2461.html", "HTML")</f>
        <v/>
      </c>
      <c r="R3547">
        <f>HYPERLINK("https://raw.githubusercontent.com/marcosmapl/dataset_imigrantes/main/materias_filtered/g1/haitianos/2012/01_fev/txt/g1_c106a702-2309-11ed-b24f-6dbe51e79fca_2461.txt", "TXT")</f>
        <v/>
      </c>
    </row>
    <row r="3548">
      <c r="A3548" s="1" t="n">
        <v>3546</v>
      </c>
      <c r="B3548" t="n">
        <v>2012</v>
      </c>
      <c r="C3548" s="2" t="n">
        <v>40940.4750462963</v>
      </c>
      <c r="D3548" t="inlineStr">
        <is>
          <t>A CRITICA</t>
        </is>
      </c>
      <c r="E3548" t="inlineStr">
        <is>
          <t>HAITIANOS</t>
        </is>
      </c>
      <c r="F3548" t="inlineStr">
        <is>
          <t>MANAUS</t>
        </is>
      </c>
      <c r="G3548" t="inlineStr">
        <is>
          <t>MILTON DE OLIVEIRA</t>
        </is>
      </c>
      <c r="H3548" t="inlineStr">
        <is>
          <t>IMIGRANTES HAITIANOS PROCURAM POLÍCIA FEDERAL EM MANAUS PARA REGULARIZAREM SITUAÇÃO NO PAÍS</t>
        </is>
      </c>
      <c r="I3548" t="inlineStr">
        <is>
          <t>NA BUSCA PELA REGULARIZAÇÃO DO VISTO HUMANITÁRIO, HAITIANOS ESTÃO DORMINDO EM PRAÇAS E LOCAIS PRÓXIMOS À POLÍCIA FEDERAL EM MANAUS</t>
        </is>
      </c>
      <c r="J3548" t="inlineStr"/>
      <c r="K3548" t="n">
        <v>0</v>
      </c>
      <c r="L3548" t="n">
        <v>1</v>
      </c>
      <c r="M3548" t="n">
        <v>0</v>
      </c>
      <c r="N3548" t="n">
        <v>0</v>
      </c>
      <c r="O3548" t="n">
        <v>0</v>
      </c>
      <c r="P3548">
        <f>HYPERLINK("https://www.acritica.com/manaus/imigrantes-haitianos-procuram-policia-federal-em-manaus-para-regularizarem-situac-o-no-pais-1.107011", "URL")</f>
        <v/>
      </c>
      <c r="Q3548">
        <f>HYPERLINK("https://raw.githubusercontent.com/marcosmapl/dataset_imigrantes/main/materias_filtered/a_critica/haitianos/2012/01_fev/html/1.107011_447.html", "HTML")</f>
        <v/>
      </c>
      <c r="R3548">
        <f>HYPERLINK("https://raw.githubusercontent.com/marcosmapl/dataset_imigrantes/main/materias_filtered/a_critica/haitianos/2012/01_fev/txt/1.107011_447.txt", "TXT")</f>
        <v/>
      </c>
    </row>
    <row r="3549">
      <c r="A3549" s="1" t="n">
        <v>3547</v>
      </c>
      <c r="B3549" t="n">
        <v>2012</v>
      </c>
      <c r="C3549" s="2" t="n">
        <v>40940.45614583333</v>
      </c>
      <c r="D3549" t="inlineStr">
        <is>
          <t>A CRITICA</t>
        </is>
      </c>
      <c r="E3549" t="inlineStr">
        <is>
          <t>HAITIANOS</t>
        </is>
      </c>
      <c r="F3549" t="inlineStr">
        <is>
          <t>MANAUS</t>
        </is>
      </c>
      <c r="G3549" t="inlineStr">
        <is>
          <t>MOARA CABRAL</t>
        </is>
      </c>
      <c r="H3549" t="inlineStr">
        <is>
          <t>ALE-AM RETOMA ÀS ATIVIDADES COM NOVOS PROJETOS</t>
        </is>
      </c>
      <c r="I3549" t="inlineStr">
        <is>
          <t>PRÉDIO DA ASSEMBLEIA LEGISLATIVA DO AMAZONAS VAI VIRAR CANTEIRO DE OBRAS PARA CONSTRUÇÃO DE CENTRO MÉDICO, EDIFÍCIO GARAGEM E SERVIÇOS DE ADAPTAÇÕES</t>
        </is>
      </c>
      <c r="J3549" t="inlineStr"/>
      <c r="K3549" t="n">
        <v>0</v>
      </c>
      <c r="L3549" t="n">
        <v>1</v>
      </c>
      <c r="M3549" t="n">
        <v>0</v>
      </c>
      <c r="N3549" t="n">
        <v>0</v>
      </c>
      <c r="O3549" t="n">
        <v>1</v>
      </c>
      <c r="P3549">
        <f>HYPERLINK("https://www.acritica.com/manaus/ale-am-retoma-as-atividades-com-novos-projetos-1.107015", "URL")</f>
        <v/>
      </c>
      <c r="Q3549">
        <f>HYPERLINK("https://raw.githubusercontent.com/marcosmapl/dataset_imigrantes/main/materias_filtered/a_critica/haitianos/2012/01_fev/html/1.107015_1091.html", "HTML")</f>
        <v/>
      </c>
      <c r="R3549">
        <f>HYPERLINK("https://raw.githubusercontent.com/marcosmapl/dataset_imigrantes/main/materias_filtered/a_critica/haitianos/2012/01_fev/txt/1.107015_1091.txt", "TXT")</f>
        <v/>
      </c>
    </row>
    <row r="3550">
      <c r="A3550" s="1" t="n">
        <v>3548</v>
      </c>
      <c r="B3550" t="n">
        <v>2012</v>
      </c>
      <c r="C3550" s="2" t="n">
        <v>40940.45498842592</v>
      </c>
      <c r="D3550" t="inlineStr">
        <is>
          <t>A CRITICA</t>
        </is>
      </c>
      <c r="E3550" t="inlineStr">
        <is>
          <t>HAITIANOS</t>
        </is>
      </c>
      <c r="F3550" t="inlineStr">
        <is>
          <t>ENTRETENIMENTO</t>
        </is>
      </c>
      <c r="G3550" t="inlineStr">
        <is>
          <t>UOL/CELEBRIDADES</t>
        </is>
      </c>
      <c r="H3550" t="inlineStr">
        <is>
          <t>SEAN PENN É NOMEADO EMBAIXADOR ITINERANTE DO HAITI</t>
        </is>
      </c>
      <c r="I3550" t="inlineStr">
        <is>
          <t>SEAN PENN REALIZOU UM ATIVO TRABALHO HUMANITÁRIO DESDE QUE O HAITI SOFREU A CATÁSTROFE, EM 2010, NA QUAL MORRERAM CERCA DE 300 MIL PESSOAS</t>
        </is>
      </c>
      <c r="J3550" t="inlineStr"/>
      <c r="K3550" t="n">
        <v>0</v>
      </c>
      <c r="L3550" t="n">
        <v>1</v>
      </c>
      <c r="M3550" t="n">
        <v>0</v>
      </c>
      <c r="N3550" t="n">
        <v>0</v>
      </c>
      <c r="O3550" t="n">
        <v>0</v>
      </c>
      <c r="P3550">
        <f>HYPERLINK("https://www.acritica.com/entretenimento/sean-penn-e-nomeado-embaixador-itinerante-do-haiti-1.107017", "URL")</f>
        <v/>
      </c>
      <c r="Q3550">
        <f>HYPERLINK("https://raw.githubusercontent.com/marcosmapl/dataset_imigrantes/main/materias_filtered/a_critica/haitianos/2012/01_fev/html/1.107017_1000.html", "HTML")</f>
        <v/>
      </c>
      <c r="R3550">
        <f>HYPERLINK("https://raw.githubusercontent.com/marcosmapl/dataset_imigrantes/main/materias_filtered/a_critica/haitianos/2012/01_fev/txt/1.107017_1000.txt", "TXT")</f>
        <v/>
      </c>
    </row>
    <row r="3551">
      <c r="A3551" s="1" t="n">
        <v>3549</v>
      </c>
      <c r="B3551" t="n">
        <v>2012</v>
      </c>
      <c r="C3551" s="2" t="n">
        <v>40940.41748842593</v>
      </c>
      <c r="D3551" t="inlineStr">
        <is>
          <t>A CRITICA</t>
        </is>
      </c>
      <c r="E3551" t="inlineStr">
        <is>
          <t>HAITIANOS</t>
        </is>
      </c>
      <c r="F3551" t="inlineStr">
        <is>
          <t>MANAUS</t>
        </is>
      </c>
      <c r="G3551" t="inlineStr">
        <is>
          <t>JÚLIO PEDROSA</t>
        </is>
      </c>
      <c r="H3551" t="inlineStr">
        <is>
          <t>AMAZONAS PRETENDE DESENCADEAR AÇÕES DE TESTAGEM DE DOENÇAS EM PACIENTES HAITIANOS</t>
        </is>
      </c>
      <c r="I3551" t="inlineStr">
        <is>
          <t>GOVERNO DO AMAZONAS VAI ENCAMINHAR DOCUMENTO AO MINISTÉRIO DA SAÚDE SOBRE PROBLEMAS RELACIONADOS À SAÚDE DOS IMIGRANTES HAITIANOS</t>
        </is>
      </c>
      <c r="J3551" t="inlineStr"/>
      <c r="K3551" t="n">
        <v>0</v>
      </c>
      <c r="L3551" t="n">
        <v>1</v>
      </c>
      <c r="M3551" t="n">
        <v>0</v>
      </c>
      <c r="N3551" t="n">
        <v>0</v>
      </c>
      <c r="O3551" t="n">
        <v>0</v>
      </c>
      <c r="P3551">
        <f>HYPERLINK("https://www.acritica.com/manaus/amazonas-pretende-desencadear-ac-es-de-testagem-de-doencas-em-pacientes-haitianos-1.107025", "URL")</f>
        <v/>
      </c>
      <c r="Q3551">
        <f>HYPERLINK("https://raw.githubusercontent.com/marcosmapl/dataset_imigrantes/main/materias_filtered/a_critica/haitianos/2012/01_fev/html/1.107025_1373.html", "HTML")</f>
        <v/>
      </c>
      <c r="R3551">
        <f>HYPERLINK("https://raw.githubusercontent.com/marcosmapl/dataset_imigrantes/main/materias_filtered/a_critica/haitianos/2012/01_fev/txt/1.107025_1373.txt", "TXT")</f>
        <v/>
      </c>
    </row>
    <row r="3552">
      <c r="A3552" s="1" t="n">
        <v>3550</v>
      </c>
      <c r="B3552" t="n">
        <v>2012</v>
      </c>
      <c r="C3552" s="2" t="n">
        <v>40939.86373842593</v>
      </c>
      <c r="D3552" t="inlineStr">
        <is>
          <t>A CRITICA</t>
        </is>
      </c>
      <c r="E3552" t="inlineStr">
        <is>
          <t>HAITIANOS</t>
        </is>
      </c>
      <c r="F3552" t="inlineStr">
        <is>
          <t>AMAZONIA</t>
        </is>
      </c>
      <c r="G3552" t="inlineStr">
        <is>
          <t>ELAÍZE FARIAS</t>
        </is>
      </c>
      <c r="H3552" t="inlineStr">
        <is>
          <t>MPF/AM ARTICULA AUDIÊNCIA COM GOVERNO PARA DISCUTIR SITUAÇÃO DE HAITIANOS COM RISCO DE DEPORTAÇÃO</t>
        </is>
      </c>
      <c r="I3552" t="inlineStr">
        <is>
          <t>APROXIMADAMENTE 300 HAITIANOS ENTRARAM NO AMAZONAS DEPOIS DO DIA 13 DE JANEIRO, DATA EM QUE O CNIG PASSOU A CONTROLAR A ENTRADA DE IMIGRANTES</t>
        </is>
      </c>
      <c r="J3552" t="inlineStr"/>
      <c r="K3552" t="n">
        <v>0</v>
      </c>
      <c r="L3552" t="n">
        <v>1</v>
      </c>
      <c r="M3552" t="n">
        <v>0</v>
      </c>
      <c r="N3552" t="n">
        <v>0</v>
      </c>
      <c r="O3552" t="n">
        <v>0</v>
      </c>
      <c r="P3552">
        <f>HYPERLINK("https://www.acritica.com/amazonia/mpf-am-articula-audiencia-com-governo-para-discutir-situac-o-de-haitianos-com-risco-de-deportac-o-1.170236", "URL")</f>
        <v/>
      </c>
      <c r="Q3552">
        <f>HYPERLINK("https://raw.githubusercontent.com/marcosmapl/dataset_imigrantes/main/materias_filtered/a_critica/haitianos/2012/00_jan/html/1.170236_240.html", "HTML")</f>
        <v/>
      </c>
      <c r="R3552">
        <f>HYPERLINK("https://raw.githubusercontent.com/marcosmapl/dataset_imigrantes/main/materias_filtered/a_critica/haitianos/2012/00_jan/txt/1.170236_240.txt", "TXT")</f>
        <v/>
      </c>
    </row>
    <row r="3553">
      <c r="A3553" s="1" t="n">
        <v>3551</v>
      </c>
      <c r="B3553" t="n">
        <v>2012</v>
      </c>
      <c r="C3553" s="2" t="n">
        <v>40939.67354166666</v>
      </c>
      <c r="D3553" t="inlineStr">
        <is>
          <t>A CRITICA</t>
        </is>
      </c>
      <c r="E3553" t="inlineStr">
        <is>
          <t>HAITIANOS</t>
        </is>
      </c>
      <c r="F3553" t="inlineStr">
        <is>
          <t>ESPORTES</t>
        </is>
      </c>
      <c r="G3553" t="inlineStr">
        <is>
          <t>ACRÍTICA.COM</t>
        </is>
      </c>
      <c r="H3553" t="inlineStr">
        <is>
          <t>JOSÉ ALDO DEVE DESEMBARCAR EM MANAUS NA PRÓXIMA QUINTA-FEIRA</t>
        </is>
      </c>
      <c r="I3553" t="inlineStr">
        <is>
          <t>O ATUAL CAMPEÃO PESO PENA DO UFC VAI APROVEITAR A OPORTUNIDADE PARA AGRADECER O APOIO DA PREFEITURA E TAMBÉM PARA DESCANSAR. ELE DEVE FICAR ENTRE SETE E DEZ DIAS NA CAPITAL</t>
        </is>
      </c>
      <c r="J3553" t="inlineStr"/>
      <c r="K3553" t="n">
        <v>0</v>
      </c>
      <c r="L3553" t="n">
        <v>1</v>
      </c>
      <c r="M3553" t="n">
        <v>0</v>
      </c>
      <c r="N3553" t="n">
        <v>0</v>
      </c>
      <c r="O3553" t="n">
        <v>1</v>
      </c>
      <c r="P3553">
        <f>HYPERLINK("https://www.acritica.com/esportes/jose-aldo-deve-desembarcar-em-manaus-na-proxima-quinta-feira-1.170263", "URL")</f>
        <v/>
      </c>
      <c r="Q3553">
        <f>HYPERLINK("https://raw.githubusercontent.com/marcosmapl/dataset_imigrantes/main/materias_filtered/a_critica/haitianos/2012/00_jan/html/1.170263_500.html", "HTML")</f>
        <v/>
      </c>
      <c r="R3553">
        <f>HYPERLINK("https://raw.githubusercontent.com/marcosmapl/dataset_imigrantes/main/materias_filtered/a_critica/haitianos/2012/00_jan/txt/1.170263_500.txt", "TXT")</f>
        <v/>
      </c>
    </row>
    <row r="3554">
      <c r="A3554" s="1" t="n">
        <v>3552</v>
      </c>
      <c r="B3554" t="n">
        <v>2012</v>
      </c>
      <c r="C3554" s="2" t="n">
        <v>40939.42207175926</v>
      </c>
      <c r="D3554" t="inlineStr">
        <is>
          <t>A CRITICA</t>
        </is>
      </c>
      <c r="E3554" t="inlineStr">
        <is>
          <t>HAITIANOS</t>
        </is>
      </c>
      <c r="F3554" t="inlineStr">
        <is>
          <t>MANAUS</t>
        </is>
      </c>
      <c r="G3554" t="inlineStr">
        <is>
          <t>CASSANDRA CASTRO</t>
        </is>
      </c>
      <c r="H3554" t="inlineStr">
        <is>
          <t>PROJETO REÚNE JOVENS VOLUNTÁRIOS PARA AJUDAR HAITIANOS EM MANAUS</t>
        </is>
      </c>
      <c r="I3554" t="inlineStr">
        <is>
          <t>INICIATIVA DE GRUPO DE AMIGOS CONTA COM A AJUDA DE DIVERSOS PARCEIROS COMO IGREJAS CATÓLICAS, EVANGÉLICAS E REPRESENTANTES DA SOCIEDADE CIVIL ORGANIZADA</t>
        </is>
      </c>
      <c r="J3554" t="inlineStr"/>
      <c r="K3554" t="n">
        <v>0</v>
      </c>
      <c r="L3554" t="n">
        <v>1</v>
      </c>
      <c r="M3554" t="n">
        <v>0</v>
      </c>
      <c r="N3554" t="n">
        <v>0</v>
      </c>
      <c r="O3554" t="n">
        <v>1</v>
      </c>
      <c r="P3554">
        <f>HYPERLINK("https://www.acritica.com/manaus/projeto-reune-jovens-voluntarios-para-ajudar-haitianos-em-manaus-1.104155", "URL")</f>
        <v/>
      </c>
      <c r="Q3554">
        <f>HYPERLINK("https://raw.githubusercontent.com/marcosmapl/dataset_imigrantes/main/materias_filtered/a_critica/haitianos/2012/00_jan/html/1.104155_652.html", "HTML")</f>
        <v/>
      </c>
      <c r="R3554">
        <f>HYPERLINK("https://raw.githubusercontent.com/marcosmapl/dataset_imigrantes/main/materias_filtered/a_critica/haitianos/2012/00_jan/txt/1.104155_652.txt", "TXT")</f>
        <v/>
      </c>
    </row>
    <row r="3555">
      <c r="A3555" s="1" t="n">
        <v>3553</v>
      </c>
      <c r="B3555" t="n">
        <v>2012</v>
      </c>
      <c r="C3555" s="2" t="n">
        <v>40939.41434027778</v>
      </c>
      <c r="D3555" t="inlineStr">
        <is>
          <t>A CRITICA</t>
        </is>
      </c>
      <c r="E3555" t="inlineStr">
        <is>
          <t>HAITIANOS</t>
        </is>
      </c>
      <c r="F3555" t="inlineStr">
        <is>
          <t>MANAUS</t>
        </is>
      </c>
      <c r="G3555" t="inlineStr">
        <is>
          <t>CAROLINA SILVA</t>
        </is>
      </c>
      <c r="H3555" t="inlineStr">
        <is>
          <t>AÇÕES DE VOLUNTARIADO MOBILIZAM PESSOAS NA AJUDA A IMIGRANTES HAITIANOS</t>
        </is>
      </c>
      <c r="I3555" t="inlineStr">
        <is>
          <t>APESAR DE O MINISTRO CELSO AMORIM TER DITO QUE IMIGRAÇÃO ESTÁ SOB CONTROLE, POPULAÇÃO SE UNE PARA TORNAR DIAS DE IRMÃOS MENOS DIFÍCEIS</t>
        </is>
      </c>
      <c r="J3555" t="inlineStr"/>
      <c r="K3555" t="n">
        <v>0</v>
      </c>
      <c r="L3555" t="n">
        <v>1</v>
      </c>
      <c r="M3555" t="n">
        <v>0</v>
      </c>
      <c r="N3555" t="n">
        <v>0</v>
      </c>
      <c r="O3555" t="n">
        <v>0</v>
      </c>
      <c r="P3555">
        <f>HYPERLINK("https://www.acritica.com/manaus/ac-es-de-voluntariado-mobilizam-pessoas-na-ajuda-a-imigrantes-haitianos-1.104100", "URL")</f>
        <v/>
      </c>
      <c r="Q3555">
        <f>HYPERLINK("https://raw.githubusercontent.com/marcosmapl/dataset_imigrantes/main/materias_filtered/a_critica/haitianos/2012/00_jan/html/1.104100_1367.html", "HTML")</f>
        <v/>
      </c>
      <c r="R3555">
        <f>HYPERLINK("https://raw.githubusercontent.com/marcosmapl/dataset_imigrantes/main/materias_filtered/a_critica/haitianos/2012/00_jan/txt/1.104100_1367.txt", "TXT")</f>
        <v/>
      </c>
    </row>
    <row r="3556">
      <c r="A3556" s="1" t="n">
        <v>3554</v>
      </c>
      <c r="B3556" t="n">
        <v>2012</v>
      </c>
      <c r="C3556" s="2" t="n">
        <v>40938.77857638889</v>
      </c>
      <c r="D3556" t="inlineStr">
        <is>
          <t>A CRITICA</t>
        </is>
      </c>
      <c r="E3556" t="inlineStr">
        <is>
          <t>HAITIANOS</t>
        </is>
      </c>
      <c r="F3556" t="inlineStr">
        <is>
          <t>MANAUS</t>
        </is>
      </c>
      <c r="G3556" t="inlineStr">
        <is>
          <t>ANA CAROLIN BARBOSA</t>
        </is>
      </c>
      <c r="H3556" t="inlineStr">
        <is>
          <t>MDS LIBERA R$ 900 MIL PARA HAITIANOS RESIDENTES NO AMAZONAS E NO ACRE</t>
        </is>
      </c>
      <c r="I3556" t="inlineStr">
        <is>
          <t>A PARCELA DO RECURSO PARA O AMAZONAS SERÁ DE R$ 540 MIL, QUE SERÁ INVESTIDO EM AÇÕES SOCIAIS, SOMADO AOS R$940 MIL DISPONIBILIZADOS PELO GOVERNO ESTADUAL</t>
        </is>
      </c>
      <c r="J3556" t="inlineStr"/>
      <c r="K3556" t="n">
        <v>0</v>
      </c>
      <c r="L3556" t="n">
        <v>1</v>
      </c>
      <c r="M3556" t="n">
        <v>0</v>
      </c>
      <c r="N3556" t="n">
        <v>0</v>
      </c>
      <c r="O3556" t="n">
        <v>0</v>
      </c>
      <c r="P3556">
        <f>HYPERLINK("https://www.acritica.com/manaus/mds-libera-r-900-mil-para-haitianos-residentes-no-amazonas-e-no-acre-1.104110", "URL")</f>
        <v/>
      </c>
      <c r="Q3556">
        <f>HYPERLINK("https://raw.githubusercontent.com/marcosmapl/dataset_imigrantes/main/materias_filtered/a_critica/haitianos/2012/00_jan/html/1.104110_276.html", "HTML")</f>
        <v/>
      </c>
      <c r="R3556">
        <f>HYPERLINK("https://raw.githubusercontent.com/marcosmapl/dataset_imigrantes/main/materias_filtered/a_critica/haitianos/2012/00_jan/txt/1.104110_276.txt", "TXT")</f>
        <v/>
      </c>
    </row>
    <row r="3557">
      <c r="A3557" s="1" t="n">
        <v>3555</v>
      </c>
      <c r="B3557" t="n">
        <v>2012</v>
      </c>
      <c r="C3557" s="2" t="n">
        <v>40938.5184375</v>
      </c>
      <c r="D3557" t="inlineStr">
        <is>
          <t>A CRITICA</t>
        </is>
      </c>
      <c r="E3557" t="inlineStr">
        <is>
          <t>HAITIANOS</t>
        </is>
      </c>
      <c r="F3557" t="inlineStr"/>
      <c r="G3557" t="inlineStr">
        <is>
          <t>PRISCILLA MAZENOTTI/ AGÊNCIA BRASIL</t>
        </is>
      </c>
      <c r="H3557" t="inlineStr">
        <is>
          <t>MINISTÉRIO LIBERA R$ 900 MIL PARA AJUDAR IMIGRANTES HAITIANOS NO ACRE E NO AMAZONAS</t>
        </is>
      </c>
      <c r="I3557" t="inlineStr">
        <is>
          <t>OS RECURSOS FORAM CALCULADOS COM BASE NO NÚMERO DE HAITIANOS QUE CADA ESTADO RECEBEU. O AMAZONAS, QUE TEM 4,6 MIL IMIGRANTES, VAI RECEBER R$ 540 MIL E O ACRE, COM O REGISTRO DE 1,4 MIL IMIGRANTES, FICARÁ COM R$ 360 MIL</t>
        </is>
      </c>
      <c r="J3557" t="inlineStr"/>
      <c r="K3557" t="n">
        <v>0</v>
      </c>
      <c r="L3557" t="n">
        <v>1</v>
      </c>
      <c r="M3557" t="n">
        <v>0</v>
      </c>
      <c r="N3557" t="n">
        <v>0</v>
      </c>
      <c r="O3557" t="n">
        <v>1</v>
      </c>
      <c r="P3557">
        <f>HYPERLINK("https://www.acritica.com/ministerio-libera-r-900-mil-para-ajudar-imigrantes-haitianos-no-acre-e-no-amazonas-1.104133", "URL")</f>
        <v/>
      </c>
      <c r="Q3557">
        <f>HYPERLINK("https://raw.githubusercontent.com/marcosmapl/dataset_imigrantes/main/materias_filtered/a_critica/haitianos/2012/00_jan/html/1.104133_989.html", "HTML")</f>
        <v/>
      </c>
      <c r="R3557">
        <f>HYPERLINK("https://raw.githubusercontent.com/marcosmapl/dataset_imigrantes/main/materias_filtered/a_critica/haitianos/2012/00_jan/txt/1.104133_989.txt", "TXT")</f>
        <v/>
      </c>
    </row>
    <row r="3558">
      <c r="A3558" s="1" t="n">
        <v>3556</v>
      </c>
      <c r="B3558" t="n">
        <v>2012</v>
      </c>
      <c r="C3558" s="2" t="n">
        <v>40938.46024305555</v>
      </c>
      <c r="D3558" t="inlineStr">
        <is>
          <t>A CRITICA</t>
        </is>
      </c>
      <c r="E3558" t="inlineStr">
        <is>
          <t>HAITIANOS</t>
        </is>
      </c>
      <c r="F3558" t="inlineStr">
        <is>
          <t>MANAUS</t>
        </is>
      </c>
      <c r="G3558" t="inlineStr">
        <is>
          <t>ANA CELIA OSSAME</t>
        </is>
      </c>
      <c r="H3558" t="inlineStr">
        <is>
          <t>UFAM APOIARÁ HAITIANOS</t>
        </is>
      </c>
      <c r="I3558" t="inlineStr">
        <is>
          <t>REPRESENTANTES DA UNIVERSIDADE SE REUNIRAM COM IMIGRANTES PARA SABER DE SUAS NECESSIDADES MAIS URGENTES E EXPECTATIVAS</t>
        </is>
      </c>
      <c r="J3558" t="inlineStr"/>
      <c r="K3558" t="n">
        <v>0</v>
      </c>
      <c r="L3558" t="n">
        <v>1</v>
      </c>
      <c r="M3558" t="n">
        <v>0</v>
      </c>
      <c r="N3558" t="n">
        <v>0</v>
      </c>
      <c r="O3558" t="n">
        <v>1</v>
      </c>
      <c r="P3558">
        <f>HYPERLINK("https://www.acritica.com/manaus/ufam-apoiara-haitianos-1.104144", "URL")</f>
        <v/>
      </c>
      <c r="Q3558">
        <f>HYPERLINK("https://raw.githubusercontent.com/marcosmapl/dataset_imigrantes/main/materias_filtered/a_critica/haitianos/2012/00_jan/html/1.104144_779.html", "HTML")</f>
        <v/>
      </c>
      <c r="R3558">
        <f>HYPERLINK("https://raw.githubusercontent.com/marcosmapl/dataset_imigrantes/main/materias_filtered/a_critica/haitianos/2012/00_jan/txt/1.104144_779.txt", "TXT")</f>
        <v/>
      </c>
    </row>
    <row r="3559">
      <c r="A3559" s="1" t="n">
        <v>3557</v>
      </c>
      <c r="B3559" t="n">
        <v>2012</v>
      </c>
      <c r="C3559" s="2" t="n">
        <v>40938.45163194444</v>
      </c>
      <c r="D3559" t="inlineStr">
        <is>
          <t>A CRITICA</t>
        </is>
      </c>
      <c r="E3559" t="inlineStr">
        <is>
          <t>HAITIANOS</t>
        </is>
      </c>
      <c r="F3559" t="inlineStr"/>
      <c r="G3559" t="inlineStr">
        <is>
          <t>LEANDRO PRAZERES</t>
        </is>
      </c>
      <c r="H3559" t="inlineStr">
        <is>
          <t>CHEGADA DE HAITIANOS, É FRUTO DA POLÍTICA INTERNACIONAL, DIZ ESPECIALISTA</t>
        </is>
      </c>
      <c r="I3559" t="inlineStr">
        <is>
          <t>BRASIL, O 6° MAIOR PIB MUNDIAL, VIROU ATRATIVO PARA HAITIANOS QUE VIVEM EM UM PAÍS COM PIB DE POUCO MAIS DE R$ 20 MILHÕES</t>
        </is>
      </c>
      <c r="J3559" t="inlineStr"/>
      <c r="K3559" t="n">
        <v>0</v>
      </c>
      <c r="L3559" t="n">
        <v>1</v>
      </c>
      <c r="M3559" t="n">
        <v>0</v>
      </c>
      <c r="N3559" t="n">
        <v>0</v>
      </c>
      <c r="O3559" t="n">
        <v>1</v>
      </c>
      <c r="P3559">
        <f>HYPERLINK("https://www.acritica.com/chegada-de-haitianos-e-fruto-da-politica-internacional-diz-especialista-1.170442", "URL")</f>
        <v/>
      </c>
      <c r="Q3559">
        <f>HYPERLINK("https://raw.githubusercontent.com/marcosmapl/dataset_imigrantes/main/materias_filtered/a_critica/haitianos/2012/00_jan/html/1.170442_142.html", "HTML")</f>
        <v/>
      </c>
      <c r="R3559">
        <f>HYPERLINK("https://raw.githubusercontent.com/marcosmapl/dataset_imigrantes/main/materias_filtered/a_critica/haitianos/2012/00_jan/txt/1.170442_142.txt", "TXT")</f>
        <v/>
      </c>
    </row>
    <row r="3560">
      <c r="A3560" s="1" t="n">
        <v>3558</v>
      </c>
      <c r="B3560" t="n">
        <v>2012</v>
      </c>
      <c r="C3560" s="2" t="n">
        <v>40938.41736111111</v>
      </c>
      <c r="D3560" t="inlineStr">
        <is>
          <t>G1</t>
        </is>
      </c>
      <c r="E3560" t="inlineStr">
        <is>
          <t>HAITIANOS</t>
        </is>
      </c>
      <c r="F3560" t="inlineStr"/>
      <c r="G3560" t="inlineStr">
        <is>
          <t>R ONLINE</t>
        </is>
      </c>
      <c r="H3560" t="inlineStr">
        <is>
          <t>GOVERNO FEDERAL LIBERA R$ 900 MIL PARA CUIDADOS COM HAITIANOS</t>
        </is>
      </c>
      <c r="I3560" t="inlineStr"/>
      <c r="J3560" t="inlineStr"/>
      <c r="K3560" t="n">
        <v>0</v>
      </c>
      <c r="L3560" t="n">
        <v>1</v>
      </c>
      <c r="M3560" t="n">
        <v>0</v>
      </c>
      <c r="N3560" t="n">
        <v>0</v>
      </c>
      <c r="O3560" t="n">
        <v>4</v>
      </c>
      <c r="P3560">
        <f>HYPERLINK("http://g1.globo.com/economia/noticia/2012/01/governo-federal-libera-r-900-mil-para-cuidados-com-haitianos.html", "URL")</f>
        <v/>
      </c>
      <c r="Q3560">
        <f>HYPERLINK("https://raw.githubusercontent.com/marcosmapl/dataset_imigrantes/main/materias_filtered/g1/haitianos/2012/00_jan/html/g1_b928e500-22f9-11ed-b24f-6dbe51e79fca_2181.html", "HTML")</f>
        <v/>
      </c>
      <c r="R3560">
        <f>HYPERLINK("https://raw.githubusercontent.com/marcosmapl/dataset_imigrantes/main/materias_filtered/g1/haitianos/2012/00_jan/txt/g1_b928e500-22f9-11ed-b24f-6dbe51e79fca_2181.txt", "TXT")</f>
        <v/>
      </c>
    </row>
    <row r="3561">
      <c r="A3561" s="1" t="n">
        <v>3559</v>
      </c>
      <c r="B3561" t="n">
        <v>2012</v>
      </c>
      <c r="C3561" s="2" t="n">
        <v>40937.84027777778</v>
      </c>
      <c r="D3561" t="inlineStr">
        <is>
          <t>G1</t>
        </is>
      </c>
      <c r="E3561" t="inlineStr">
        <is>
          <t>HAITIANOS</t>
        </is>
      </c>
      <c r="F3561" t="inlineStr"/>
      <c r="G3561" t="inlineStr">
        <is>
          <t>1 AM</t>
        </is>
      </c>
      <c r="H3561" t="inlineStr">
        <is>
          <t>MORTE DE HAITIANO EM MANAUS PODE TER MOTIVO PASSIONAL, DIZ POLÍCIA CIVIL</t>
        </is>
      </c>
      <c r="I3561" t="inlineStr"/>
      <c r="J3561" t="inlineStr"/>
      <c r="K3561" t="n">
        <v>0</v>
      </c>
      <c r="L3561" t="n">
        <v>0</v>
      </c>
      <c r="M3561" t="n">
        <v>0</v>
      </c>
      <c r="N3561" t="n">
        <v>0</v>
      </c>
      <c r="O3561" t="n">
        <v>5</v>
      </c>
      <c r="P3561">
        <f>HYPERLINK("http://g1.globo.com/am/amazonas/noticia/2012/01/morte-de-haitiano-em-manaus-pode-ter-motivo-passional-diz-policia-civil.html", "URL")</f>
        <v/>
      </c>
      <c r="Q3561">
        <f>HYPERLINK("https://raw.githubusercontent.com/marcosmapl/dataset_imigrantes/main/materias_filtered/g1/haitianos/2012/00_jan/html/g1_28a3e056-232c-11ed-b24f-6dbe51e79fca_4289.html", "HTML")</f>
        <v/>
      </c>
      <c r="R3561">
        <f>HYPERLINK("https://raw.githubusercontent.com/marcosmapl/dataset_imigrantes/main/materias_filtered/g1/haitianos/2012/00_jan/txt/g1_28a3e056-232c-11ed-b24f-6dbe51e79fca_4289.txt", "TXT")</f>
        <v/>
      </c>
    </row>
    <row r="3562">
      <c r="A3562" s="1" t="n">
        <v>3560</v>
      </c>
      <c r="B3562" t="n">
        <v>2012</v>
      </c>
      <c r="C3562" s="2" t="n">
        <v>40937.10069444445</v>
      </c>
      <c r="D3562" t="inlineStr">
        <is>
          <t>A CRITICA</t>
        </is>
      </c>
      <c r="E3562" t="inlineStr">
        <is>
          <t>HAITIANOS</t>
        </is>
      </c>
      <c r="F3562" t="inlineStr">
        <is>
          <t>MANAUS</t>
        </is>
      </c>
      <c r="G3562" t="inlineStr">
        <is>
          <t>CASSANDRA CASTRO E MARIA DERZI</t>
        </is>
      </c>
      <c r="H3562" t="inlineStr">
        <is>
          <t>HAITIANO LEVA TIRO E MORRE EM BAIRRO DA ZONA LESTE DE MANAUS</t>
        </is>
      </c>
      <c r="I3562" t="inlineStr">
        <is>
          <t>A VÍTIMA ESTAVA PERTO DA CASA ONDE MORAVA QUANDO DOIS HOMENS PASSARAM EM UMA MOTOCICLETA E ATIRARAM NELE. A FAMÍLIA DE INOLUS JÁ FOI AVISADA</t>
        </is>
      </c>
      <c r="J3562" t="inlineStr"/>
      <c r="K3562" t="n">
        <v>0</v>
      </c>
      <c r="L3562" t="n">
        <v>1</v>
      </c>
      <c r="M3562" t="n">
        <v>0</v>
      </c>
      <c r="N3562" t="n">
        <v>0</v>
      </c>
      <c r="O3562" t="n">
        <v>1</v>
      </c>
      <c r="P3562">
        <f>HYPERLINK("https://www.acritica.com/manaus/haitiano-leva-tiro-e-morre-em-bairro-da-zona-leste-de-manaus-1.169785", "URL")</f>
        <v/>
      </c>
      <c r="Q3562">
        <f>HYPERLINK("https://raw.githubusercontent.com/marcosmapl/dataset_imigrantes/main/materias_filtered/a_critica/haitianos/2012/00_jan/html/1.169785_828.html", "HTML")</f>
        <v/>
      </c>
      <c r="R3562">
        <f>HYPERLINK("https://raw.githubusercontent.com/marcosmapl/dataset_imigrantes/main/materias_filtered/a_critica/haitianos/2012/00_jan/txt/1.169785_828.txt", "TXT")</f>
        <v/>
      </c>
    </row>
    <row r="3563">
      <c r="A3563" s="1" t="n">
        <v>3561</v>
      </c>
      <c r="B3563" t="n">
        <v>2012</v>
      </c>
      <c r="C3563" s="2" t="n">
        <v>40936.79459490741</v>
      </c>
      <c r="D3563" t="inlineStr">
        <is>
          <t>A CRITICA</t>
        </is>
      </c>
      <c r="E3563" t="inlineStr">
        <is>
          <t>HAITIANOS</t>
        </is>
      </c>
      <c r="F3563" t="inlineStr">
        <is>
          <t>MANAUS</t>
        </is>
      </c>
      <c r="G3563" t="inlineStr">
        <is>
          <t>CASSANDRA CASTRO</t>
        </is>
      </c>
      <c r="H3563" t="inlineStr">
        <is>
          <t>SUPERINTENDÊNCIA REGIONAL DO TRABALHO FAZ MUTIRÃO PARA HAITIANOS</t>
        </is>
      </c>
      <c r="I3563" t="inlineStr">
        <is>
          <t>DURANTE TODA A MANHÃ DESTE SÁBADO (28), FUNCIONÁRIOS DA SRT-AM TRABALHARAM PARA PROVIDENCIAR EMISSÃO DE CARTEIRAS DE TRABALHO PARA HAITIANOS</t>
        </is>
      </c>
      <c r="J3563" t="inlineStr"/>
      <c r="K3563" t="n">
        <v>0</v>
      </c>
      <c r="L3563" t="n">
        <v>1</v>
      </c>
      <c r="M3563" t="n">
        <v>0</v>
      </c>
      <c r="N3563" t="n">
        <v>0</v>
      </c>
      <c r="O3563" t="n">
        <v>0</v>
      </c>
      <c r="P3563">
        <f>HYPERLINK("https://www.acritica.com/manaus/superintendencia-regional-do-trabalho-faz-mutir-o-para-haitianos-1.169753", "URL")</f>
        <v/>
      </c>
      <c r="Q3563">
        <f>HYPERLINK("https://raw.githubusercontent.com/marcosmapl/dataset_imigrantes/main/materias_filtered/a_critica/haitianos/2012/00_jan/html/1.169753_453.html", "HTML")</f>
        <v/>
      </c>
      <c r="R3563">
        <f>HYPERLINK("https://raw.githubusercontent.com/marcosmapl/dataset_imigrantes/main/materias_filtered/a_critica/haitianos/2012/00_jan/txt/1.169753_453.txt", "TXT")</f>
        <v/>
      </c>
    </row>
    <row r="3564">
      <c r="A3564" s="1" t="n">
        <v>3562</v>
      </c>
      <c r="B3564" t="n">
        <v>2012</v>
      </c>
      <c r="C3564" s="2" t="n">
        <v>40936.71303240741</v>
      </c>
      <c r="D3564" t="inlineStr">
        <is>
          <t>A CRITICA</t>
        </is>
      </c>
      <c r="E3564" t="inlineStr">
        <is>
          <t>HAITIANOS</t>
        </is>
      </c>
      <c r="F3564" t="inlineStr">
        <is>
          <t>AMAZONIA</t>
        </is>
      </c>
      <c r="G3564" t="inlineStr">
        <is>
          <t>LEANDRO PRAZERES</t>
        </is>
      </c>
      <c r="H3564" t="inlineStr">
        <is>
          <t>QUADRILHAS DE "COIOTES" JÁ ATUAM JUNTO AOS HAITIANOS QUE PROCURAM ENTRAR NO BRASIL</t>
        </is>
      </c>
      <c r="I3564" t="inlineStr">
        <is>
          <t>QUADRILHAS DE TRÁFICO DE PESSOAS JÁ ESTÃO ATUANDO EM ROTAS QUE OPERAM TANTO DENTRO QUANTO FORA DO BRASIL</t>
        </is>
      </c>
      <c r="J3564" t="inlineStr"/>
      <c r="K3564" t="n">
        <v>0</v>
      </c>
      <c r="L3564" t="n">
        <v>1</v>
      </c>
      <c r="M3564" t="n">
        <v>0</v>
      </c>
      <c r="N3564" t="n">
        <v>0</v>
      </c>
      <c r="O3564" t="n">
        <v>0</v>
      </c>
      <c r="P3564">
        <f>HYPERLINK("https://www.acritica.com/amazonia/quadrilhas-de-coiotes-ja-atuam-junto-aos-haitianos-que-procuram-entrar-no-brasil-1.169812", "URL")</f>
        <v/>
      </c>
      <c r="Q3564">
        <f>HYPERLINK("https://raw.githubusercontent.com/marcosmapl/dataset_imigrantes/main/materias_filtered/a_critica/haitianos/2012/00_jan/html/1.169812_274.html", "HTML")</f>
        <v/>
      </c>
      <c r="R3564">
        <f>HYPERLINK("https://raw.githubusercontent.com/marcosmapl/dataset_imigrantes/main/materias_filtered/a_critica/haitianos/2012/00_jan/txt/1.169812_274.txt", "TXT")</f>
        <v/>
      </c>
    </row>
    <row r="3565">
      <c r="A3565" s="1" t="n">
        <v>3563</v>
      </c>
      <c r="B3565" t="n">
        <v>2012</v>
      </c>
      <c r="C3565" s="2" t="n">
        <v>40936.64097222222</v>
      </c>
      <c r="D3565" t="inlineStr">
        <is>
          <t>G1</t>
        </is>
      </c>
      <c r="E3565" t="inlineStr">
        <is>
          <t>HAITIANOS</t>
        </is>
      </c>
      <c r="F3565" t="inlineStr"/>
      <c r="G3565" t="inlineStr">
        <is>
          <t>1 AM</t>
        </is>
      </c>
      <c r="H3565" t="inlineStr">
        <is>
          <t>PROFESSOR HAITIANO É MORTO A TIROS NA ZONA NORTE DE MANAUS</t>
        </is>
      </c>
      <c r="I3565" t="inlineStr"/>
      <c r="J3565" t="inlineStr"/>
      <c r="K3565" t="n">
        <v>0</v>
      </c>
      <c r="L3565" t="n">
        <v>0</v>
      </c>
      <c r="M3565" t="n">
        <v>0</v>
      </c>
      <c r="N3565" t="n">
        <v>0</v>
      </c>
      <c r="O3565" t="n">
        <v>7</v>
      </c>
      <c r="P3565">
        <f>HYPERLINK("http://g1.globo.com/am/amazonas/noticia/2012/01/professor-haitiano-e-morto-tiros-na-zona-norte-de-manaus.html", "URL")</f>
        <v/>
      </c>
      <c r="Q3565">
        <f>HYPERLINK("https://raw.githubusercontent.com/marcosmapl/dataset_imigrantes/main/materias_filtered/g1/haitianos/2012/00_jan/html/g1_57577fb2-231c-11ed-b24f-6dbe51e79fca_3441.html", "HTML")</f>
        <v/>
      </c>
      <c r="R3565">
        <f>HYPERLINK("https://raw.githubusercontent.com/marcosmapl/dataset_imigrantes/main/materias_filtered/g1/haitianos/2012/00_jan/txt/g1_57577fb2-231c-11ed-b24f-6dbe51e79fca_3441.txt", "TXT")</f>
        <v/>
      </c>
    </row>
    <row r="3566">
      <c r="A3566" s="1" t="n">
        <v>3564</v>
      </c>
      <c r="B3566" t="n">
        <v>2012</v>
      </c>
      <c r="C3566" s="2" t="n">
        <v>40936.55725694444</v>
      </c>
      <c r="D3566" t="inlineStr">
        <is>
          <t>A CRITICA</t>
        </is>
      </c>
      <c r="E3566" t="inlineStr">
        <is>
          <t>HAITIANOS</t>
        </is>
      </c>
      <c r="F3566" t="inlineStr">
        <is>
          <t>MANAUS</t>
        </is>
      </c>
      <c r="G3566" t="inlineStr">
        <is>
          <t>MARIANA LIMA</t>
        </is>
      </c>
      <c r="H3566" t="inlineStr">
        <is>
          <t>MORRE O PRIMEIRO HAITIANO EM MANAUS</t>
        </is>
      </c>
      <c r="I3566" t="inlineStr">
        <is>
          <t>UM RAPAZ, DE NOME NÃO IDENTIFICADO, MORREU NA ÚLTIMA SEGUNDA-FEIRA (23), NA FUNDAÇÃO DE MEDICINA TROPICAL DECORRENTE DE AIDS. ESTE É O PRIMEIRO ÓBITO REGISTRADO DE HAITIANOS NA CIDADE</t>
        </is>
      </c>
      <c r="J3566" t="inlineStr"/>
      <c r="K3566" t="n">
        <v>0</v>
      </c>
      <c r="L3566" t="n">
        <v>1</v>
      </c>
      <c r="M3566" t="n">
        <v>0</v>
      </c>
      <c r="N3566" t="n">
        <v>0</v>
      </c>
      <c r="O3566" t="n">
        <v>1</v>
      </c>
      <c r="P3566">
        <f>HYPERLINK("https://www.acritica.com/manaus/morre-o-primeiro-haitiano-em-manaus-1.170468", "URL")</f>
        <v/>
      </c>
      <c r="Q3566">
        <f>HYPERLINK("https://raw.githubusercontent.com/marcosmapl/dataset_imigrantes/main/materias_filtered/a_critica/haitianos/2012/00_jan/html/1.170468_844.html", "HTML")</f>
        <v/>
      </c>
      <c r="R3566">
        <f>HYPERLINK("https://raw.githubusercontent.com/marcosmapl/dataset_imigrantes/main/materias_filtered/a_critica/haitianos/2012/00_jan/txt/1.170468_844.txt", "TXT")</f>
        <v/>
      </c>
    </row>
    <row r="3567">
      <c r="A3567" s="1" t="n">
        <v>3565</v>
      </c>
      <c r="B3567" t="n">
        <v>2012</v>
      </c>
      <c r="C3567" s="2" t="n">
        <v>40936.32291666666</v>
      </c>
      <c r="D3567" t="inlineStr">
        <is>
          <t>G1</t>
        </is>
      </c>
      <c r="E3567" t="inlineStr">
        <is>
          <t>HAITIANOS</t>
        </is>
      </c>
      <c r="F3567" t="inlineStr"/>
      <c r="G3567" t="inlineStr">
        <is>
          <t>CIA ESTADO</t>
        </is>
      </c>
      <c r="H3567" t="inlineStr">
        <is>
          <t>PF DEPORTA DOIS HAITIANOS EM CUMBICA</t>
        </is>
      </c>
      <c r="I3567" t="inlineStr"/>
      <c r="J3567" t="inlineStr"/>
      <c r="K3567" t="n">
        <v>0</v>
      </c>
      <c r="L3567" t="n">
        <v>1</v>
      </c>
      <c r="M3567" t="n">
        <v>0</v>
      </c>
      <c r="N3567" t="n">
        <v>0</v>
      </c>
      <c r="O3567" t="n">
        <v>4</v>
      </c>
      <c r="P3567">
        <f>HYPERLINK("http://g1.globo.com/brasil/noticia/2012/01/pf-deporta-dois-haitianos-em-cumbica.html", "URL")</f>
        <v/>
      </c>
      <c r="Q3567">
        <f>HYPERLINK("https://raw.githubusercontent.com/marcosmapl/dataset_imigrantes/main/materias_filtered/g1/haitianos/2012/00_jan/html/g1_e8e798f2-22f6-11ed-b24f-6dbe51e79fca_2047.html", "HTML")</f>
        <v/>
      </c>
      <c r="R3567">
        <f>HYPERLINK("https://raw.githubusercontent.com/marcosmapl/dataset_imigrantes/main/materias_filtered/g1/haitianos/2012/00_jan/txt/g1_e8e798f2-22f6-11ed-b24f-6dbe51e79fca_2047.txt", "TXT")</f>
        <v/>
      </c>
    </row>
    <row r="3568">
      <c r="A3568" s="1" t="n">
        <v>3566</v>
      </c>
      <c r="B3568" t="n">
        <v>2012</v>
      </c>
      <c r="C3568" s="2" t="n">
        <v>40935.96299768519</v>
      </c>
      <c r="D3568" t="inlineStr">
        <is>
          <t>A CRITICA</t>
        </is>
      </c>
      <c r="E3568" t="inlineStr">
        <is>
          <t>HAITIANOS</t>
        </is>
      </c>
      <c r="F3568" t="inlineStr">
        <is>
          <t>MANAUS</t>
        </is>
      </c>
      <c r="G3568" t="inlineStr">
        <is>
          <t>ACRÍTICA.COM</t>
        </is>
      </c>
      <c r="H3568" t="inlineStr">
        <is>
          <t>GOVERNO DO AMAZONAS ANUNCIA APOIO AOS HAITIANOS EM MANAUS</t>
        </is>
      </c>
      <c r="I3568" t="inlineStr">
        <is>
          <t>SERÃO DISPONIBILIZADOS APROXIMADAMENTE R$ 400 MIL PARA ALUGUEL DE ABRIGO, ALÉM DE COMPRAS DE MANTIMENTOS E DOAÇÃO DE 300 COLCHÕES</t>
        </is>
      </c>
      <c r="J3568" t="inlineStr"/>
      <c r="K3568" t="n">
        <v>0</v>
      </c>
      <c r="L3568" t="n">
        <v>1</v>
      </c>
      <c r="M3568" t="n">
        <v>0</v>
      </c>
      <c r="N3568" t="n">
        <v>0</v>
      </c>
      <c r="O3568" t="n">
        <v>0</v>
      </c>
      <c r="P3568">
        <f>HYPERLINK("https://www.acritica.com/manaus/governo-do-amazonas-anuncia-apoio-aos-haitianos-em-manaus-1.169819", "URL")</f>
        <v/>
      </c>
      <c r="Q3568">
        <f>HYPERLINK("https://raw.githubusercontent.com/marcosmapl/dataset_imigrantes/main/materias_filtered/a_critica/haitianos/2012/00_jan/html/1.169819_663.html", "HTML")</f>
        <v/>
      </c>
      <c r="R3568">
        <f>HYPERLINK("https://raw.githubusercontent.com/marcosmapl/dataset_imigrantes/main/materias_filtered/a_critica/haitianos/2012/00_jan/txt/1.169819_663.txt", "TXT")</f>
        <v/>
      </c>
    </row>
    <row r="3569">
      <c r="A3569" s="1" t="n">
        <v>3567</v>
      </c>
      <c r="B3569" t="n">
        <v>2012</v>
      </c>
      <c r="C3569" s="2" t="n">
        <v>40935.7931712963</v>
      </c>
      <c r="D3569" t="inlineStr">
        <is>
          <t>A CRITICA</t>
        </is>
      </c>
      <c r="E3569" t="inlineStr">
        <is>
          <t>HAITIANOS</t>
        </is>
      </c>
      <c r="F3569" t="inlineStr">
        <is>
          <t>AMAZONIA</t>
        </is>
      </c>
      <c r="G3569" t="inlineStr">
        <is>
          <t>ELAÍZE FARIAS</t>
        </is>
      </c>
      <c r="H3569" t="inlineStr">
        <is>
          <t>SRTE DO AMAZONAS ACOMPANHARÁ RECRUTAMENTO DE HAITIANOS PARA OUTROS ESTADOS</t>
        </is>
      </c>
      <c r="I3569" t="inlineStr">
        <is>
          <t>CONTRATAÇÃO DE IMIGRANTES DEVE OBEDECER NORMAS POR PARTE DAS EMPRESAS. ATÉ AGORA, DUAS EMPRESAS JÁ ENTRARAM EM CONTATO COM A SRTA</t>
        </is>
      </c>
      <c r="J3569" t="inlineStr"/>
      <c r="K3569" t="n">
        <v>0</v>
      </c>
      <c r="L3569" t="n">
        <v>1</v>
      </c>
      <c r="M3569" t="n">
        <v>0</v>
      </c>
      <c r="N3569" t="n">
        <v>0</v>
      </c>
      <c r="O3569" t="n">
        <v>1</v>
      </c>
      <c r="P3569">
        <f>HYPERLINK("https://www.acritica.com/amazonia/srte-do-amazonas-acompanhara-recrutamento-de-haitianos-para-outros-estados-1.169612", "URL")</f>
        <v/>
      </c>
      <c r="Q3569">
        <f>HYPERLINK("https://raw.githubusercontent.com/marcosmapl/dataset_imigrantes/main/materias_filtered/a_critica/haitianos/2012/00_jan/html/1.169612_1287.html", "HTML")</f>
        <v/>
      </c>
      <c r="R3569">
        <f>HYPERLINK("https://raw.githubusercontent.com/marcosmapl/dataset_imigrantes/main/materias_filtered/a_critica/haitianos/2012/00_jan/txt/1.169612_1287.txt", "TXT")</f>
        <v/>
      </c>
    </row>
    <row r="3570">
      <c r="A3570" s="1" t="n">
        <v>3568</v>
      </c>
      <c r="B3570" t="n">
        <v>2012</v>
      </c>
      <c r="C3570" s="2" t="n">
        <v>40935.70972222222</v>
      </c>
      <c r="D3570" t="inlineStr">
        <is>
          <t>G1</t>
        </is>
      </c>
      <c r="E3570" t="inlineStr">
        <is>
          <t>HAITIANOS</t>
        </is>
      </c>
      <c r="F3570" t="inlineStr"/>
      <c r="G3570" t="inlineStr">
        <is>
          <t>1 AM</t>
        </is>
      </c>
      <c r="H3570" t="inlineStr">
        <is>
          <t>UNIVERSIDADE FEDERAL DO AMAZONAS LANÇARÁ EDITAL PARA APOIAR HAITIANOS</t>
        </is>
      </c>
      <c r="I3570" t="inlineStr"/>
      <c r="J3570" t="inlineStr"/>
      <c r="K3570" t="n">
        <v>0</v>
      </c>
      <c r="L3570" t="n">
        <v>1</v>
      </c>
      <c r="M3570" t="n">
        <v>0</v>
      </c>
      <c r="N3570" t="n">
        <v>0</v>
      </c>
      <c r="O3570" t="n">
        <v>8</v>
      </c>
      <c r="P3570">
        <f>HYPERLINK("http://g1.globo.com/am/amazonas/noticia/2012/01/universidade-federal-do-amazonas-lancara-edital-para-apoiar-haitianos.html", "URL")</f>
        <v/>
      </c>
      <c r="Q3570">
        <f>HYPERLINK("https://raw.githubusercontent.com/marcosmapl/dataset_imigrantes/main/materias_filtered/g1/haitianos/2012/00_jan/html/g1_b5070e46-22f6-11ed-b24f-6dbe51e79fca_2031.html", "HTML")</f>
        <v/>
      </c>
      <c r="R3570">
        <f>HYPERLINK("https://raw.githubusercontent.com/marcosmapl/dataset_imigrantes/main/materias_filtered/g1/haitianos/2012/00_jan/txt/g1_b5070e46-22f6-11ed-b24f-6dbe51e79fca_2031.txt", "TXT")</f>
        <v/>
      </c>
    </row>
    <row r="3571">
      <c r="A3571" s="1" t="n">
        <v>3569</v>
      </c>
      <c r="B3571" t="n">
        <v>2012</v>
      </c>
      <c r="C3571" s="2" t="n">
        <v>40935.50972222222</v>
      </c>
      <c r="D3571" t="inlineStr">
        <is>
          <t>G1</t>
        </is>
      </c>
      <c r="E3571" t="inlineStr">
        <is>
          <t>HAITIANOS</t>
        </is>
      </c>
      <c r="F3571" t="inlineStr"/>
      <c r="G3571" t="inlineStr">
        <is>
          <t>OS EDUARDO MATOSDO G1 AM</t>
        </is>
      </c>
      <c r="H3571" t="inlineStr">
        <is>
          <t>MORTE DE HAITIANO COM HIV DEIXA SAÚDE PÚBLICA EM ALERTA NO AMAZONAS</t>
        </is>
      </c>
      <c r="I3571" t="inlineStr"/>
      <c r="J3571" t="inlineStr"/>
      <c r="K3571" t="n">
        <v>0</v>
      </c>
      <c r="L3571" t="n">
        <v>0</v>
      </c>
      <c r="M3571" t="n">
        <v>0</v>
      </c>
      <c r="N3571" t="n">
        <v>0</v>
      </c>
      <c r="O3571" t="n">
        <v>4</v>
      </c>
      <c r="P3571">
        <f>HYPERLINK("http://g1.globo.com/am/amazonas/noticia/2012/01/morte-de-haitiano-com-hiv-deixa-saude-publica-em-alerta-no-amazonas.html", "URL")</f>
        <v/>
      </c>
      <c r="Q3571">
        <f>HYPERLINK("https://raw.githubusercontent.com/marcosmapl/dataset_imigrantes/main/materias_filtered/g1/haitianos/2012/00_jan/html/g1_a8175ec2-231c-11ed-b24f-6dbe51e79fca_3458.html", "HTML")</f>
        <v/>
      </c>
      <c r="R3571">
        <f>HYPERLINK("https://raw.githubusercontent.com/marcosmapl/dataset_imigrantes/main/materias_filtered/g1/haitianos/2012/00_jan/txt/g1_a8175ec2-231c-11ed-b24f-6dbe51e79fca_3458.txt", "TXT")</f>
        <v/>
      </c>
    </row>
    <row r="3572">
      <c r="A3572" s="1" t="n">
        <v>3570</v>
      </c>
      <c r="B3572" t="n">
        <v>2012</v>
      </c>
      <c r="C3572" s="2" t="n">
        <v>40935.48284722222</v>
      </c>
      <c r="D3572" t="inlineStr">
        <is>
          <t>A CRITICA</t>
        </is>
      </c>
      <c r="E3572" t="inlineStr">
        <is>
          <t>HAITIANOS</t>
        </is>
      </c>
      <c r="F3572" t="inlineStr">
        <is>
          <t>AMAZONIA</t>
        </is>
      </c>
      <c r="G3572" t="inlineStr">
        <is>
          <t>LEANDRO PRAZERES</t>
        </is>
      </c>
      <c r="H3572" t="inlineStr">
        <is>
          <t>IMIGRANTES HAITIANOS RESISTEM ÀS TENTAÇÕES DO MUNDO DO NARCOTRÁFICO EXISTENTE NO INTERIOR DO AMAZONAS</t>
        </is>
      </c>
      <c r="I3572" t="inlineStr">
        <is>
          <t>ENTRE A POBREZA E A DESESPERANÇA, A COMUNIDADE HAITIANA NÃO SE RENDE AO TENTADOR E PERIGOSO MUNDO DO TRÁFICO DE DROGAS</t>
        </is>
      </c>
      <c r="J3572" t="inlineStr"/>
      <c r="K3572" t="n">
        <v>0</v>
      </c>
      <c r="L3572" t="n">
        <v>1</v>
      </c>
      <c r="M3572" t="n">
        <v>0</v>
      </c>
      <c r="N3572" t="n">
        <v>0</v>
      </c>
      <c r="O3572" t="n">
        <v>0</v>
      </c>
      <c r="P3572">
        <f>HYPERLINK("https://www.acritica.com/amazonia/imigrantes-haitianos-resistem-as-tentac-es-do-mundo-do-narcotrafico-existente-no-interior-do-amazonas-1.169688", "URL")</f>
        <v/>
      </c>
      <c r="Q3572">
        <f>HYPERLINK("https://raw.githubusercontent.com/marcosmapl/dataset_imigrantes/main/materias_filtered/a_critica/haitianos/2012/00_jan/html/1.169688_1238.html", "HTML")</f>
        <v/>
      </c>
      <c r="R3572">
        <f>HYPERLINK("https://raw.githubusercontent.com/marcosmapl/dataset_imigrantes/main/materias_filtered/a_critica/haitianos/2012/00_jan/txt/1.169688_1238.txt", "TXT")</f>
        <v/>
      </c>
    </row>
    <row r="3573">
      <c r="A3573" s="1" t="n">
        <v>3571</v>
      </c>
      <c r="B3573" t="n">
        <v>2012</v>
      </c>
      <c r="C3573" s="2" t="n">
        <v>40934.52670138889</v>
      </c>
      <c r="D3573" t="inlineStr">
        <is>
          <t>A CRITICA</t>
        </is>
      </c>
      <c r="E3573" t="inlineStr">
        <is>
          <t>HAITIANOS</t>
        </is>
      </c>
      <c r="F3573" t="inlineStr">
        <is>
          <t>MANAUS</t>
        </is>
      </c>
      <c r="G3573" t="inlineStr">
        <is>
          <t>FELIPE LIBÓRIO</t>
        </is>
      </c>
      <c r="H3573" t="inlineStr">
        <is>
          <t>COLOCAÇÃO NO MERCADO DE TRABALHO É SINÔNIMO DE RECOMEÇO PARA HAITIANOS QUE VIVEM EM MANAUS</t>
        </is>
      </c>
      <c r="I3573" t="inlineStr">
        <is>
          <t>MAIS QUE SOBREVIVÊNCIA, CONSEGUIR EMPREGO É O INÍCIO DE UM PROCESSO DE RECONSTRUÇÃO DA VIDA DE QUEM VEIO A MANAUS</t>
        </is>
      </c>
      <c r="J3573" t="inlineStr"/>
      <c r="K3573" t="n">
        <v>0</v>
      </c>
      <c r="L3573" t="n">
        <v>1</v>
      </c>
      <c r="M3573" t="n">
        <v>0</v>
      </c>
      <c r="N3573" t="n">
        <v>0</v>
      </c>
      <c r="O3573" t="n">
        <v>0</v>
      </c>
      <c r="P3573">
        <f>HYPERLINK("https://www.acritica.com/manaus/colocac-o-no-mercado-de-trabalho-e-sinonimo-de-recomeco-para-haitianos-que-vivem-em-manaus-1.104055", "URL")</f>
        <v/>
      </c>
      <c r="Q3573">
        <f>HYPERLINK("https://raw.githubusercontent.com/marcosmapl/dataset_imigrantes/main/materias_filtered/a_critica/haitianos/2012/00_jan/html/1.104055_1293.html", "HTML")</f>
        <v/>
      </c>
      <c r="R3573">
        <f>HYPERLINK("https://raw.githubusercontent.com/marcosmapl/dataset_imigrantes/main/materias_filtered/a_critica/haitianos/2012/00_jan/txt/1.104055_1293.txt", "TXT")</f>
        <v/>
      </c>
    </row>
    <row r="3574">
      <c r="A3574" s="1" t="n">
        <v>3572</v>
      </c>
      <c r="B3574" t="n">
        <v>2012</v>
      </c>
      <c r="C3574" s="2" t="n">
        <v>40934.50451388889</v>
      </c>
      <c r="D3574" t="inlineStr">
        <is>
          <t>A CRITICA</t>
        </is>
      </c>
      <c r="E3574" t="inlineStr">
        <is>
          <t>HAITIANOS</t>
        </is>
      </c>
      <c r="F3574" t="inlineStr">
        <is>
          <t>MANAUS</t>
        </is>
      </c>
      <c r="G3574" t="inlineStr">
        <is>
          <t>FELIPE LIBÓRIO</t>
        </is>
      </c>
      <c r="H3574" t="inlineStr">
        <is>
          <t>HAITIANOS QUE CHEGARAM NA ÚLTIMA TERÇA-FEIRA A MANAUS RECEBEM APOIO</t>
        </is>
      </c>
      <c r="I3574" t="inlineStr">
        <is>
          <t>GRUPO DE 208 HAITIANOS COMEÇA A SE AMBIENTAR À CIDADE. O APOIO VEM DE COMPATRIOTAS QUE ESTÃO HÁ MAIS TEMPO EM MANAUS , DA IGREJA E COMUNIDADE</t>
        </is>
      </c>
      <c r="J3574" t="inlineStr"/>
      <c r="K3574" t="n">
        <v>0</v>
      </c>
      <c r="L3574" t="n">
        <v>1</v>
      </c>
      <c r="M3574" t="n">
        <v>0</v>
      </c>
      <c r="N3574" t="n">
        <v>0</v>
      </c>
      <c r="O3574" t="n">
        <v>0</v>
      </c>
      <c r="P3574">
        <f>HYPERLINK("https://www.acritica.com/manaus/haitianos-que-chegaram-na-ultima-terca-feira-a-manaus-recebem-apoio-1.104063", "URL")</f>
        <v/>
      </c>
      <c r="Q3574">
        <f>HYPERLINK("https://raw.githubusercontent.com/marcosmapl/dataset_imigrantes/main/materias_filtered/a_critica/haitianos/2012/00_jan/html/1.104063_1010.html", "HTML")</f>
        <v/>
      </c>
      <c r="R3574">
        <f>HYPERLINK("https://raw.githubusercontent.com/marcosmapl/dataset_imigrantes/main/materias_filtered/a_critica/haitianos/2012/00_jan/txt/1.104063_1010.txt", "TXT")</f>
        <v/>
      </c>
    </row>
    <row r="3575">
      <c r="A3575" s="1" t="n">
        <v>3573</v>
      </c>
      <c r="B3575" t="n">
        <v>2012</v>
      </c>
      <c r="C3575" s="2" t="n">
        <v>40933.98611111111</v>
      </c>
      <c r="D3575" t="inlineStr">
        <is>
          <t>G1</t>
        </is>
      </c>
      <c r="E3575" t="inlineStr">
        <is>
          <t>HAITIANOS</t>
        </is>
      </c>
      <c r="F3575" t="inlineStr"/>
      <c r="G3575" t="inlineStr">
        <is>
          <t>NA SOUZADO G1 AM</t>
        </is>
      </c>
      <c r="H3575" t="inlineStr">
        <is>
          <t>GOVERNADOR DO AM DIZ PARA 'GOVERNO FEDERAL LEVAR HAITIANOS PARA BRASÍLIA'</t>
        </is>
      </c>
      <c r="I3575" t="inlineStr"/>
      <c r="J3575" t="inlineStr"/>
      <c r="K3575" t="n">
        <v>0</v>
      </c>
      <c r="L3575" t="n">
        <v>1</v>
      </c>
      <c r="M3575" t="n">
        <v>0</v>
      </c>
      <c r="N3575" t="n">
        <v>0</v>
      </c>
      <c r="O3575" t="n">
        <v>11</v>
      </c>
      <c r="P3575">
        <f>HYPERLINK("http://g1.globo.com/am/amazonas/noticia/2012/01/governador-do-am-diz-para-governo-federal-levar-haitianos-para-brasilia.html", "URL")</f>
        <v/>
      </c>
      <c r="Q3575">
        <f>HYPERLINK("https://raw.githubusercontent.com/marcosmapl/dataset_imigrantes/main/materias_filtered/g1/haitianos/2012/00_jan/html/g1_e9835e74-2317-11ed-b24f-6dbe51e79fca_3234.html", "HTML")</f>
        <v/>
      </c>
      <c r="R3575">
        <f>HYPERLINK("https://raw.githubusercontent.com/marcosmapl/dataset_imigrantes/main/materias_filtered/g1/haitianos/2012/00_jan/txt/g1_e9835e74-2317-11ed-b24f-6dbe51e79fca_3234.txt", "TXT")</f>
        <v/>
      </c>
    </row>
    <row r="3576">
      <c r="A3576" s="1" t="n">
        <v>3574</v>
      </c>
      <c r="B3576" t="n">
        <v>2012</v>
      </c>
      <c r="C3576" s="2" t="n">
        <v>40933.89791666667</v>
      </c>
      <c r="D3576" t="inlineStr">
        <is>
          <t>G1</t>
        </is>
      </c>
      <c r="E3576" t="inlineStr">
        <is>
          <t>HAITIANOS</t>
        </is>
      </c>
      <c r="F3576" t="inlineStr"/>
      <c r="G3576" t="inlineStr">
        <is>
          <t>EL SCOLADA RBS TV</t>
        </is>
      </c>
      <c r="H3576" t="inlineStr">
        <is>
          <t>HAITIANOS REFUGIADOS COMEÇAM A TRABALHAR NO RIO GRANDE DO SUL</t>
        </is>
      </c>
      <c r="I3576" t="inlineStr"/>
      <c r="J3576" t="inlineStr">
        <is>
          <t>HAITI, RIO GRANDE DO SUL, GRAVATAÍ</t>
        </is>
      </c>
      <c r="K3576" t="n">
        <v>3</v>
      </c>
      <c r="L3576" t="n">
        <v>0</v>
      </c>
      <c r="M3576" t="n">
        <v>0</v>
      </c>
      <c r="N3576" t="n">
        <v>0</v>
      </c>
      <c r="O3576" t="n">
        <v>13</v>
      </c>
      <c r="P3576">
        <f>HYPERLINK("http://g1.globo.com/rs/rio-grande-do-sul/noticia/2012/01/haitianos-refugiados-comecam-trabalhar-no-rio-grande-do-sul.html", "URL")</f>
        <v/>
      </c>
      <c r="Q3576">
        <f>HYPERLINK("https://raw.githubusercontent.com/marcosmapl/dataset_imigrantes/main/materias_filtered/g1/haitianos/2012/00_jan/html/g1_6955cb5a-22fa-11ed-b24f-6dbe51e79fca_2218.html", "HTML")</f>
        <v/>
      </c>
      <c r="R3576">
        <f>HYPERLINK("https://raw.githubusercontent.com/marcosmapl/dataset_imigrantes/main/materias_filtered/g1/haitianos/2012/00_jan/txt/g1_6955cb5a-22fa-11ed-b24f-6dbe51e79fca_2218.txt", "TXT")</f>
        <v/>
      </c>
    </row>
    <row r="3577">
      <c r="A3577" s="1" t="n">
        <v>3575</v>
      </c>
      <c r="B3577" t="n">
        <v>2012</v>
      </c>
      <c r="C3577" s="2" t="n">
        <v>40933.87628472222</v>
      </c>
      <c r="D3577" t="inlineStr">
        <is>
          <t>A CRITICA</t>
        </is>
      </c>
      <c r="E3577" t="inlineStr">
        <is>
          <t>HAITIANOS</t>
        </is>
      </c>
      <c r="F3577" t="inlineStr">
        <is>
          <t>AMAZONIA</t>
        </is>
      </c>
      <c r="G3577" t="inlineStr">
        <is>
          <t>ELAÍZE FARIAS</t>
        </is>
      </c>
      <c r="H3577" t="inlineStr">
        <is>
          <t>GOVERNO FEDERAL ENVIARÁ MISSÃO AO AMAZONAS PARA AVALIAR SITUAÇÃO DOS HAITIANOS, DIZ MDS</t>
        </is>
      </c>
      <c r="I3577" t="inlineStr">
        <is>
          <t>NESTA QUINTA-FEIRA, O GOVERNADOR OMAR AZIZ DEFENDEU QUE É PAPEL DO GOVERNO FEDERAL AJUDAR IMIGRANTES HAITIANOS</t>
        </is>
      </c>
      <c r="J3577" t="inlineStr"/>
      <c r="K3577" t="n">
        <v>0</v>
      </c>
      <c r="L3577" t="n">
        <v>1</v>
      </c>
      <c r="M3577" t="n">
        <v>0</v>
      </c>
      <c r="N3577" t="n">
        <v>0</v>
      </c>
      <c r="O3577" t="n">
        <v>0</v>
      </c>
      <c r="P3577">
        <f>HYPERLINK("https://www.acritica.com/amazonia/governo-federal-enviara-miss-o-ao-amazonas-para-avaliar-situac-o-dos-haitianos-diz-mds-1.104180", "URL")</f>
        <v/>
      </c>
      <c r="Q3577">
        <f>HYPERLINK("https://raw.githubusercontent.com/marcosmapl/dataset_imigrantes/main/materias_filtered/a_critica/haitianos/2012/00_jan/html/1.104180_359.html", "HTML")</f>
        <v/>
      </c>
      <c r="R3577">
        <f>HYPERLINK("https://raw.githubusercontent.com/marcosmapl/dataset_imigrantes/main/materias_filtered/a_critica/haitianos/2012/00_jan/txt/1.104180_359.txt", "TXT")</f>
        <v/>
      </c>
    </row>
    <row r="3578">
      <c r="A3578" s="1" t="n">
        <v>3576</v>
      </c>
      <c r="B3578" t="n">
        <v>2012</v>
      </c>
      <c r="C3578" s="2" t="n">
        <v>40933.85107638889</v>
      </c>
      <c r="D3578" t="inlineStr">
        <is>
          <t>A CRITICA</t>
        </is>
      </c>
      <c r="E3578" t="inlineStr">
        <is>
          <t>HAITIANOS</t>
        </is>
      </c>
      <c r="F3578" t="inlineStr">
        <is>
          <t>AMAZONIA</t>
        </is>
      </c>
      <c r="G3578" t="inlineStr">
        <is>
          <t>SÍNTIA MACIEL E JOELMA MUNIZ</t>
        </is>
      </c>
      <c r="H3578" t="inlineStr">
        <is>
          <t>GOVERNADOR DO AMAZONAS AFIRMA QUE REFUGIADOS HAITIANOS SÃO PROBLEMA DO GOVERNO FEDERAL</t>
        </is>
      </c>
      <c r="I3578" t="inlineStr">
        <is>
          <t>APESAR DAS CRÍTICAS, OMAR AZIZ SE DISSE SOLIDÁRIO AOS IMIGRANTES E QUE ESTÁ DISPOSTO A COLABORAR</t>
        </is>
      </c>
      <c r="J3578" t="inlineStr"/>
      <c r="K3578" t="n">
        <v>0</v>
      </c>
      <c r="L3578" t="n">
        <v>1</v>
      </c>
      <c r="M3578" t="n">
        <v>0</v>
      </c>
      <c r="N3578" t="n">
        <v>0</v>
      </c>
      <c r="O3578" t="n">
        <v>1</v>
      </c>
      <c r="P3578">
        <f>HYPERLINK("https://www.acritica.com/amazonia/governador-do-amazonas-afirma-que-refugiados-haitianos-s-o-problema-do-governo-federal-1.104204", "URL")</f>
        <v/>
      </c>
      <c r="Q3578">
        <f>HYPERLINK("https://raw.githubusercontent.com/marcosmapl/dataset_imigrantes/main/materias_filtered/a_critica/haitianos/2012/00_jan/html/1.104204_1253.html", "HTML")</f>
        <v/>
      </c>
      <c r="R3578">
        <f>HYPERLINK("https://raw.githubusercontent.com/marcosmapl/dataset_imigrantes/main/materias_filtered/a_critica/haitianos/2012/00_jan/txt/1.104204_1253.txt", "TXT")</f>
        <v/>
      </c>
    </row>
    <row r="3579">
      <c r="A3579" s="1" t="n">
        <v>3577</v>
      </c>
      <c r="B3579" t="n">
        <v>2012</v>
      </c>
      <c r="C3579" s="2" t="n">
        <v>40933.775</v>
      </c>
      <c r="D3579" t="inlineStr">
        <is>
          <t>G1</t>
        </is>
      </c>
      <c r="E3579" t="inlineStr">
        <is>
          <t>HAITIANOS</t>
        </is>
      </c>
      <c r="F3579" t="inlineStr"/>
      <c r="G3579" t="inlineStr">
        <is>
          <t>ERS</t>
        </is>
      </c>
      <c r="H3579" t="inlineStr">
        <is>
          <t>BRASIL DISCUTIRÁ IMIGRAÇÃO COM AUTORIDADES HAITIANAS--PATRIOTA</t>
        </is>
      </c>
      <c r="I3579" t="inlineStr"/>
      <c r="J3579" t="inlineStr"/>
      <c r="K3579" t="n">
        <v>0</v>
      </c>
      <c r="L3579" t="n">
        <v>1</v>
      </c>
      <c r="M3579" t="n">
        <v>0</v>
      </c>
      <c r="N3579" t="n">
        <v>0</v>
      </c>
      <c r="O3579" t="n">
        <v>4</v>
      </c>
      <c r="P3579">
        <f>HYPERLINK("http://g1.globo.com/politica/noticia/2012/01/brasil-discutira-imigracao-com-autoridades-haitianas-patriota-6.html", "URL")</f>
        <v/>
      </c>
      <c r="Q3579">
        <f>HYPERLINK("https://raw.githubusercontent.com/marcosmapl/dataset_imigrantes/main/materias_filtered/g1/haitianos/2012/00_jan/html/g1_867af080-230d-11ed-b24f-6dbe51e79fca_2694.html", "HTML")</f>
        <v/>
      </c>
      <c r="R3579">
        <f>HYPERLINK("https://raw.githubusercontent.com/marcosmapl/dataset_imigrantes/main/materias_filtered/g1/haitianos/2012/00_jan/txt/g1_867af080-230d-11ed-b24f-6dbe51e79fca_2694.txt", "TXT")</f>
        <v/>
      </c>
    </row>
    <row r="3580">
      <c r="A3580" s="1" t="n">
        <v>3578</v>
      </c>
      <c r="B3580" t="n">
        <v>2012</v>
      </c>
      <c r="C3580" s="2" t="n">
        <v>40933.77152777778</v>
      </c>
      <c r="D3580" t="inlineStr">
        <is>
          <t>G1</t>
        </is>
      </c>
      <c r="E3580" t="inlineStr">
        <is>
          <t>HAITIANOS</t>
        </is>
      </c>
      <c r="F3580" t="inlineStr"/>
      <c r="G3580" t="inlineStr">
        <is>
          <t>ERS</t>
        </is>
      </c>
      <c r="H3580" t="inlineStr">
        <is>
          <t>BRASIL DISCUTIRÁ IMIGRAÇÃO COM AUTORIDADES HAITIANAS--PATRIOTA</t>
        </is>
      </c>
      <c r="I3580" t="inlineStr"/>
      <c r="J3580" t="inlineStr"/>
      <c r="K3580" t="n">
        <v>0</v>
      </c>
      <c r="L3580" t="n">
        <v>1</v>
      </c>
      <c r="M3580" t="n">
        <v>0</v>
      </c>
      <c r="N3580" t="n">
        <v>0</v>
      </c>
      <c r="O3580" t="n">
        <v>4</v>
      </c>
      <c r="P3580">
        <f>HYPERLINK("http://g1.globo.com/mundo/noticia/2012/01/brasil-discutira-imigracao-com-autoridades-haitianas-patriota-5.html", "URL")</f>
        <v/>
      </c>
      <c r="Q3580">
        <f>HYPERLINK("https://raw.githubusercontent.com/marcosmapl/dataset_imigrantes/main/materias_filtered/g1/haitianos/2012/00_jan/html/g1_2847020e-22ec-11ed-b24f-6dbe51e79fca_1648.html", "HTML")</f>
        <v/>
      </c>
      <c r="R3580">
        <f>HYPERLINK("https://raw.githubusercontent.com/marcosmapl/dataset_imigrantes/main/materias_filtered/g1/haitianos/2012/00_jan/txt/g1_2847020e-22ec-11ed-b24f-6dbe51e79fca_1648.txt", "TXT")</f>
        <v/>
      </c>
    </row>
    <row r="3581">
      <c r="A3581" s="1" t="n">
        <v>3579</v>
      </c>
      <c r="B3581" t="n">
        <v>2012</v>
      </c>
      <c r="C3581" s="2" t="n">
        <v>40933.77152777778</v>
      </c>
      <c r="D3581" t="inlineStr">
        <is>
          <t>G1</t>
        </is>
      </c>
      <c r="E3581" t="inlineStr">
        <is>
          <t>HAITIANOS</t>
        </is>
      </c>
      <c r="F3581" t="inlineStr"/>
      <c r="G3581" t="inlineStr">
        <is>
          <t>ERS</t>
        </is>
      </c>
      <c r="H3581" t="inlineStr">
        <is>
          <t>BRASIL DISCUTIRÁ IMIGRAÇÃO COM AUTORIDADES HAITIANAS--PATRIOTA</t>
        </is>
      </c>
      <c r="I3581" t="inlineStr"/>
      <c r="J3581" t="inlineStr"/>
      <c r="K3581" t="n">
        <v>0</v>
      </c>
      <c r="L3581" t="n">
        <v>1</v>
      </c>
      <c r="M3581" t="n">
        <v>0</v>
      </c>
      <c r="N3581" t="n">
        <v>0</v>
      </c>
      <c r="O3581" t="n">
        <v>4</v>
      </c>
      <c r="P3581">
        <f>HYPERLINK("http://g1.globo.com/mundo/noticia/2012/01/brasil-discutira-imigracao-com-autoridades-haitianas-patriota-4.html", "URL")</f>
        <v/>
      </c>
      <c r="Q3581">
        <f>HYPERLINK("https://raw.githubusercontent.com/marcosmapl/dataset_imigrantes/main/materias_filtered/g1/haitianos/2012/00_jan/html/g1_2232a1a8-2322-11ed-b24f-6dbe51e79fca_3736.html", "HTML")</f>
        <v/>
      </c>
      <c r="R3581">
        <f>HYPERLINK("https://raw.githubusercontent.com/marcosmapl/dataset_imigrantes/main/materias_filtered/g1/haitianos/2012/00_jan/txt/g1_2232a1a8-2322-11ed-b24f-6dbe51e79fca_3736.txt", "TXT")</f>
        <v/>
      </c>
    </row>
    <row r="3582">
      <c r="A3582" s="1" t="n">
        <v>3580</v>
      </c>
      <c r="B3582" t="n">
        <v>2012</v>
      </c>
      <c r="C3582" s="2" t="n">
        <v>40933.76875</v>
      </c>
      <c r="D3582" t="inlineStr">
        <is>
          <t>G1</t>
        </is>
      </c>
      <c r="E3582" t="inlineStr">
        <is>
          <t>HAITIANOS</t>
        </is>
      </c>
      <c r="F3582" t="inlineStr"/>
      <c r="G3582" t="inlineStr">
        <is>
          <t>ERS</t>
        </is>
      </c>
      <c r="H3582" t="inlineStr">
        <is>
          <t>BRASIL DISCUTIRÁ IMIGRAÇÃO COM AUTORIDADES HAITIANAS--PATRIOTA</t>
        </is>
      </c>
      <c r="I3582" t="inlineStr"/>
      <c r="J3582" t="inlineStr"/>
      <c r="K3582" t="n">
        <v>0</v>
      </c>
      <c r="L3582" t="n">
        <v>1</v>
      </c>
      <c r="M3582" t="n">
        <v>0</v>
      </c>
      <c r="N3582" t="n">
        <v>0</v>
      </c>
      <c r="O3582" t="n">
        <v>4</v>
      </c>
      <c r="P3582">
        <f>HYPERLINK("http://g1.globo.com/politica/noticia/2012/01/brasil-discutira-imigracao-com-autoridades-haitianas-patriota-3.html", "URL")</f>
        <v/>
      </c>
      <c r="Q3582">
        <f>HYPERLINK("https://raw.githubusercontent.com/marcosmapl/dataset_imigrantes/main/materias_filtered/g1/haitianos/2012/00_jan/html/g1_d338a606-232b-11ed-b24f-6dbe51e79fca_4273.html", "HTML")</f>
        <v/>
      </c>
      <c r="R3582">
        <f>HYPERLINK("https://raw.githubusercontent.com/marcosmapl/dataset_imigrantes/main/materias_filtered/g1/haitianos/2012/00_jan/txt/g1_d338a606-232b-11ed-b24f-6dbe51e79fca_4273.txt", "TXT")</f>
        <v/>
      </c>
    </row>
    <row r="3583">
      <c r="A3583" s="1" t="n">
        <v>3581</v>
      </c>
      <c r="B3583" t="n">
        <v>2012</v>
      </c>
      <c r="C3583" s="2" t="n">
        <v>40933.76875</v>
      </c>
      <c r="D3583" t="inlineStr">
        <is>
          <t>G1</t>
        </is>
      </c>
      <c r="E3583" t="inlineStr">
        <is>
          <t>HAITIANOS</t>
        </is>
      </c>
      <c r="F3583" t="inlineStr"/>
      <c r="G3583" t="inlineStr">
        <is>
          <t>ERS</t>
        </is>
      </c>
      <c r="H3583" t="inlineStr">
        <is>
          <t>BRASIL DISCUTIRÁ IMIGRAÇÃO COM AUTORIDADES HAITIANAS--PATRIOTA</t>
        </is>
      </c>
      <c r="I3583" t="inlineStr"/>
      <c r="J3583" t="inlineStr"/>
      <c r="K3583" t="n">
        <v>0</v>
      </c>
      <c r="L3583" t="n">
        <v>1</v>
      </c>
      <c r="M3583" t="n">
        <v>0</v>
      </c>
      <c r="N3583" t="n">
        <v>0</v>
      </c>
      <c r="O3583" t="n">
        <v>4</v>
      </c>
      <c r="P3583">
        <f>HYPERLINK("http://g1.globo.com/politica/noticia/2012/01/brasil-discutira-imigracao-com-autoridades-haitianas-patriota-2.html", "URL")</f>
        <v/>
      </c>
      <c r="Q3583">
        <f>HYPERLINK("https://raw.githubusercontent.com/marcosmapl/dataset_imigrantes/main/materias_filtered/g1/haitianos/2012/00_jan/html/g1_5c8689c0-231b-11ed-b24f-6dbe51e79fca_3381.html", "HTML")</f>
        <v/>
      </c>
      <c r="R3583">
        <f>HYPERLINK("https://raw.githubusercontent.com/marcosmapl/dataset_imigrantes/main/materias_filtered/g1/haitianos/2012/00_jan/txt/g1_5c8689c0-231b-11ed-b24f-6dbe51e79fca_3381.txt", "TXT")</f>
        <v/>
      </c>
    </row>
    <row r="3584">
      <c r="A3584" s="1" t="n">
        <v>3582</v>
      </c>
      <c r="B3584" t="n">
        <v>2012</v>
      </c>
      <c r="C3584" s="2" t="n">
        <v>40933.55625</v>
      </c>
      <c r="D3584" t="inlineStr">
        <is>
          <t>G1</t>
        </is>
      </c>
      <c r="E3584" t="inlineStr">
        <is>
          <t>HAITIANOS</t>
        </is>
      </c>
      <c r="F3584" t="inlineStr"/>
      <c r="G3584" t="inlineStr">
        <is>
          <t>ERS</t>
        </is>
      </c>
      <c r="H3584" t="inlineStr">
        <is>
          <t>BRASIL DISCUTIRÁ IMIGRAÇÃO COM AUTORIDADES HAITIANAS--PATRIOTA</t>
        </is>
      </c>
      <c r="I3584" t="inlineStr"/>
      <c r="J3584" t="inlineStr"/>
      <c r="K3584" t="n">
        <v>0</v>
      </c>
      <c r="L3584" t="n">
        <v>1</v>
      </c>
      <c r="M3584" t="n">
        <v>0</v>
      </c>
      <c r="N3584" t="n">
        <v>0</v>
      </c>
      <c r="O3584" t="n">
        <v>4</v>
      </c>
      <c r="P3584">
        <f>HYPERLINK("http://g1.globo.com/politica/noticia/2012/01/brasil-discutira-imigracao-com-autoridades-haitianas-patriota.html", "URL")</f>
        <v/>
      </c>
      <c r="Q3584">
        <f>HYPERLINK("https://raw.githubusercontent.com/marcosmapl/dataset_imigrantes/main/materias_filtered/g1/haitianos/2012/00_jan/html/g1_4d0abe3c-2323-11ed-b24f-6dbe51e79fca_3798.html", "HTML")</f>
        <v/>
      </c>
      <c r="R3584">
        <f>HYPERLINK("https://raw.githubusercontent.com/marcosmapl/dataset_imigrantes/main/materias_filtered/g1/haitianos/2012/00_jan/txt/g1_4d0abe3c-2323-11ed-b24f-6dbe51e79fca_3798.txt", "TXT")</f>
        <v/>
      </c>
    </row>
    <row r="3585">
      <c r="A3585" s="1" t="n">
        <v>3583</v>
      </c>
      <c r="B3585" t="n">
        <v>2012</v>
      </c>
      <c r="C3585" s="2" t="n">
        <v>40933.55625</v>
      </c>
      <c r="D3585" t="inlineStr">
        <is>
          <t>G1</t>
        </is>
      </c>
      <c r="E3585" t="inlineStr">
        <is>
          <t>HAITIANOS</t>
        </is>
      </c>
      <c r="F3585" t="inlineStr"/>
      <c r="G3585" t="inlineStr">
        <is>
          <t>ERS</t>
        </is>
      </c>
      <c r="H3585" t="inlineStr">
        <is>
          <t>BRASIL DISCUTIRÁ IMIGRAÇÃO COM AUTORIDADES HAITIANAS--PATRIOTA</t>
        </is>
      </c>
      <c r="I3585" t="inlineStr"/>
      <c r="J3585" t="inlineStr"/>
      <c r="K3585" t="n">
        <v>0</v>
      </c>
      <c r="L3585" t="n">
        <v>1</v>
      </c>
      <c r="M3585" t="n">
        <v>0</v>
      </c>
      <c r="N3585" t="n">
        <v>0</v>
      </c>
      <c r="O3585" t="n">
        <v>4</v>
      </c>
      <c r="P3585">
        <f>HYPERLINK("http://g1.globo.com/mundo/noticia/2012/01/brasil-discutira-imigracao-com-autoridades-haitianas-patriota-1.html", "URL")</f>
        <v/>
      </c>
      <c r="Q3585">
        <f>HYPERLINK("https://raw.githubusercontent.com/marcosmapl/dataset_imigrantes/main/materias_filtered/g1/haitianos/2012/00_jan/html/g1_e5e991ae-2310-11ed-b24f-6dbe51e79fca_2883.html", "HTML")</f>
        <v/>
      </c>
      <c r="R3585">
        <f>HYPERLINK("https://raw.githubusercontent.com/marcosmapl/dataset_imigrantes/main/materias_filtered/g1/haitianos/2012/00_jan/txt/g1_e5e991ae-2310-11ed-b24f-6dbe51e79fca_2883.txt", "TXT")</f>
        <v/>
      </c>
    </row>
    <row r="3586">
      <c r="A3586" s="1" t="n">
        <v>3584</v>
      </c>
      <c r="B3586" t="n">
        <v>2012</v>
      </c>
      <c r="C3586" s="2" t="n">
        <v>40933.4375</v>
      </c>
      <c r="D3586" t="inlineStr">
        <is>
          <t>G1</t>
        </is>
      </c>
      <c r="E3586" t="inlineStr">
        <is>
          <t>HAITIANOS</t>
        </is>
      </c>
      <c r="F3586" t="inlineStr"/>
      <c r="G3586" t="inlineStr">
        <is>
          <t>1 GO, COM INFORMAÇÕES DA TV ANHANGUERA</t>
        </is>
      </c>
      <c r="H3586" t="inlineStr">
        <is>
          <t>MILITARES QUE ATUARÃO NO HAITI RECEBEM TREINAMENTO EM CRISTALINA (GO)</t>
        </is>
      </c>
      <c r="I3586" t="inlineStr"/>
      <c r="J3586" t="inlineStr"/>
      <c r="K3586" t="n">
        <v>0</v>
      </c>
      <c r="L3586" t="n">
        <v>0</v>
      </c>
      <c r="M3586" t="n">
        <v>0</v>
      </c>
      <c r="N3586" t="n">
        <v>0</v>
      </c>
      <c r="O3586" t="n">
        <v>6</v>
      </c>
      <c r="P3586">
        <f>HYPERLINK("http://g1.globo.com/goias/noticia/2012/01/militares-que-atuarao-no-haiti-recebem-treinamento-em-cristalina-go.html", "URL")</f>
        <v/>
      </c>
      <c r="Q3586">
        <f>HYPERLINK("https://raw.githubusercontent.com/marcosmapl/dataset_imigrantes/main/materias_filtered/g1/haitianos/2012/00_jan/html/g1_e7f2bc6e-230b-11ed-b24f-6dbe51e79fca_2595.html", "HTML")</f>
        <v/>
      </c>
      <c r="R3586">
        <f>HYPERLINK("https://raw.githubusercontent.com/marcosmapl/dataset_imigrantes/main/materias_filtered/g1/haitianos/2012/00_jan/txt/g1_e7f2bc6e-230b-11ed-b24f-6dbe51e79fca_2595.txt", "TXT")</f>
        <v/>
      </c>
    </row>
    <row r="3587">
      <c r="A3587" s="1" t="n">
        <v>3585</v>
      </c>
      <c r="B3587" t="n">
        <v>2012</v>
      </c>
      <c r="C3587" s="2" t="n">
        <v>40933.41315972222</v>
      </c>
      <c r="D3587" t="inlineStr">
        <is>
          <t>A CRITICA</t>
        </is>
      </c>
      <c r="E3587" t="inlineStr">
        <is>
          <t>HAITIANOS</t>
        </is>
      </c>
      <c r="F3587" t="inlineStr"/>
      <c r="G3587" t="inlineStr">
        <is>
          <t>LEANDRO PRAZERES</t>
        </is>
      </c>
      <c r="H3587" t="inlineStr">
        <is>
          <t>NÚMERO DE MULHERES HAITIANAS QUE ENTRAM NO BRASIL , POR TABATINGA , MAIS QUE DOBROU EM MENOS DE UM ANO</t>
        </is>
      </c>
      <c r="I3587" t="inlineStr">
        <is>
          <t>MULHERES VÊM MUITAS VEZES, DEPOIS QUE MARIDOS CONSEGUEM EMPREGO NO BRASIL. ALGUMAS RESOLVEM TAMBÉM ARRISCAR A VIAGEM PARA TENTAR VIDA NOVA</t>
        </is>
      </c>
      <c r="J3587" t="inlineStr"/>
      <c r="K3587" t="n">
        <v>0</v>
      </c>
      <c r="L3587" t="n">
        <v>1</v>
      </c>
      <c r="M3587" t="n">
        <v>0</v>
      </c>
      <c r="N3587" t="n">
        <v>0</v>
      </c>
      <c r="O3587" t="n">
        <v>0</v>
      </c>
      <c r="P3587">
        <f>HYPERLINK("https://www.acritica.com/numero-de-mulheres-haitianas-que-entram-no-brasil-por-tabatinga-mais-que-dobrou-em-menos-de-um-ano-1.104262", "URL")</f>
        <v/>
      </c>
      <c r="Q3587">
        <f>HYPERLINK("https://raw.githubusercontent.com/marcosmapl/dataset_imigrantes/main/materias_filtered/a_critica/haitianos/2012/00_jan/html/1.104262_429.html", "HTML")</f>
        <v/>
      </c>
      <c r="R3587">
        <f>HYPERLINK("https://raw.githubusercontent.com/marcosmapl/dataset_imigrantes/main/materias_filtered/a_critica/haitianos/2012/00_jan/txt/1.104262_429.txt", "TXT")</f>
        <v/>
      </c>
    </row>
    <row r="3588">
      <c r="A3588" s="1" t="n">
        <v>3586</v>
      </c>
      <c r="B3588" t="n">
        <v>2012</v>
      </c>
      <c r="C3588" s="2" t="n">
        <v>40933.0125</v>
      </c>
      <c r="D3588" t="inlineStr">
        <is>
          <t>G1</t>
        </is>
      </c>
      <c r="E3588" t="inlineStr">
        <is>
          <t>HAITIANOS</t>
        </is>
      </c>
      <c r="F3588" t="inlineStr"/>
      <c r="G3588" t="inlineStr">
        <is>
          <t>CIA EFE</t>
        </is>
      </c>
      <c r="H3588" t="inlineStr">
        <is>
          <t>MAIS DE 250 IMIGRANTES HAITIANOS PERMANECEM NA FRONTEIRA PERU-BRASIL</t>
        </is>
      </c>
      <c r="I3588" t="inlineStr"/>
      <c r="J3588" t="inlineStr"/>
      <c r="K3588" t="n">
        <v>0</v>
      </c>
      <c r="L3588" t="n">
        <v>1</v>
      </c>
      <c r="M3588" t="n">
        <v>0</v>
      </c>
      <c r="N3588" t="n">
        <v>0</v>
      </c>
      <c r="O3588" t="n">
        <v>4</v>
      </c>
      <c r="P3588">
        <f>HYPERLINK("http://g1.globo.com/mundo/noticia/2012/01/mais-de-250-imigrantes-haitianos-permanecem-na-fronteira-peru-brasil.html", "URL")</f>
        <v/>
      </c>
      <c r="Q3588">
        <f>HYPERLINK("https://raw.githubusercontent.com/marcosmapl/dataset_imigrantes/main/materias_filtered/g1/haitianos/2012/00_jan/html/g1_4403e092-22f2-11ed-b24f-6dbe51e79fca_1788.html", "HTML")</f>
        <v/>
      </c>
      <c r="R3588">
        <f>HYPERLINK("https://raw.githubusercontent.com/marcosmapl/dataset_imigrantes/main/materias_filtered/g1/haitianos/2012/00_jan/txt/g1_4403e092-22f2-11ed-b24f-6dbe51e79fca_1788.txt", "TXT")</f>
        <v/>
      </c>
    </row>
    <row r="3589">
      <c r="A3589" s="1" t="n">
        <v>3587</v>
      </c>
      <c r="B3589" t="n">
        <v>2012</v>
      </c>
      <c r="C3589" s="2" t="n">
        <v>40932.95890046296</v>
      </c>
      <c r="D3589" t="inlineStr">
        <is>
          <t>A CRITICA</t>
        </is>
      </c>
      <c r="E3589" t="inlineStr">
        <is>
          <t>HAITIANOS</t>
        </is>
      </c>
      <c r="F3589" t="inlineStr"/>
      <c r="G3589" t="inlineStr">
        <is>
          <t>SÍNTIA MACIEL</t>
        </is>
      </c>
      <c r="H3589" t="inlineStr">
        <is>
          <t>CHEGADA DE MAIS DE 200 HAITIANOS EXPÕE FALTA DE ESTRUTURA PARA ABRIGAR REFUGIADOS EM MANAUS</t>
        </is>
      </c>
      <c r="I3589" t="inlineStr">
        <is>
          <t>INTEGRANTE DA PASTORAL DO MIGRANTE COBROU UMA POSIÇÃO DAS AUTORIDADES CONSTITUÍDAS PARA COM O CASO, BEM COMO AUXÍLIO DAS DEMAIS DENOMINAÇÕES CRISTÃS</t>
        </is>
      </c>
      <c r="J3589" t="inlineStr"/>
      <c r="K3589" t="n">
        <v>0</v>
      </c>
      <c r="L3589" t="n">
        <v>1</v>
      </c>
      <c r="M3589" t="n">
        <v>0</v>
      </c>
      <c r="N3589" t="n">
        <v>0</v>
      </c>
      <c r="O3589" t="n">
        <v>0</v>
      </c>
      <c r="P3589">
        <f>HYPERLINK("https://www.acritica.com/chegada-de-mais-de-200-haitianos-exp-e-falta-de-estrutura-para-abrigar-refugiados-em-manaus-1.169205", "URL")</f>
        <v/>
      </c>
      <c r="Q3589">
        <f>HYPERLINK("https://raw.githubusercontent.com/marcosmapl/dataset_imigrantes/main/materias_filtered/a_critica/haitianos/2012/00_jan/html/1.169205_56.html", "HTML")</f>
        <v/>
      </c>
      <c r="R3589">
        <f>HYPERLINK("https://raw.githubusercontent.com/marcosmapl/dataset_imigrantes/main/materias_filtered/a_critica/haitianos/2012/00_jan/txt/1.169205_56.txt", "TXT")</f>
        <v/>
      </c>
    </row>
    <row r="3590">
      <c r="A3590" s="1" t="n">
        <v>3588</v>
      </c>
      <c r="B3590" t="n">
        <v>2012</v>
      </c>
      <c r="C3590" s="2" t="n">
        <v>40932.87847222222</v>
      </c>
      <c r="D3590" t="inlineStr">
        <is>
          <t>G1</t>
        </is>
      </c>
      <c r="E3590" t="inlineStr">
        <is>
          <t>HAITIANOS</t>
        </is>
      </c>
      <c r="F3590" t="inlineStr"/>
      <c r="G3590" t="inlineStr"/>
      <c r="H3590" t="inlineStr">
        <is>
          <t>FUNDAÇÃO ANUNCIA MORTE DE HAITIANA POR SUSPEITA DE DENGUE NO AMAZONAS</t>
        </is>
      </c>
      <c r="I3590" t="inlineStr"/>
      <c r="J3590" t="inlineStr">
        <is>
          <t>MANAUS, TABATINGA, AMAZONAS</t>
        </is>
      </c>
      <c r="K3590" t="n">
        <v>3</v>
      </c>
      <c r="L3590" t="n">
        <v>4</v>
      </c>
      <c r="M3590" t="n">
        <v>0</v>
      </c>
      <c r="N3590" t="n">
        <v>0</v>
      </c>
      <c r="O3590" t="n">
        <v>12</v>
      </c>
      <c r="P3590">
        <f>HYPERLINK("http://g1.globo.com/jornal-nacional/noticia/2012/01/fundacao-anuncia-morte-de-haitiana-por-suspeita-de-dengue-no-amazonas.html", "URL")</f>
        <v/>
      </c>
      <c r="Q3590">
        <f>HYPERLINK("https://raw.githubusercontent.com/marcosmapl/dataset_imigrantes/main/materias_filtered/g1/haitianos/2012/00_jan/html/g1_821bafd2-231e-11ed-b24f-6dbe51e79fca_3566.html", "HTML")</f>
        <v/>
      </c>
      <c r="R3590">
        <f>HYPERLINK("https://raw.githubusercontent.com/marcosmapl/dataset_imigrantes/main/materias_filtered/g1/haitianos/2012/00_jan/txt/g1_821bafd2-231e-11ed-b24f-6dbe51e79fca_3566.txt", "TXT")</f>
        <v/>
      </c>
    </row>
    <row r="3591">
      <c r="A3591" s="1" t="n">
        <v>3589</v>
      </c>
      <c r="B3591" t="n">
        <v>2012</v>
      </c>
      <c r="C3591" s="2" t="n">
        <v>40932.80638888889</v>
      </c>
      <c r="D3591" t="inlineStr">
        <is>
          <t>A CRITICA</t>
        </is>
      </c>
      <c r="E3591" t="inlineStr">
        <is>
          <t>HAITIANOS</t>
        </is>
      </c>
      <c r="F3591" t="inlineStr"/>
      <c r="G3591" t="inlineStr">
        <is>
          <t>SÍNTIA MACIEL</t>
        </is>
      </c>
      <c r="H3591" t="inlineStr">
        <is>
          <t>AMAZONAS REGISTRA PRIMEIRO ÓBITO DE IMIGRANTE HAITIANO NO BRASIL</t>
        </is>
      </c>
      <c r="I3591" t="inlineStr">
        <is>
          <t>APESAR DE TER MORRIDO DE DENGUE EM TABATINGA, CARMELITH BAPTISTE TERIA ENTRADO NO BRASIL COM A DOENÇA, CONFORME A SECRETARIA DE SAÚDE DO MUNICÍPIO</t>
        </is>
      </c>
      <c r="J3591" t="inlineStr"/>
      <c r="K3591" t="n">
        <v>0</v>
      </c>
      <c r="L3591" t="n">
        <v>1</v>
      </c>
      <c r="M3591" t="n">
        <v>0</v>
      </c>
      <c r="N3591" t="n">
        <v>0</v>
      </c>
      <c r="O3591" t="n">
        <v>0</v>
      </c>
      <c r="P3591">
        <f>HYPERLINK("https://www.acritica.com/amazonas-registra-primeiro-obito-de-imigrante-haitiano-no-brasil-1.170485", "URL")</f>
        <v/>
      </c>
      <c r="Q3591">
        <f>HYPERLINK("https://raw.githubusercontent.com/marcosmapl/dataset_imigrantes/main/materias_filtered/a_critica/haitianos/2012/00_jan/html/1.170485_871.html", "HTML")</f>
        <v/>
      </c>
      <c r="R3591">
        <f>HYPERLINK("https://raw.githubusercontent.com/marcosmapl/dataset_imigrantes/main/materias_filtered/a_critica/haitianos/2012/00_jan/txt/1.170485_871.txt", "TXT")</f>
        <v/>
      </c>
    </row>
    <row r="3592">
      <c r="A3592" s="1" t="n">
        <v>3590</v>
      </c>
      <c r="B3592" t="n">
        <v>2012</v>
      </c>
      <c r="C3592" s="2" t="n">
        <v>40932.55585648148</v>
      </c>
      <c r="D3592" t="inlineStr">
        <is>
          <t>A CRITICA</t>
        </is>
      </c>
      <c r="E3592" t="inlineStr">
        <is>
          <t>HAITIANOS</t>
        </is>
      </c>
      <c r="F3592" t="inlineStr">
        <is>
          <t>MANAUS</t>
        </is>
      </c>
      <c r="G3592" t="inlineStr">
        <is>
          <t>FELIPE LIBÓRIO</t>
        </is>
      </c>
      <c r="H3592" t="inlineStr">
        <is>
          <t>OBSTÁCULO DO IDIOMA É MAIS UM DESAFIO PARA OS HAITIANOS QUE BUSCAM EMPREGO EM MANAUS</t>
        </is>
      </c>
      <c r="I3592" t="inlineStr">
        <is>
          <t>FATO DE NÃO DOMINAREM O PORTUGUÊS ACABA DIFICULTANDO O PROCESSO DE COLOCAÇÃO PROFISSIONAL DE HAITIANOS QUE ESTÃO EM MANAUS</t>
        </is>
      </c>
      <c r="J3592" t="inlineStr"/>
      <c r="K3592" t="n">
        <v>0</v>
      </c>
      <c r="L3592" t="n">
        <v>1</v>
      </c>
      <c r="M3592" t="n">
        <v>0</v>
      </c>
      <c r="N3592" t="n">
        <v>0</v>
      </c>
      <c r="O3592" t="n">
        <v>3</v>
      </c>
      <c r="P3592">
        <f>HYPERLINK("https://www.acritica.com/manaus/obstaculo-do-idioma-e-mais-um-desafio-para-os-haitianos-que-buscam-emprego-em-manaus-1.169079", "URL")</f>
        <v/>
      </c>
      <c r="Q3592">
        <f>HYPERLINK("https://raw.githubusercontent.com/marcosmapl/dataset_imigrantes/main/materias_filtered/a_critica/haitianos/2012/00_jan/html/1.169079_136.html", "HTML")</f>
        <v/>
      </c>
      <c r="R3592">
        <f>HYPERLINK("https://raw.githubusercontent.com/marcosmapl/dataset_imigrantes/main/materias_filtered/a_critica/haitianos/2012/00_jan/txt/1.169079_136.txt", "TXT")</f>
        <v/>
      </c>
    </row>
    <row r="3593">
      <c r="A3593" s="1" t="n">
        <v>3591</v>
      </c>
      <c r="B3593" t="n">
        <v>2012</v>
      </c>
      <c r="C3593" s="2" t="n">
        <v>40932.48958333334</v>
      </c>
      <c r="D3593" t="inlineStr">
        <is>
          <t>G1</t>
        </is>
      </c>
      <c r="E3593" t="inlineStr">
        <is>
          <t>HAITIANOS</t>
        </is>
      </c>
      <c r="F3593" t="inlineStr"/>
      <c r="G3593" t="inlineStr">
        <is>
          <t>1 AM</t>
        </is>
      </c>
      <c r="H3593" t="inlineStr">
        <is>
          <t>HAITIANA MORRE VÍTIMA DE DENGUE, EM TABATINGA (AM)</t>
        </is>
      </c>
      <c r="I3593" t="inlineStr"/>
      <c r="J3593" t="inlineStr"/>
      <c r="K3593" t="n">
        <v>0</v>
      </c>
      <c r="L3593" t="n">
        <v>0</v>
      </c>
      <c r="M3593" t="n">
        <v>0</v>
      </c>
      <c r="N3593" t="n">
        <v>0</v>
      </c>
      <c r="O3593" t="n">
        <v>6</v>
      </c>
      <c r="P3593">
        <f>HYPERLINK("http://g1.globo.com/am/amazonas/noticia/2012/01/haitiana-morre-vitima-de-dengue-em-tabatinga-am.html", "URL")</f>
        <v/>
      </c>
      <c r="Q3593">
        <f>HYPERLINK("https://raw.githubusercontent.com/marcosmapl/dataset_imigrantes/main/materias_filtered/g1/haitianos/2012/00_jan/html/g1_3d29919c-2309-11ed-b24f-6dbe51e79fca_2435.html", "HTML")</f>
        <v/>
      </c>
      <c r="R3593">
        <f>HYPERLINK("https://raw.githubusercontent.com/marcosmapl/dataset_imigrantes/main/materias_filtered/g1/haitianos/2012/00_jan/txt/g1_3d29919c-2309-11ed-b24f-6dbe51e79fca_2435.txt", "TXT")</f>
        <v/>
      </c>
    </row>
    <row r="3594">
      <c r="A3594" s="1" t="n">
        <v>3592</v>
      </c>
      <c r="B3594" t="n">
        <v>2012</v>
      </c>
      <c r="C3594" s="2" t="n">
        <v>40931.84162037037</v>
      </c>
      <c r="D3594" t="inlineStr">
        <is>
          <t>A CRITICA</t>
        </is>
      </c>
      <c r="E3594" t="inlineStr">
        <is>
          <t>VENEZUELANOS</t>
        </is>
      </c>
      <c r="F3594" t="inlineStr">
        <is>
          <t>MANAUS</t>
        </is>
      </c>
      <c r="G3594" t="inlineStr">
        <is>
          <t>MARIANA LIMA</t>
        </is>
      </c>
      <c r="H3594" t="inlineStr">
        <is>
          <t>QUADRILHA QUE ASSALTOU TURISTAS BRASILEIROS PODE TER ENVOLVIMENTO COM A POLÍCIA VENEZUELANA</t>
        </is>
      </c>
      <c r="I3594" t="inlineStr">
        <is>
          <t>VÍTIMAS RELATAM QUE CORPO DE INVESTIGAÇÕES CIENTÍFICAS PENAIS E CRIMINALÍSTICAS (CICPC) TRABALHA COM A HIPÓTESE DE UM POSSÍVEL ENVOLVIMENTO DE POLICIAIS VENEZUELANOS NO CASO. ATÉ ESTA SEGUNDA-FEIRA (23), A POLÍCIA VENEZUELANA NÃO ENTROU EM CONTATO COM AS VÍTIMAS PARA DAR MAIS INFORMAÇÕES SOBRE O CASO</t>
        </is>
      </c>
      <c r="J3594" t="inlineStr"/>
      <c r="K3594" t="n">
        <v>0</v>
      </c>
      <c r="L3594" t="n">
        <v>1</v>
      </c>
      <c r="M3594" t="n">
        <v>0</v>
      </c>
      <c r="N3594" t="n">
        <v>0</v>
      </c>
      <c r="O3594" t="n">
        <v>2</v>
      </c>
      <c r="P3594">
        <f>HYPERLINK("https://www.acritica.com/manaus/quadrilha-que-assaltou-turistas-brasileiros-pode-ter-envolvimento-com-a-policia-venezuelana-1.169125", "URL")</f>
        <v/>
      </c>
      <c r="Q3594">
        <f>HYPERLINK("https://raw.githubusercontent.com/marcosmapl/dataset_imigrantes/main/materias_filtered/a_critica/venezuelanos/2012/00_jan/html/1.169125_1162.html", "HTML")</f>
        <v/>
      </c>
      <c r="R3594">
        <f>HYPERLINK("https://raw.githubusercontent.com/marcosmapl/dataset_imigrantes/main/materias_filtered/a_critica/venezuelanos/2012/00_jan/txt/1.169125_1162.txt", "TXT")</f>
        <v/>
      </c>
    </row>
    <row r="3595">
      <c r="A3595" s="1" t="n">
        <v>3593</v>
      </c>
      <c r="B3595" t="n">
        <v>2012</v>
      </c>
      <c r="C3595" s="2" t="n">
        <v>40931.70269675926</v>
      </c>
      <c r="D3595" t="inlineStr">
        <is>
          <t>A CRITICA</t>
        </is>
      </c>
      <c r="E3595" t="inlineStr">
        <is>
          <t>HAITIANOS</t>
        </is>
      </c>
      <c r="F3595" t="inlineStr"/>
      <c r="G3595" t="inlineStr">
        <is>
          <t>LEANDRO PRAZERES</t>
        </is>
      </c>
      <c r="H3595" t="inlineStr">
        <is>
          <t>POPULAÇÃO DE TABATINGA COMEÇA A DAR SINAIS DE ESGOTAMENTO NA RELAÇÃO COM OS HAITIANOS</t>
        </is>
      </c>
      <c r="I3595" t="inlineStr">
        <is>
          <t>MAIS DE UM ANO DEPOIS DO INÍCIO DA IMIGRAÇÃO HAITIANA, A CAPACIDADE DE TABATINGA DE LIDAR COM O TEMA DÁ SINAIS DE ESGOTAMENTO</t>
        </is>
      </c>
      <c r="J3595" t="inlineStr"/>
      <c r="K3595" t="n">
        <v>0</v>
      </c>
      <c r="L3595" t="n">
        <v>1</v>
      </c>
      <c r="M3595" t="n">
        <v>0</v>
      </c>
      <c r="N3595" t="n">
        <v>0</v>
      </c>
      <c r="O3595" t="n">
        <v>1</v>
      </c>
      <c r="P3595">
        <f>HYPERLINK("https://www.acritica.com/populac-o-de-tabatinga-comeca-a-dar-sinais-de-esgotamento-na-relac-o-com-os-haitianos-1.170489", "URL")</f>
        <v/>
      </c>
      <c r="Q3595">
        <f>HYPERLINK("https://raw.githubusercontent.com/marcosmapl/dataset_imigrantes/main/materias_filtered/a_critica/haitianos/2012/00_jan/html/1.170489_304.html", "HTML")</f>
        <v/>
      </c>
      <c r="R3595">
        <f>HYPERLINK("https://raw.githubusercontent.com/marcosmapl/dataset_imigrantes/main/materias_filtered/a_critica/haitianos/2012/00_jan/txt/1.170489_304.txt", "TXT")</f>
        <v/>
      </c>
    </row>
    <row r="3596">
      <c r="A3596" s="1" t="n">
        <v>3594</v>
      </c>
      <c r="B3596" t="n">
        <v>2012</v>
      </c>
      <c r="C3596" s="2" t="n">
        <v>40931.44164351852</v>
      </c>
      <c r="D3596" t="inlineStr">
        <is>
          <t>A CRITICA</t>
        </is>
      </c>
      <c r="E3596" t="inlineStr">
        <is>
          <t>VENEZUELANOS</t>
        </is>
      </c>
      <c r="F3596" t="inlineStr"/>
      <c r="G3596" t="inlineStr">
        <is>
          <t>ACRITICA.COM E AGÊNCIAS</t>
        </is>
      </c>
      <c r="H3596" t="inlineStr">
        <is>
          <t>TURISTAS BRASILEIROS SÃO ASSALTADOS EM ILHA DA VENEZUELA</t>
        </is>
      </c>
      <c r="I3596" t="inlineStr">
        <is>
          <t>GRUPO ESTAVA EM UMA POUSADA QUANDO O BANDO DE MAIS DE 10 PESSOAS CHEGOU AO LOCAL E RENDEU OS TURISTAS LEVANDO DINHEIRO E OBJETOS DE VALOR</t>
        </is>
      </c>
      <c r="J3596" t="inlineStr"/>
      <c r="K3596" t="n">
        <v>0</v>
      </c>
      <c r="L3596" t="n">
        <v>1</v>
      </c>
      <c r="M3596" t="n">
        <v>0</v>
      </c>
      <c r="N3596" t="n">
        <v>0</v>
      </c>
      <c r="O3596" t="n">
        <v>0</v>
      </c>
      <c r="P3596">
        <f>HYPERLINK("https://www.acritica.com/turistas-brasileiros-s-o-assaltados-em-ilha-da-venezuela-1.168733", "URL")</f>
        <v/>
      </c>
      <c r="Q3596">
        <f>HYPERLINK("https://raw.githubusercontent.com/marcosmapl/dataset_imigrantes/main/materias_filtered/a_critica/venezuelanos/2012/00_jan/html/1.168733_380.html", "HTML")</f>
        <v/>
      </c>
      <c r="R3596">
        <f>HYPERLINK("https://raw.githubusercontent.com/marcosmapl/dataset_imigrantes/main/materias_filtered/a_critica/venezuelanos/2012/00_jan/txt/1.168733_380.txt", "TXT")</f>
        <v/>
      </c>
    </row>
    <row r="3597">
      <c r="A3597" s="1" t="n">
        <v>3595</v>
      </c>
      <c r="B3597" t="n">
        <v>2012</v>
      </c>
      <c r="C3597" s="2" t="n">
        <v>40930.99837962963</v>
      </c>
      <c r="D3597" t="inlineStr">
        <is>
          <t>A CRITICA</t>
        </is>
      </c>
      <c r="E3597" t="inlineStr">
        <is>
          <t>HAITIANOS</t>
        </is>
      </c>
      <c r="F3597" t="inlineStr"/>
      <c r="G3597" t="inlineStr">
        <is>
          <t>LEANDRO PRAZERES</t>
        </is>
      </c>
      <c r="H3597" t="inlineStr">
        <is>
          <t>SÉRIE DE REPORTAGENS MOSTRA A BUSCA DOS HAITIANOS POR UMA NOVA VIDA NO BRASIL</t>
        </is>
      </c>
      <c r="I3597" t="inlineStr">
        <is>
          <t>DE ACORDO COM ESTIMATIVAS EXTRA-OFICIAIS, APROXIMADAMENTE 2,7 MIL HAITIANOS JÁ FIZERAM ESSA VIAGEM DESDE O FINAL DE 2010</t>
        </is>
      </c>
      <c r="J3597" t="inlineStr"/>
      <c r="K3597" t="n">
        <v>0</v>
      </c>
      <c r="L3597" t="n">
        <v>1</v>
      </c>
      <c r="M3597" t="n">
        <v>0</v>
      </c>
      <c r="N3597" t="n">
        <v>0</v>
      </c>
      <c r="O3597" t="n">
        <v>1</v>
      </c>
      <c r="P3597">
        <f>HYPERLINK("https://www.acritica.com/serie-de-reportagens-mostra-a-busca-dos-haitianos-por-uma-nova-vida-no-brasil-1.170511", "URL")</f>
        <v/>
      </c>
      <c r="Q3597">
        <f>HYPERLINK("https://raw.githubusercontent.com/marcosmapl/dataset_imigrantes/main/materias_filtered/a_critica/haitianos/2012/00_jan/html/1.170511_1108.html", "HTML")</f>
        <v/>
      </c>
      <c r="R3597">
        <f>HYPERLINK("https://raw.githubusercontent.com/marcosmapl/dataset_imigrantes/main/materias_filtered/a_critica/haitianos/2012/00_jan/txt/1.170511_1108.txt", "TXT")</f>
        <v/>
      </c>
    </row>
    <row r="3598">
      <c r="A3598" s="1" t="n">
        <v>3596</v>
      </c>
      <c r="B3598" t="n">
        <v>2012</v>
      </c>
      <c r="C3598" s="2" t="n">
        <v>40929.48364583333</v>
      </c>
      <c r="D3598" t="inlineStr">
        <is>
          <t>A CRITICA</t>
        </is>
      </c>
      <c r="E3598" t="inlineStr">
        <is>
          <t>HAITIANOS</t>
        </is>
      </c>
      <c r="F3598" t="inlineStr"/>
      <c r="G3598" t="inlineStr">
        <is>
          <t>FELIPE LIBÓRIO</t>
        </is>
      </c>
      <c r="H3598" t="inlineStr">
        <is>
          <t>GRUPO DE HAITIANOS QUE CHEGOU NESTA SEXTA-FEIRA EM MANAUS NÃO TEM PARA ONDE IR</t>
        </is>
      </c>
      <c r="I3598" t="inlineStr">
        <is>
          <t>O PADRE GELMINO COSTA ESTÁ PREOCUPADO COM A VINDA DE NOVOS IMIGRANTES EM POUCO TEMPO E HÁ RISCO DELES SEREM OBRIGADOS A DORMIR NAS RUAS</t>
        </is>
      </c>
      <c r="J3598" t="inlineStr"/>
      <c r="K3598" t="n">
        <v>0</v>
      </c>
      <c r="L3598" t="n">
        <v>1</v>
      </c>
      <c r="M3598" t="n">
        <v>0</v>
      </c>
      <c r="N3598" t="n">
        <v>0</v>
      </c>
      <c r="O3598" t="n">
        <v>0</v>
      </c>
      <c r="P3598">
        <f>HYPERLINK("https://www.acritica.com/grupo-de-haitianos-que-chegou-nesta-sexta-feira-em-manaus-n-o-tem-para-onde-ir-1.104322", "URL")</f>
        <v/>
      </c>
      <c r="Q3598">
        <f>HYPERLINK("https://raw.githubusercontent.com/marcosmapl/dataset_imigrantes/main/materias_filtered/a_critica/haitianos/2012/00_jan/html/1.104322_337.html", "HTML")</f>
        <v/>
      </c>
      <c r="R3598">
        <f>HYPERLINK("https://raw.githubusercontent.com/marcosmapl/dataset_imigrantes/main/materias_filtered/a_critica/haitianos/2012/00_jan/txt/1.104322_337.txt", "TXT")</f>
        <v/>
      </c>
    </row>
    <row r="3599">
      <c r="A3599" s="1" t="n">
        <v>3597</v>
      </c>
      <c r="B3599" t="n">
        <v>2012</v>
      </c>
      <c r="C3599" s="2" t="n">
        <v>40927.98125</v>
      </c>
      <c r="D3599" t="inlineStr">
        <is>
          <t>G1</t>
        </is>
      </c>
      <c r="E3599" t="inlineStr">
        <is>
          <t>HAITIANOS</t>
        </is>
      </c>
      <c r="F3599" t="inlineStr"/>
      <c r="G3599" t="inlineStr">
        <is>
          <t>CIA EFE</t>
        </is>
      </c>
      <c r="H3599" t="inlineStr">
        <is>
          <t>HAITI: SOBE PARA 40 O NÚMERO DE MORTOS EM ACIDENTE COM CAMINHÃO</t>
        </is>
      </c>
      <c r="I3599" t="inlineStr"/>
      <c r="J3599" t="inlineStr"/>
      <c r="K3599" t="n">
        <v>0</v>
      </c>
      <c r="L3599" t="n">
        <v>1</v>
      </c>
      <c r="M3599" t="n">
        <v>0</v>
      </c>
      <c r="N3599" t="n">
        <v>0</v>
      </c>
      <c r="O3599" t="n">
        <v>4</v>
      </c>
      <c r="P3599">
        <f>HYPERLINK("http://g1.globo.com/mundo/noticia/2012/01/haiti-sobe-para-40-o-numero-de-mortos-em-acidente-com-caminhao.html", "URL")</f>
        <v/>
      </c>
      <c r="Q3599">
        <f>HYPERLINK("https://raw.githubusercontent.com/marcosmapl/dataset_imigrantes/main/materias_filtered/g1/haitianos/2012/00_jan/html/g1_21a2094c-2320-11ed-b24f-6dbe51e79fca_3665.html", "HTML")</f>
        <v/>
      </c>
      <c r="R3599">
        <f>HYPERLINK("https://raw.githubusercontent.com/marcosmapl/dataset_imigrantes/main/materias_filtered/g1/haitianos/2012/00_jan/txt/g1_21a2094c-2320-11ed-b24f-6dbe51e79fca_3665.txt", "TXT")</f>
        <v/>
      </c>
    </row>
    <row r="3600">
      <c r="A3600" s="1" t="n">
        <v>3598</v>
      </c>
      <c r="B3600" t="n">
        <v>2012</v>
      </c>
      <c r="C3600" s="2" t="n">
        <v>40927.91527777778</v>
      </c>
      <c r="D3600" t="inlineStr">
        <is>
          <t>G1</t>
        </is>
      </c>
      <c r="E3600" t="inlineStr">
        <is>
          <t>HAITIANOS</t>
        </is>
      </c>
      <c r="F3600" t="inlineStr"/>
      <c r="G3600" t="inlineStr"/>
      <c r="H3600" t="inlineStr">
        <is>
          <t>DEZENAS DE IMIGRANTES HAITIANOS SÃO BARRADOS NA FRONTEIRA COM O PERU</t>
        </is>
      </c>
      <c r="I3600" t="inlineStr"/>
      <c r="J3600" t="inlineStr">
        <is>
          <t>ACRE</t>
        </is>
      </c>
      <c r="K3600" t="n">
        <v>1</v>
      </c>
      <c r="L3600" t="n">
        <v>3</v>
      </c>
      <c r="M3600" t="n">
        <v>0</v>
      </c>
      <c r="N3600" t="n">
        <v>0</v>
      </c>
      <c r="O3600" t="n">
        <v>10</v>
      </c>
      <c r="P3600">
        <f>HYPERLINK("http://g1.globo.com/jornal-nacional/noticia/2012/01/dezenas-de-imigrantes-haitianos-sao-barrados-na-fronteira-com-o-peru.html", "URL")</f>
        <v/>
      </c>
      <c r="Q3600">
        <f>HYPERLINK("https://raw.githubusercontent.com/marcosmapl/dataset_imigrantes/main/materias_filtered/g1/haitianos/2012/00_jan/html/g1_64a67698-22f7-11ed-b24f-6dbe51e79fca_2076.html", "HTML")</f>
        <v/>
      </c>
      <c r="R3600">
        <f>HYPERLINK("https://raw.githubusercontent.com/marcosmapl/dataset_imigrantes/main/materias_filtered/g1/haitianos/2012/00_jan/txt/g1_64a67698-22f7-11ed-b24f-6dbe51e79fca_2076.txt", "TXT")</f>
        <v/>
      </c>
    </row>
    <row r="3601">
      <c r="A3601" s="1" t="n">
        <v>3599</v>
      </c>
      <c r="B3601" t="n">
        <v>2012</v>
      </c>
      <c r="C3601" s="2" t="n">
        <v>40926.90347222222</v>
      </c>
      <c r="D3601" t="inlineStr">
        <is>
          <t>G1</t>
        </is>
      </c>
      <c r="E3601" t="inlineStr">
        <is>
          <t>HAITIANOS</t>
        </is>
      </c>
      <c r="F3601" t="inlineStr"/>
      <c r="G3601" t="inlineStr"/>
      <c r="H3601" t="inlineStr">
        <is>
          <t>POLÍCIA FEDERAL IMPEDE ENTRADA DE 100 HAITIANOS PELO ACRE</t>
        </is>
      </c>
      <c r="I3601" t="inlineStr"/>
      <c r="J3601" t="inlineStr"/>
      <c r="K3601" t="n">
        <v>0</v>
      </c>
      <c r="L3601" t="n">
        <v>0</v>
      </c>
      <c r="M3601" t="n">
        <v>0</v>
      </c>
      <c r="N3601" t="n">
        <v>0</v>
      </c>
      <c r="O3601" t="n">
        <v>4</v>
      </c>
      <c r="P3601">
        <f>HYPERLINK("http://g1.globo.com/jornal-nacional/noticia/2012/01/policia-federal-impede-entrada-de-100-haitianos-pelo-acre.html", "URL")</f>
        <v/>
      </c>
      <c r="Q3601">
        <f>HYPERLINK("https://raw.githubusercontent.com/marcosmapl/dataset_imigrantes/main/materias_filtered/g1/haitianos/2012/00_jan/html/g1_cc05af1a-22f8-11ed-b24f-6dbe51e79fca_2158.html", "HTML")</f>
        <v/>
      </c>
      <c r="R3601">
        <f>HYPERLINK("https://raw.githubusercontent.com/marcosmapl/dataset_imigrantes/main/materias_filtered/g1/haitianos/2012/00_jan/txt/g1_cc05af1a-22f8-11ed-b24f-6dbe51e79fca_2158.txt", "TXT")</f>
        <v/>
      </c>
    </row>
    <row r="3602">
      <c r="A3602" s="1" t="n">
        <v>3600</v>
      </c>
      <c r="B3602" t="n">
        <v>2012</v>
      </c>
      <c r="C3602" s="2" t="n">
        <v>40925.74862268518</v>
      </c>
      <c r="D3602" t="inlineStr">
        <is>
          <t>A CRITICA</t>
        </is>
      </c>
      <c r="E3602" t="inlineStr">
        <is>
          <t>VENEZUELANOS</t>
        </is>
      </c>
      <c r="F3602" t="inlineStr">
        <is>
          <t>ESPORTES</t>
        </is>
      </c>
      <c r="G3602" t="inlineStr">
        <is>
          <t>LANCEPRESS!</t>
        </is>
      </c>
      <c r="H3602" t="inlineStr">
        <is>
          <t>BRUNO SENNA É CONFIRMADO NA WILLIAMS PARA A TEMPORADA 2012</t>
        </is>
      </c>
      <c r="I3602" t="inlineStr">
        <is>
          <t>BRASILEIRO COMPETIRÁ PELA SUA TERCEIRA ESCUDERIA DIFERENTE EM TRÊS TEMPORADAS, ENQUANTO RUBENS BARRICHELLO FICA SEM VAGA E AINDA NÃO DABE SE TERÁ EQUIPE</t>
        </is>
      </c>
      <c r="J3602" t="inlineStr"/>
      <c r="K3602" t="n">
        <v>0</v>
      </c>
      <c r="L3602" t="n">
        <v>1</v>
      </c>
      <c r="M3602" t="n">
        <v>0</v>
      </c>
      <c r="N3602" t="n">
        <v>0</v>
      </c>
      <c r="O3602" t="n">
        <v>0</v>
      </c>
      <c r="P3602">
        <f>HYPERLINK("https://www.acritica.com/esportes/bruno-senna-e-confirmado-na-williams-para-a-temporada-2012-1.168102", "URL")</f>
        <v/>
      </c>
      <c r="Q3602">
        <f>HYPERLINK("https://raw.githubusercontent.com/marcosmapl/dataset_imigrantes/main/materias_filtered/a_critica/venezuelanos/2012/00_jan/html/1.168102_159.html", "HTML")</f>
        <v/>
      </c>
      <c r="R3602">
        <f>HYPERLINK("https://raw.githubusercontent.com/marcosmapl/dataset_imigrantes/main/materias_filtered/a_critica/venezuelanos/2012/00_jan/txt/1.168102_159.txt", "TXT")</f>
        <v/>
      </c>
    </row>
    <row r="3603">
      <c r="A3603" s="1" t="n">
        <v>3601</v>
      </c>
      <c r="B3603" t="n">
        <v>2012</v>
      </c>
      <c r="C3603" s="2" t="n">
        <v>40925.49128472222</v>
      </c>
      <c r="D3603" t="inlineStr">
        <is>
          <t>A CRITICA</t>
        </is>
      </c>
      <c r="E3603" t="inlineStr">
        <is>
          <t>HAITIANOS</t>
        </is>
      </c>
      <c r="F3603" t="inlineStr"/>
      <c r="G3603" t="inlineStr">
        <is>
          <t>FELIPE LIBÓRIO</t>
        </is>
      </c>
      <c r="H3603" t="inlineStr">
        <is>
          <t>GOVERNO FEDERAL DEVE ENTREGAR PROPOSTA DE RESOLUÇÃO PARA RESTRINGIR A ENTRADA DE IMIGRANTES HAITIANOS NO BRASIL</t>
        </is>
      </c>
      <c r="I3603" t="inlineStr">
        <is>
          <t>PASTORAL DO MIGRANTE DE TABATINGA OFICIALIZA PEDIDO AO GOVERNO FEDERAL PARA QUE SEJAM ESTABELECIDAS REGRAS PARA LEGALIZAR MIGRAÇÃO</t>
        </is>
      </c>
      <c r="J3603" t="inlineStr"/>
      <c r="K3603" t="n">
        <v>0</v>
      </c>
      <c r="L3603" t="n">
        <v>1</v>
      </c>
      <c r="M3603" t="n">
        <v>0</v>
      </c>
      <c r="N3603" t="n">
        <v>0</v>
      </c>
      <c r="O3603" t="n">
        <v>0</v>
      </c>
      <c r="P3603">
        <f>HYPERLINK("https://www.acritica.com/governo-federal-deve-entregar-proposta-de-resoluc-o-para-restringir-a-entrada-de-imigrantes-haitianos-no-brasil-1.107167", "URL")</f>
        <v/>
      </c>
      <c r="Q3603">
        <f>HYPERLINK("https://raw.githubusercontent.com/marcosmapl/dataset_imigrantes/main/materias_filtered/a_critica/haitianos/2012/00_jan/html/1.107167_943.html", "HTML")</f>
        <v/>
      </c>
      <c r="R3603">
        <f>HYPERLINK("https://raw.githubusercontent.com/marcosmapl/dataset_imigrantes/main/materias_filtered/a_critica/haitianos/2012/00_jan/txt/1.107167_943.txt", "TXT")</f>
        <v/>
      </c>
    </row>
    <row r="3604">
      <c r="A3604" s="1" t="n">
        <v>3602</v>
      </c>
      <c r="B3604" t="n">
        <v>2012</v>
      </c>
      <c r="C3604" s="2" t="n">
        <v>40925.45171296296</v>
      </c>
      <c r="D3604" t="inlineStr">
        <is>
          <t>A CRITICA</t>
        </is>
      </c>
      <c r="E3604" t="inlineStr">
        <is>
          <t>HAITIANOS</t>
        </is>
      </c>
      <c r="F3604" t="inlineStr">
        <is>
          <t>ESPORTES</t>
        </is>
      </c>
      <c r="G3604" t="inlineStr">
        <is>
          <t>LEANDRO PRAZERES</t>
        </is>
      </c>
      <c r="H3604" t="inlineStr">
        <is>
          <t>RESOLUÇÃO DO MINISTÉRIO DA JUSTIÇA FECHA FRONTEIRAS BRASILEIRAS PARA HAITIANOS</t>
        </is>
      </c>
      <c r="I3604" t="inlineStr">
        <is>
          <t>RESOLUÇÃO COMUNICADA À POLÍCIA FEDERAL É DE QUE IMIGRANTES QUE CHEGARAM APÓS O DIA 12 DE JANEIRO SERÃO CONSIDERADOS ILEGAIS</t>
        </is>
      </c>
      <c r="J3604" t="inlineStr"/>
      <c r="K3604" t="n">
        <v>0</v>
      </c>
      <c r="L3604" t="n">
        <v>1</v>
      </c>
      <c r="M3604" t="n">
        <v>0</v>
      </c>
      <c r="N3604" t="n">
        <v>0</v>
      </c>
      <c r="O3604" t="n">
        <v>0</v>
      </c>
      <c r="P3604">
        <f>HYPERLINK("https://www.acritica.com/esportes/resoluc-o-do-ministerio-da-justica-fecha-fronteiras-brasileiras-para-haitianos-1.104447", "URL")</f>
        <v/>
      </c>
      <c r="Q3604">
        <f>HYPERLINK("https://raw.githubusercontent.com/marcosmapl/dataset_imigrantes/main/materias_filtered/a_critica/haitianos/2012/00_jan/html/1.104447_1106.html", "HTML")</f>
        <v/>
      </c>
      <c r="R3604">
        <f>HYPERLINK("https://raw.githubusercontent.com/marcosmapl/dataset_imigrantes/main/materias_filtered/a_critica/haitianos/2012/00_jan/txt/1.104447_1106.txt", "TXT")</f>
        <v/>
      </c>
    </row>
    <row r="3605">
      <c r="A3605" s="1" t="n">
        <v>3603</v>
      </c>
      <c r="B3605" t="n">
        <v>2012</v>
      </c>
      <c r="C3605" s="2" t="n">
        <v>40924.44636574074</v>
      </c>
      <c r="D3605" t="inlineStr">
        <is>
          <t>A CRITICA</t>
        </is>
      </c>
      <c r="E3605" t="inlineStr">
        <is>
          <t>HAITIANOS</t>
        </is>
      </c>
      <c r="F3605" t="inlineStr"/>
      <c r="G3605" t="inlineStr">
        <is>
          <t>FELIPE LIBÓRIO</t>
        </is>
      </c>
      <c r="H3605" t="inlineStr">
        <is>
          <t>PARÓQUIA DE SÃO SEBASTIÃO EM MANAUS JÁ ESTÁ COM PROGRAMAÇÃO FECHADA PARA FESTEJAR SANTO</t>
        </is>
      </c>
      <c r="I3605" t="inlineStr">
        <is>
          <t>A PROGRAMAÇÃO INCLUI PROCISSÃO, MISSA CAMPAL E ARRAIAL. A PARÓQUIA CONGREGA CERCA DE 7 MIL PESSOAS DE VÁRIOS BAIRROS DE MANAUS</t>
        </is>
      </c>
      <c r="J3605" t="inlineStr"/>
      <c r="K3605" t="n">
        <v>0</v>
      </c>
      <c r="L3605" t="n">
        <v>1</v>
      </c>
      <c r="M3605" t="n">
        <v>0</v>
      </c>
      <c r="N3605" t="n">
        <v>0</v>
      </c>
      <c r="O3605" t="n">
        <v>0</v>
      </c>
      <c r="P3605">
        <f>HYPERLINK("https://www.acritica.com/paroquia-de-s-o-sebasti-o-em-manaus-ja-esta-com-programac-o-fechada-para-festejar-santo-1.104542", "URL")</f>
        <v/>
      </c>
      <c r="Q3605">
        <f>HYPERLINK("https://raw.githubusercontent.com/marcosmapl/dataset_imigrantes/main/materias_filtered/a_critica/haitianos/2012/00_jan/html/1.104542_29.html", "HTML")</f>
        <v/>
      </c>
      <c r="R3605">
        <f>HYPERLINK("https://raw.githubusercontent.com/marcosmapl/dataset_imigrantes/main/materias_filtered/a_critica/haitianos/2012/00_jan/txt/1.104542_29.txt", "TXT")</f>
        <v/>
      </c>
    </row>
    <row r="3606">
      <c r="A3606" s="1" t="n">
        <v>3604</v>
      </c>
      <c r="B3606" t="n">
        <v>2012</v>
      </c>
      <c r="C3606" s="2" t="n">
        <v>40921.91875</v>
      </c>
      <c r="D3606" t="inlineStr">
        <is>
          <t>G1</t>
        </is>
      </c>
      <c r="E3606" t="inlineStr">
        <is>
          <t>HAITIANOS</t>
        </is>
      </c>
      <c r="F3606" t="inlineStr"/>
      <c r="G3606" t="inlineStr"/>
      <c r="H3606" t="inlineStr">
        <is>
          <t>HAITIANOS DIZEM QUE PREFEREM VIVER NO BRASIL, MESMO COM DIFICULDADES</t>
        </is>
      </c>
      <c r="I3606" t="inlineStr"/>
      <c r="J3606" t="inlineStr">
        <is>
          <t>HAITI</t>
        </is>
      </c>
      <c r="K3606" t="n">
        <v>1</v>
      </c>
      <c r="L3606" t="n">
        <v>3</v>
      </c>
      <c r="M3606" t="n">
        <v>0</v>
      </c>
      <c r="N3606" t="n">
        <v>0</v>
      </c>
      <c r="O3606" t="n">
        <v>9</v>
      </c>
      <c r="P3606">
        <f>HYPERLINK("http://g1.globo.com/jornal-nacional/noticia/2012/01/haitianos-dizem-que-preferem-viver-no-brasil-mesmo-com-dificuldades.html", "URL")</f>
        <v/>
      </c>
      <c r="Q3606">
        <f>HYPERLINK("https://raw.githubusercontent.com/marcosmapl/dataset_imigrantes/main/materias_filtered/g1/haitianos/2012/00_jan/html/g1_e7eab398-22f7-11ed-b24f-6dbe51e79fca_2103.html", "HTML")</f>
        <v/>
      </c>
      <c r="R3606">
        <f>HYPERLINK("https://raw.githubusercontent.com/marcosmapl/dataset_imigrantes/main/materias_filtered/g1/haitianos/2012/00_jan/txt/g1_e7eab398-22f7-11ed-b24f-6dbe51e79fca_2103.txt", "TXT")</f>
        <v/>
      </c>
    </row>
    <row r="3607">
      <c r="A3607" s="1" t="n">
        <v>3605</v>
      </c>
      <c r="B3607" t="n">
        <v>2012</v>
      </c>
      <c r="C3607" s="2" t="n">
        <v>40921.68958333333</v>
      </c>
      <c r="D3607" t="inlineStr">
        <is>
          <t>G1</t>
        </is>
      </c>
      <c r="E3607" t="inlineStr">
        <is>
          <t>HAITIANOS</t>
        </is>
      </c>
      <c r="F3607" t="inlineStr"/>
      <c r="G3607" t="inlineStr">
        <is>
          <t>ERS</t>
        </is>
      </c>
      <c r="H3607" t="inlineStr">
        <is>
          <t>AMORIM PEDE NOVA POLÍTICA A IMIGRANTES APÓS ENTRADA DE HAITIANOS</t>
        </is>
      </c>
      <c r="I3607" t="inlineStr"/>
      <c r="J3607" t="inlineStr"/>
      <c r="K3607" t="n">
        <v>0</v>
      </c>
      <c r="L3607" t="n">
        <v>1</v>
      </c>
      <c r="M3607" t="n">
        <v>0</v>
      </c>
      <c r="N3607" t="n">
        <v>0</v>
      </c>
      <c r="O3607" t="n">
        <v>4</v>
      </c>
      <c r="P3607">
        <f>HYPERLINK("http://g1.globo.com/mundo/noticia/2012/01/amorim-pede-nova-politica-a-imigrantes-apos-entrada-de-haitianos-1.html", "URL")</f>
        <v/>
      </c>
      <c r="Q3607">
        <f>HYPERLINK("https://raw.githubusercontent.com/marcosmapl/dataset_imigrantes/main/materias_filtered/g1/haitianos/2012/00_jan/html/g1_b2263584-22f7-11ed-b24f-6dbe51e79fca_2091.html", "HTML")</f>
        <v/>
      </c>
      <c r="R3607">
        <f>HYPERLINK("https://raw.githubusercontent.com/marcosmapl/dataset_imigrantes/main/materias_filtered/g1/haitianos/2012/00_jan/txt/g1_b2263584-22f7-11ed-b24f-6dbe51e79fca_2091.txt", "TXT")</f>
        <v/>
      </c>
    </row>
    <row r="3608">
      <c r="A3608" s="1" t="n">
        <v>3606</v>
      </c>
      <c r="B3608" t="n">
        <v>2012</v>
      </c>
      <c r="C3608" s="2" t="n">
        <v>40921.68958333333</v>
      </c>
      <c r="D3608" t="inlineStr">
        <is>
          <t>G1</t>
        </is>
      </c>
      <c r="E3608" t="inlineStr">
        <is>
          <t>HAITIANOS</t>
        </is>
      </c>
      <c r="F3608" t="inlineStr"/>
      <c r="G3608" t="inlineStr">
        <is>
          <t>ERS</t>
        </is>
      </c>
      <c r="H3608" t="inlineStr">
        <is>
          <t>AMORIM PEDE NOVA POLÍTICA A IMIGRANTES APÓS ENTRADA DE HAITIANOS</t>
        </is>
      </c>
      <c r="I3608" t="inlineStr"/>
      <c r="J3608" t="inlineStr"/>
      <c r="K3608" t="n">
        <v>0</v>
      </c>
      <c r="L3608" t="n">
        <v>1</v>
      </c>
      <c r="M3608" t="n">
        <v>0</v>
      </c>
      <c r="N3608" t="n">
        <v>0</v>
      </c>
      <c r="O3608" t="n">
        <v>4</v>
      </c>
      <c r="P3608">
        <f>HYPERLINK("http://g1.globo.com/politica/noticia/2012/01/amorim-pede-nova-politica-a-imigrantes-apos-entrada-de-haitianos.html", "URL")</f>
        <v/>
      </c>
      <c r="Q3608">
        <f>HYPERLINK("https://raw.githubusercontent.com/marcosmapl/dataset_imigrantes/main/materias_filtered/g1/haitianos/2012/00_jan/html/g1_12cdf760-22f7-11ed-b24f-6dbe51e79fca_2057.html", "HTML")</f>
        <v/>
      </c>
      <c r="R3608">
        <f>HYPERLINK("https://raw.githubusercontent.com/marcosmapl/dataset_imigrantes/main/materias_filtered/g1/haitianos/2012/00_jan/txt/g1_12cdf760-22f7-11ed-b24f-6dbe51e79fca_2057.txt", "TXT")</f>
        <v/>
      </c>
    </row>
    <row r="3609">
      <c r="A3609" s="1" t="n">
        <v>3607</v>
      </c>
      <c r="B3609" t="n">
        <v>2012</v>
      </c>
      <c r="C3609" s="2" t="n">
        <v>40920.81180555555</v>
      </c>
      <c r="D3609" t="inlineStr">
        <is>
          <t>G1</t>
        </is>
      </c>
      <c r="E3609" t="inlineStr">
        <is>
          <t>HAITIANOS</t>
        </is>
      </c>
      <c r="F3609" t="inlineStr"/>
      <c r="G3609" t="inlineStr">
        <is>
          <t>A GUIMARÃESDO G1, EM SÃO PAULO</t>
        </is>
      </c>
      <c r="H3609" t="inlineStr">
        <is>
          <t>EMPRESAS BRASILEIRAS VÃO AO ACRE CONTRATAR IMIGRANTES HAITIANOS</t>
        </is>
      </c>
      <c r="I3609" t="inlineStr"/>
      <c r="J3609" t="inlineStr">
        <is>
          <t>ECONOMIA</t>
        </is>
      </c>
      <c r="K3609" t="n">
        <v>1</v>
      </c>
      <c r="L3609" t="n">
        <v>2</v>
      </c>
      <c r="M3609" t="n">
        <v>0</v>
      </c>
      <c r="N3609" t="n">
        <v>0</v>
      </c>
      <c r="O3609" t="n">
        <v>14</v>
      </c>
      <c r="P3609">
        <f>HYPERLINK("http://g1.globo.com/economia/noticia/2012/01/com-falta-de-mao-de-obra-empresas-brasileiras-contratam-haitianos-no-ac.html", "URL")</f>
        <v/>
      </c>
      <c r="Q3609">
        <f>HYPERLINK("https://raw.githubusercontent.com/marcosmapl/dataset_imigrantes/main/materias_filtered/g1/haitianos/2012/00_jan/html/g1_f72e2f1a-22f7-11ed-b24f-6dbe51e79fca_2108.html", "HTML")</f>
        <v/>
      </c>
      <c r="R3609">
        <f>HYPERLINK("https://raw.githubusercontent.com/marcosmapl/dataset_imigrantes/main/materias_filtered/g1/haitianos/2012/00_jan/txt/g1_f72e2f1a-22f7-11ed-b24f-6dbe51e79fca_2108.txt", "TXT")</f>
        <v/>
      </c>
    </row>
    <row r="3610">
      <c r="A3610" s="1" t="n">
        <v>3608</v>
      </c>
      <c r="B3610" t="n">
        <v>2012</v>
      </c>
      <c r="C3610" s="2" t="n">
        <v>40920.76666666667</v>
      </c>
      <c r="D3610" t="inlineStr">
        <is>
          <t>G1</t>
        </is>
      </c>
      <c r="E3610" t="inlineStr">
        <is>
          <t>HAITIANOS</t>
        </is>
      </c>
      <c r="F3610" t="inlineStr"/>
      <c r="G3610" t="inlineStr"/>
      <c r="H3610" t="inlineStr">
        <is>
          <t>CONSELHO DE IMIGRAÇÃO APROVA RESTRIÇÃO À ENTRADA DE HAITIANOS</t>
        </is>
      </c>
      <c r="I3610" t="inlineStr"/>
      <c r="J3610" t="inlineStr"/>
      <c r="K3610" t="n">
        <v>0</v>
      </c>
      <c r="L3610" t="n">
        <v>1</v>
      </c>
      <c r="M3610" t="n">
        <v>0</v>
      </c>
      <c r="N3610" t="n">
        <v>0</v>
      </c>
      <c r="O3610" t="n">
        <v>4</v>
      </c>
      <c r="P3610">
        <f>HYPERLINK("http://g1.globo.com/brasil/noticia/2012/01/conselho-de-imigracao-aprova-restricao-a-entrada-de-haitianos.html", "URL")</f>
        <v/>
      </c>
      <c r="Q3610">
        <f>HYPERLINK("https://raw.githubusercontent.com/marcosmapl/dataset_imigrantes/main/materias_filtered/g1/haitianos/2012/00_jan/html/g1_397b8370-22fa-11ed-b24f-6dbe51e79fca_2206.html", "HTML")</f>
        <v/>
      </c>
      <c r="R3610">
        <f>HYPERLINK("https://raw.githubusercontent.com/marcosmapl/dataset_imigrantes/main/materias_filtered/g1/haitianos/2012/00_jan/txt/g1_397b8370-22fa-11ed-b24f-6dbe51e79fca_2206.txt", "TXT")</f>
        <v/>
      </c>
    </row>
    <row r="3611">
      <c r="A3611" s="1" t="n">
        <v>3609</v>
      </c>
      <c r="B3611" t="n">
        <v>2012</v>
      </c>
      <c r="C3611" s="2" t="n">
        <v>40920.6103125</v>
      </c>
      <c r="D3611" t="inlineStr">
        <is>
          <t>A CRITICA</t>
        </is>
      </c>
      <c r="E3611" t="inlineStr">
        <is>
          <t>HAITIANOS</t>
        </is>
      </c>
      <c r="F3611" t="inlineStr">
        <is>
          <t>ESPORTES</t>
        </is>
      </c>
      <c r="G3611" t="inlineStr">
        <is>
          <t>FELIPE LIBÓRIO</t>
        </is>
      </c>
      <c r="H3611" t="inlineStr">
        <is>
          <t>AMAZONAS PEDE AJUDA AO GOVERNO FEDERAL PARA AÇÕES DE ASSISTÊNCIA AOS HAITIANOS</t>
        </is>
      </c>
      <c r="I3611" t="inlineStr">
        <is>
          <t>MINISTÉRIO DO DESENVOLVIMENTO SOCIAL E COMBATE À FOME (MDS) VAI LIBERAR R$ 300 MIL PARA SEREM USADOS EM AÇÕES ASSISTENCIAIS A HAITIANOS.</t>
        </is>
      </c>
      <c r="J3611" t="inlineStr"/>
      <c r="K3611" t="n">
        <v>0</v>
      </c>
      <c r="L3611" t="n">
        <v>1</v>
      </c>
      <c r="M3611" t="n">
        <v>0</v>
      </c>
      <c r="N3611" t="n">
        <v>0</v>
      </c>
      <c r="O3611" t="n">
        <v>0</v>
      </c>
      <c r="P3611">
        <f>HYPERLINK("https://www.acritica.com/esportes/amazonas-pede-ajuda-ao-governo-federal-para-ac-es-de-assistencia-aos-haitianos-1.167266", "URL")</f>
        <v/>
      </c>
      <c r="Q3611">
        <f>HYPERLINK("https://raw.githubusercontent.com/marcosmapl/dataset_imigrantes/main/materias_filtered/a_critica/haitianos/2012/00_jan/html/1.167266_1101.html", "HTML")</f>
        <v/>
      </c>
      <c r="R3611">
        <f>HYPERLINK("https://raw.githubusercontent.com/marcosmapl/dataset_imigrantes/main/materias_filtered/a_critica/haitianos/2012/00_jan/txt/1.167266_1101.txt", "TXT")</f>
        <v/>
      </c>
    </row>
    <row r="3612">
      <c r="A3612" s="1" t="n">
        <v>3610</v>
      </c>
      <c r="B3612" t="n">
        <v>2012</v>
      </c>
      <c r="C3612" s="2" t="n">
        <v>40920.59583333333</v>
      </c>
      <c r="D3612" t="inlineStr">
        <is>
          <t>G1</t>
        </is>
      </c>
      <c r="E3612" t="inlineStr">
        <is>
          <t>HAITIANOS</t>
        </is>
      </c>
      <c r="F3612" t="inlineStr"/>
      <c r="G3612" t="inlineStr">
        <is>
          <t>CE PRESSE</t>
        </is>
      </c>
      <c r="H3612" t="inlineStr">
        <is>
          <t>HAITIANOS NO BRASIL DIVIDIDOS SOBRE AS MEDIDAS IMIGRATÓRIAS</t>
        </is>
      </c>
      <c r="I3612" t="inlineStr"/>
      <c r="J3612" t="inlineStr"/>
      <c r="K3612" t="n">
        <v>0</v>
      </c>
      <c r="L3612" t="n">
        <v>1</v>
      </c>
      <c r="M3612" t="n">
        <v>0</v>
      </c>
      <c r="N3612" t="n">
        <v>0</v>
      </c>
      <c r="O3612" t="n">
        <v>4</v>
      </c>
      <c r="P3612">
        <f>HYPERLINK("http://g1.globo.com/mundo/noticia/2012/01/haitianos-no-brasil-divididos-sobre-as-medidas-imigratorias.html", "URL")</f>
        <v/>
      </c>
      <c r="Q3612">
        <f>HYPERLINK("https://raw.githubusercontent.com/marcosmapl/dataset_imigrantes/main/materias_filtered/g1/haitianos/2012/00_jan/html/g1_6d09190c-22f8-11ed-b24f-6dbe51e79fca_2133.html", "HTML")</f>
        <v/>
      </c>
      <c r="R3612">
        <f>HYPERLINK("https://raw.githubusercontent.com/marcosmapl/dataset_imigrantes/main/materias_filtered/g1/haitianos/2012/00_jan/txt/g1_6d09190c-22f8-11ed-b24f-6dbe51e79fca_2133.txt", "TXT")</f>
        <v/>
      </c>
    </row>
    <row r="3613">
      <c r="A3613" s="1" t="n">
        <v>3611</v>
      </c>
      <c r="B3613" t="n">
        <v>2012</v>
      </c>
      <c r="C3613" s="2" t="n">
        <v>40920.27916666667</v>
      </c>
      <c r="D3613" t="inlineStr">
        <is>
          <t>G1</t>
        </is>
      </c>
      <c r="E3613" t="inlineStr">
        <is>
          <t>HAITIANOS</t>
        </is>
      </c>
      <c r="F3613" t="inlineStr"/>
      <c r="G3613" t="inlineStr"/>
      <c r="H3613" t="inlineStr">
        <is>
          <t>CONTROLE MIGRATÓRIO DE HAITIANOS NO BRASIL GERA DEBATE</t>
        </is>
      </c>
      <c r="I3613" t="inlineStr"/>
      <c r="J3613" t="inlineStr"/>
      <c r="K3613" t="n">
        <v>0</v>
      </c>
      <c r="L3613" t="n">
        <v>1</v>
      </c>
      <c r="M3613" t="n">
        <v>0</v>
      </c>
      <c r="N3613" t="n">
        <v>0</v>
      </c>
      <c r="O3613" t="n">
        <v>4</v>
      </c>
      <c r="P3613">
        <f>HYPERLINK("http://g1.globo.com/brasil/noticia/2012/01/controle-migratorio-de-haitianos-no-brasil-gera-debate.html", "URL")</f>
        <v/>
      </c>
      <c r="Q3613">
        <f>HYPERLINK("https://raw.githubusercontent.com/marcosmapl/dataset_imigrantes/main/materias_filtered/g1/haitianos/2012/00_jan/html/g1_d2392956-22f4-11ed-b24f-6dbe51e79fca_1912.html", "HTML")</f>
        <v/>
      </c>
      <c r="R3613">
        <f>HYPERLINK("https://raw.githubusercontent.com/marcosmapl/dataset_imigrantes/main/materias_filtered/g1/haitianos/2012/00_jan/txt/g1_d2392956-22f4-11ed-b24f-6dbe51e79fca_1912.txt", "TXT")</f>
        <v/>
      </c>
    </row>
    <row r="3614">
      <c r="A3614" s="1" t="n">
        <v>3612</v>
      </c>
      <c r="B3614" t="n">
        <v>2012</v>
      </c>
      <c r="C3614" s="2" t="n">
        <v>40920.27708333333</v>
      </c>
      <c r="D3614" t="inlineStr">
        <is>
          <t>G1</t>
        </is>
      </c>
      <c r="E3614" t="inlineStr">
        <is>
          <t>HAITIANOS</t>
        </is>
      </c>
      <c r="F3614" t="inlineStr"/>
      <c r="G3614" t="inlineStr"/>
      <c r="H3614" t="inlineStr">
        <is>
          <t>HAITIANOS EM SP PENSAM EM VOLTAR A SEU PAÍS SÓ 'DE VISITA'</t>
        </is>
      </c>
      <c r="I3614" t="inlineStr"/>
      <c r="J3614" t="inlineStr"/>
      <c r="K3614" t="n">
        <v>0</v>
      </c>
      <c r="L3614" t="n">
        <v>1</v>
      </c>
      <c r="M3614" t="n">
        <v>0</v>
      </c>
      <c r="N3614" t="n">
        <v>0</v>
      </c>
      <c r="O3614" t="n">
        <v>4</v>
      </c>
      <c r="P3614">
        <f>HYPERLINK("http://g1.globo.com/brasil/noticia/2012/01/haitianos-em-sp-pensam-em-voltar-a-seu-pais-so-de-visita.html", "URL")</f>
        <v/>
      </c>
      <c r="Q3614">
        <f>HYPERLINK("https://raw.githubusercontent.com/marcosmapl/dataset_imigrantes/main/materias_filtered/g1/haitianos/2012/00_jan/html/g1_8f33515c-22ec-11ed-b24f-6dbe51e79fca_1661.html", "HTML")</f>
        <v/>
      </c>
      <c r="R3614">
        <f>HYPERLINK("https://raw.githubusercontent.com/marcosmapl/dataset_imigrantes/main/materias_filtered/g1/haitianos/2012/00_jan/txt/g1_8f33515c-22ec-11ed-b24f-6dbe51e79fca_1661.txt", "TXT")</f>
        <v/>
      </c>
    </row>
    <row r="3615">
      <c r="A3615" s="1" t="n">
        <v>3613</v>
      </c>
      <c r="B3615" t="n">
        <v>2012</v>
      </c>
      <c r="C3615" s="2" t="n">
        <v>40919.75416666667</v>
      </c>
      <c r="D3615" t="inlineStr">
        <is>
          <t>G1</t>
        </is>
      </c>
      <c r="E3615" t="inlineStr">
        <is>
          <t>HAITIANOS</t>
        </is>
      </c>
      <c r="F3615" t="inlineStr"/>
      <c r="G3615" t="inlineStr">
        <is>
          <t>CE PRESSE</t>
        </is>
      </c>
      <c r="H3615" t="inlineStr">
        <is>
          <t>COM ECONOMIA FORTE, BRASIL QUEBRA TRADIÇÃO E FREIA IMIGRAÇÃO HAITIANA</t>
        </is>
      </c>
      <c r="I3615" t="inlineStr"/>
      <c r="J3615" t="inlineStr"/>
      <c r="K3615" t="n">
        <v>0</v>
      </c>
      <c r="L3615" t="n">
        <v>1</v>
      </c>
      <c r="M3615" t="n">
        <v>0</v>
      </c>
      <c r="N3615" t="n">
        <v>0</v>
      </c>
      <c r="O3615" t="n">
        <v>4</v>
      </c>
      <c r="P3615">
        <f>HYPERLINK("http://g1.globo.com/mundo/noticia/2012/01/com-economia-forte-brasil-quebra-tradicao-e-freia-imigracao-haitiana.html", "URL")</f>
        <v/>
      </c>
      <c r="Q3615">
        <f>HYPERLINK("https://raw.githubusercontent.com/marcosmapl/dataset_imigrantes/main/materias_filtered/g1/haitianos/2012/00_jan/html/g1_cbc38db0-231b-11ed-b24f-6dbe51e79fca_3408.html", "HTML")</f>
        <v/>
      </c>
      <c r="R3615">
        <f>HYPERLINK("https://raw.githubusercontent.com/marcosmapl/dataset_imigrantes/main/materias_filtered/g1/haitianos/2012/00_jan/txt/g1_cbc38db0-231b-11ed-b24f-6dbe51e79fca_3408.txt", "TXT")</f>
        <v/>
      </c>
    </row>
    <row r="3616">
      <c r="A3616" s="1" t="n">
        <v>3614</v>
      </c>
      <c r="B3616" t="n">
        <v>2012</v>
      </c>
      <c r="C3616" s="2" t="n">
        <v>40919.36458333334</v>
      </c>
      <c r="D3616" t="inlineStr">
        <is>
          <t>G1</t>
        </is>
      </c>
      <c r="E3616" t="inlineStr">
        <is>
          <t>HAITIANOS</t>
        </is>
      </c>
      <c r="F3616" t="inlineStr"/>
      <c r="G3616" t="inlineStr"/>
      <c r="H3616" t="inlineStr">
        <is>
          <t>BRASIL ENFRENTA DESAFIO HUMANITÁRIO COM ONDA DE REFUGIADOS HAITIANOS</t>
        </is>
      </c>
      <c r="I3616" t="inlineStr"/>
      <c r="J3616" t="inlineStr">
        <is>
          <t>ACRE, AMAZONAS, HAITI, MINISTÉRIO DA JUSTIÇA, ONU</t>
        </is>
      </c>
      <c r="K3616" t="n">
        <v>5</v>
      </c>
      <c r="L3616" t="n">
        <v>4</v>
      </c>
      <c r="M3616" t="n">
        <v>0</v>
      </c>
      <c r="N3616" t="n">
        <v>0</v>
      </c>
      <c r="O3616" t="n">
        <v>13</v>
      </c>
      <c r="P3616">
        <f>HYPERLINK("http://g1.globo.com/globo-news/noticia/2012/01/brasil-enfrenta-desafio-humanitario-com-onda-de-refugiados-haitianos.html", "URL")</f>
        <v/>
      </c>
      <c r="Q3616">
        <f>HYPERLINK("https://raw.githubusercontent.com/marcosmapl/dataset_imigrantes/main/materias_filtered/g1/haitianos/2012/00_jan/html/g1_bc60a336-22f7-11ed-b24f-6dbe51e79fca_2093.html", "HTML")</f>
        <v/>
      </c>
      <c r="R3616">
        <f>HYPERLINK("https://raw.githubusercontent.com/marcosmapl/dataset_imigrantes/main/materias_filtered/g1/haitianos/2012/00_jan/txt/g1_bc60a336-22f7-11ed-b24f-6dbe51e79fca_2093.txt", "TXT")</f>
        <v/>
      </c>
    </row>
    <row r="3617">
      <c r="A3617" s="1" t="n">
        <v>3615</v>
      </c>
      <c r="B3617" t="n">
        <v>2012</v>
      </c>
      <c r="C3617" s="2" t="n">
        <v>40919.32013888889</v>
      </c>
      <c r="D3617" t="inlineStr">
        <is>
          <t>G1</t>
        </is>
      </c>
      <c r="E3617" t="inlineStr">
        <is>
          <t>HAITIANOS</t>
        </is>
      </c>
      <c r="F3617" t="inlineStr"/>
      <c r="G3617" t="inlineStr"/>
      <c r="H3617" t="inlineStr">
        <is>
          <t>GOVERNO DECIDE FECHAR AS FRONTEIRAS PARA OS HAITIANOS</t>
        </is>
      </c>
      <c r="I3617" t="inlineStr"/>
      <c r="J3617" t="inlineStr">
        <is>
          <t>TABATINGA, ACRE, AMAZONAS, BOLÍVIA, HAITI, PERU</t>
        </is>
      </c>
      <c r="K3617" t="n">
        <v>6</v>
      </c>
      <c r="L3617" t="n">
        <v>4</v>
      </c>
      <c r="M3617" t="n">
        <v>0</v>
      </c>
      <c r="N3617" t="n">
        <v>0</v>
      </c>
      <c r="O3617" t="n">
        <v>16</v>
      </c>
      <c r="P3617">
        <f>HYPERLINK("http://g1.globo.com/bom-dia-brasil/noticia/2012/01/governo-decide-fechar-fronteiras-para-os-haitianos.html", "URL")</f>
        <v/>
      </c>
      <c r="Q3617">
        <f>HYPERLINK("https://raw.githubusercontent.com/marcosmapl/dataset_imigrantes/main/materias_filtered/g1/haitianos/2012/00_jan/html/g1_18231cfc-22f4-11ed-b24f-6dbe51e79fca_1873.html", "HTML")</f>
        <v/>
      </c>
      <c r="R3617">
        <f>HYPERLINK("https://raw.githubusercontent.com/marcosmapl/dataset_imigrantes/main/materias_filtered/g1/haitianos/2012/00_jan/txt/g1_18231cfc-22f4-11ed-b24f-6dbe51e79fca_1873.txt", "TXT")</f>
        <v/>
      </c>
    </row>
    <row r="3618">
      <c r="A3618" s="1" t="n">
        <v>3616</v>
      </c>
      <c r="B3618" t="n">
        <v>2012</v>
      </c>
      <c r="C3618" s="2" t="n">
        <v>40918.99594907407</v>
      </c>
      <c r="D3618" t="inlineStr">
        <is>
          <t>A CRITICA</t>
        </is>
      </c>
      <c r="E3618" t="inlineStr">
        <is>
          <t>HAITIANOS</t>
        </is>
      </c>
      <c r="F3618" t="inlineStr"/>
      <c r="G3618" t="inlineStr">
        <is>
          <t>ACRÍTICA.COM</t>
        </is>
      </c>
      <c r="H3618" t="inlineStr">
        <is>
          <t>GOVERNO BRASILEIRO VAI CONTROLAR ENTRADA DE HAITIANOS NO PAÍS E LIMITAR VISTOS</t>
        </is>
      </c>
      <c r="I3618" t="inlineStr">
        <is>
          <t>DECISÃO FOI TOMADA DURANTE REUNIÃO OCORRIDA NESTA TERÇA-FEIRA ENTRE A PRESIDENTE DILMA ROUSSEFF E MINISTROS</t>
        </is>
      </c>
      <c r="J3618" t="inlineStr"/>
      <c r="K3618" t="n">
        <v>0</v>
      </c>
      <c r="L3618" t="n">
        <v>1</v>
      </c>
      <c r="M3618" t="n">
        <v>0</v>
      </c>
      <c r="N3618" t="n">
        <v>0</v>
      </c>
      <c r="O3618" t="n">
        <v>1</v>
      </c>
      <c r="P3618">
        <f>HYPERLINK("https://www.acritica.com/governo-brasileiro-vai-controlar-entrada-de-haitianos-no-pais-e-limitar-vistos-1.167294", "URL")</f>
        <v/>
      </c>
      <c r="Q3618">
        <f>HYPERLINK("https://raw.githubusercontent.com/marcosmapl/dataset_imigrantes/main/materias_filtered/a_critica/haitianos/2012/00_jan/html/1.167294_474.html", "HTML")</f>
        <v/>
      </c>
      <c r="R3618">
        <f>HYPERLINK("https://raw.githubusercontent.com/marcosmapl/dataset_imigrantes/main/materias_filtered/a_critica/haitianos/2012/00_jan/txt/1.167294_474.txt", "TXT")</f>
        <v/>
      </c>
    </row>
    <row r="3619">
      <c r="A3619" s="1" t="n">
        <v>3617</v>
      </c>
      <c r="B3619" t="n">
        <v>2012</v>
      </c>
      <c r="C3619" s="2" t="n">
        <v>40918.92152777778</v>
      </c>
      <c r="D3619" t="inlineStr">
        <is>
          <t>G1</t>
        </is>
      </c>
      <c r="E3619" t="inlineStr">
        <is>
          <t>HAITIANOS</t>
        </is>
      </c>
      <c r="F3619" t="inlineStr"/>
      <c r="G3619" t="inlineStr"/>
      <c r="H3619" t="inlineStr">
        <is>
          <t>HAITIANOS RECLAMAM DA DEMORA PARA CONSEGUIREM VISTO DE PERMANÊNCIA</t>
        </is>
      </c>
      <c r="I3619" t="inlineStr"/>
      <c r="J3619" t="inlineStr"/>
      <c r="K3619" t="n">
        <v>0</v>
      </c>
      <c r="L3619" t="n">
        <v>0</v>
      </c>
      <c r="M3619" t="n">
        <v>0</v>
      </c>
      <c r="N3619" t="n">
        <v>0</v>
      </c>
      <c r="O3619" t="n">
        <v>4</v>
      </c>
      <c r="P3619">
        <f>HYPERLINK("http://g1.globo.com/jornal-nacional/noticia/2012/01/haitianos-reclamam-da-demora-para-conseguirem-visto-de-permanencia.html", "URL")</f>
        <v/>
      </c>
      <c r="Q3619">
        <f>HYPERLINK("https://raw.githubusercontent.com/marcosmapl/dataset_imigrantes/main/materias_filtered/g1/haitianos/2012/00_jan/html/g1_37e998f0-22f3-11ed-b24f-6dbe51e79fca_1830.html", "HTML")</f>
        <v/>
      </c>
      <c r="R3619">
        <f>HYPERLINK("https://raw.githubusercontent.com/marcosmapl/dataset_imigrantes/main/materias_filtered/g1/haitianos/2012/00_jan/txt/g1_37e998f0-22f3-11ed-b24f-6dbe51e79fca_1830.txt", "TXT")</f>
        <v/>
      </c>
    </row>
    <row r="3620">
      <c r="A3620" s="1" t="n">
        <v>3618</v>
      </c>
      <c r="B3620" t="n">
        <v>2012</v>
      </c>
      <c r="C3620" s="2" t="n">
        <v>40918.7375</v>
      </c>
      <c r="D3620" t="inlineStr">
        <is>
          <t>G1</t>
        </is>
      </c>
      <c r="E3620" t="inlineStr">
        <is>
          <t>HAITIANOS</t>
        </is>
      </c>
      <c r="F3620" t="inlineStr"/>
      <c r="G3620" t="inlineStr"/>
      <c r="H3620" t="inlineStr">
        <is>
          <t>ENTENDA A SITUAÇÃO DOS HAITIANOS REFUGIADOS NO BRASIL</t>
        </is>
      </c>
      <c r="I3620" t="inlineStr"/>
      <c r="J3620" t="inlineStr"/>
      <c r="K3620" t="n">
        <v>0</v>
      </c>
      <c r="L3620" t="n">
        <v>0</v>
      </c>
      <c r="M3620" t="n">
        <v>0</v>
      </c>
      <c r="N3620" t="n">
        <v>0</v>
      </c>
      <c r="O3620" t="n">
        <v>4</v>
      </c>
      <c r="P3620">
        <f>HYPERLINK("http://g1.globo.com/globo-news/noticia/2012/01/entenda-situacao-dos-haitianos-refugiados-no-brasil.html", "URL")</f>
        <v/>
      </c>
      <c r="Q3620">
        <f>HYPERLINK("https://raw.githubusercontent.com/marcosmapl/dataset_imigrantes/main/materias_filtered/g1/haitianos/2012/00_jan/html/g1_60bb03d6-22f8-11ed-b24f-6dbe51e79fca_2129.html", "HTML")</f>
        <v/>
      </c>
      <c r="R3620">
        <f>HYPERLINK("https://raw.githubusercontent.com/marcosmapl/dataset_imigrantes/main/materias_filtered/g1/haitianos/2012/00_jan/txt/g1_60bb03d6-22f8-11ed-b24f-6dbe51e79fca_2129.txt", "TXT")</f>
        <v/>
      </c>
    </row>
    <row r="3621">
      <c r="A3621" s="1" t="n">
        <v>3619</v>
      </c>
      <c r="B3621" t="n">
        <v>2012</v>
      </c>
      <c r="C3621" s="2" t="n">
        <v>40918.72986111111</v>
      </c>
      <c r="D3621" t="inlineStr">
        <is>
          <t>G1</t>
        </is>
      </c>
      <c r="E3621" t="inlineStr">
        <is>
          <t>HAITIANOS</t>
        </is>
      </c>
      <c r="F3621" t="inlineStr"/>
      <c r="G3621" t="inlineStr">
        <is>
          <t>ERS</t>
        </is>
      </c>
      <c r="H3621" t="inlineStr">
        <is>
          <t>BRASIL CONCEDERÁ VISTOS A 4 MIL HAITIANOS ILEGAIS NO PAÍS</t>
        </is>
      </c>
      <c r="I3621" t="inlineStr"/>
      <c r="J3621" t="inlineStr"/>
      <c r="K3621" t="n">
        <v>0</v>
      </c>
      <c r="L3621" t="n">
        <v>1</v>
      </c>
      <c r="M3621" t="n">
        <v>0</v>
      </c>
      <c r="N3621" t="n">
        <v>0</v>
      </c>
      <c r="O3621" t="n">
        <v>4</v>
      </c>
      <c r="P3621">
        <f>HYPERLINK("http://g1.globo.com/politica/noticia/2012/01/brasil-concedera-vistos-a-4-mil-haitianos-ilegais-no-pais-2.html", "URL")</f>
        <v/>
      </c>
      <c r="Q3621">
        <f>HYPERLINK("https://raw.githubusercontent.com/marcosmapl/dataset_imigrantes/main/materias_filtered/g1/haitianos/2012/00_jan/html/g1_5acd7fd6-22f7-11ed-b24f-6dbe51e79fca_2074.html", "HTML")</f>
        <v/>
      </c>
      <c r="R3621">
        <f>HYPERLINK("https://raw.githubusercontent.com/marcosmapl/dataset_imigrantes/main/materias_filtered/g1/haitianos/2012/00_jan/txt/g1_5acd7fd6-22f7-11ed-b24f-6dbe51e79fca_2074.txt", "TXT")</f>
        <v/>
      </c>
    </row>
    <row r="3622">
      <c r="A3622" s="1" t="n">
        <v>3620</v>
      </c>
      <c r="B3622" t="n">
        <v>2012</v>
      </c>
      <c r="C3622" s="2" t="n">
        <v>40918.72986111111</v>
      </c>
      <c r="D3622" t="inlineStr">
        <is>
          <t>G1</t>
        </is>
      </c>
      <c r="E3622" t="inlineStr">
        <is>
          <t>HAITIANOS</t>
        </is>
      </c>
      <c r="F3622" t="inlineStr"/>
      <c r="G3622" t="inlineStr">
        <is>
          <t>ERS</t>
        </is>
      </c>
      <c r="H3622" t="inlineStr">
        <is>
          <t>BRASIL CONCEDERÁ VISTOS A 4 MIL HAITIANOS ILEGAIS NO PAÍS</t>
        </is>
      </c>
      <c r="I3622" t="inlineStr"/>
      <c r="J3622" t="inlineStr"/>
      <c r="K3622" t="n">
        <v>0</v>
      </c>
      <c r="L3622" t="n">
        <v>1</v>
      </c>
      <c r="M3622" t="n">
        <v>0</v>
      </c>
      <c r="N3622" t="n">
        <v>0</v>
      </c>
      <c r="O3622" t="n">
        <v>4</v>
      </c>
      <c r="P3622">
        <f>HYPERLINK("http://g1.globo.com/mundo/noticia/2012/01/brasil-concedera-vistos-a-4-mil-haitianos-ilegais-no-pais-1.html", "URL")</f>
        <v/>
      </c>
      <c r="Q3622">
        <f>HYPERLINK("https://raw.githubusercontent.com/marcosmapl/dataset_imigrantes/main/materias_filtered/g1/haitianos/2012/00_jan/html/g1_0245ba78-22f1-11ed-b24f-6dbe51e79fca_1730.html", "HTML")</f>
        <v/>
      </c>
      <c r="R3622">
        <f>HYPERLINK("https://raw.githubusercontent.com/marcosmapl/dataset_imigrantes/main/materias_filtered/g1/haitianos/2012/00_jan/txt/g1_0245ba78-22f1-11ed-b24f-6dbe51e79fca_1730.txt", "TXT")</f>
        <v/>
      </c>
    </row>
    <row r="3623">
      <c r="A3623" s="1" t="n">
        <v>3621</v>
      </c>
      <c r="B3623" t="n">
        <v>2012</v>
      </c>
      <c r="C3623" s="2" t="n">
        <v>40918.72986111111</v>
      </c>
      <c r="D3623" t="inlineStr">
        <is>
          <t>G1</t>
        </is>
      </c>
      <c r="E3623" t="inlineStr">
        <is>
          <t>HAITIANOS</t>
        </is>
      </c>
      <c r="F3623" t="inlineStr"/>
      <c r="G3623" t="inlineStr">
        <is>
          <t>ERS</t>
        </is>
      </c>
      <c r="H3623" t="inlineStr">
        <is>
          <t>BRASIL CONCEDERÁ VISTOS A 4 MIL HAITIANOS ILEGAIS NO PAÍS</t>
        </is>
      </c>
      <c r="I3623" t="inlineStr"/>
      <c r="J3623" t="inlineStr"/>
      <c r="K3623" t="n">
        <v>0</v>
      </c>
      <c r="L3623" t="n">
        <v>1</v>
      </c>
      <c r="M3623" t="n">
        <v>0</v>
      </c>
      <c r="N3623" t="n">
        <v>0</v>
      </c>
      <c r="O3623" t="n">
        <v>4</v>
      </c>
      <c r="P3623">
        <f>HYPERLINK("http://g1.globo.com/mundo/noticia/2012/01/brasil-concedera-vistos-a-4-mil-haitianos-ilegais-no-pais.html", "URL")</f>
        <v/>
      </c>
      <c r="Q3623">
        <f>HYPERLINK("https://raw.githubusercontent.com/marcosmapl/dataset_imigrantes/main/materias_filtered/g1/haitianos/2012/00_jan/html/g1_ca5f5f2e-22fa-11ed-b24f-6dbe51e79fca_2241.html", "HTML")</f>
        <v/>
      </c>
      <c r="R3623">
        <f>HYPERLINK("https://raw.githubusercontent.com/marcosmapl/dataset_imigrantes/main/materias_filtered/g1/haitianos/2012/00_jan/txt/g1_ca5f5f2e-22fa-11ed-b24f-6dbe51e79fca_2241.txt", "TXT")</f>
        <v/>
      </c>
    </row>
    <row r="3624">
      <c r="A3624" s="1" t="n">
        <v>3622</v>
      </c>
      <c r="B3624" t="n">
        <v>2012</v>
      </c>
      <c r="C3624" s="2" t="n">
        <v>40918.01319444444</v>
      </c>
      <c r="D3624" t="inlineStr">
        <is>
          <t>G1</t>
        </is>
      </c>
      <c r="E3624" t="inlineStr">
        <is>
          <t>HAITIANOS</t>
        </is>
      </c>
      <c r="F3624" t="inlineStr"/>
      <c r="G3624" t="inlineStr"/>
      <c r="H3624" t="inlineStr">
        <is>
          <t>GOVERNO CONCEDE VISTO HUMANITÁRIO PARA IMIGRANTES HAITIANOS</t>
        </is>
      </c>
      <c r="I3624" t="inlineStr"/>
      <c r="J3624" t="inlineStr">
        <is>
          <t>ACRE, AMAZONAS, HAITI, MINISTÉRIO DO TRABALHO</t>
        </is>
      </c>
      <c r="K3624" t="n">
        <v>4</v>
      </c>
      <c r="L3624" t="n">
        <v>4</v>
      </c>
      <c r="M3624" t="n">
        <v>0</v>
      </c>
      <c r="N3624" t="n">
        <v>0</v>
      </c>
      <c r="O3624" t="n">
        <v>14</v>
      </c>
      <c r="P3624">
        <f>HYPERLINK("http://g1.globo.com/globo-news/noticia/2012/01/governo-concede-visto-humanitario-para-imigrantes-haitianos.html", "URL")</f>
        <v/>
      </c>
      <c r="Q3624">
        <f>HYPERLINK("https://raw.githubusercontent.com/marcosmapl/dataset_imigrantes/main/materias_filtered/g1/haitianos/2012/00_jan/html/g1_9c426916-22f4-11ed-b24f-6dbe51e79fca_1901.html", "HTML")</f>
        <v/>
      </c>
      <c r="R3624">
        <f>HYPERLINK("https://raw.githubusercontent.com/marcosmapl/dataset_imigrantes/main/materias_filtered/g1/haitianos/2012/00_jan/txt/g1_9c426916-22f4-11ed-b24f-6dbe51e79fca_1901.txt", "TXT")</f>
        <v/>
      </c>
    </row>
    <row r="3625">
      <c r="A3625" s="1" t="n">
        <v>3623</v>
      </c>
      <c r="B3625" t="n">
        <v>2012</v>
      </c>
      <c r="C3625" s="2" t="n">
        <v>40915.05972222222</v>
      </c>
      <c r="D3625" t="inlineStr">
        <is>
          <t>G1</t>
        </is>
      </c>
      <c r="E3625" t="inlineStr">
        <is>
          <t>HAITIANOS</t>
        </is>
      </c>
      <c r="F3625" t="inlineStr"/>
      <c r="G3625" t="inlineStr">
        <is>
          <t>ON DOURADOBRASILEIA, AC</t>
        </is>
      </c>
      <c r="H3625" t="inlineStr">
        <is>
          <t>HAITIANOS ATRAVESSAM FRONTEIRA ILEGALMENTE PARA VIVER NO BRASIL</t>
        </is>
      </c>
      <c r="I3625" t="inlineStr"/>
      <c r="J3625" t="inlineStr"/>
      <c r="K3625" t="n">
        <v>0</v>
      </c>
      <c r="L3625" t="n">
        <v>0</v>
      </c>
      <c r="M3625" t="n">
        <v>0</v>
      </c>
      <c r="N3625" t="n">
        <v>0</v>
      </c>
      <c r="O3625" t="n">
        <v>4</v>
      </c>
      <c r="P3625">
        <f>HYPERLINK("http://g1.globo.com/jornal-da-globo/noticia/2012/01/haitianos-atravessam-fronteira-ilegalmente-para-viver-no-brasil.html", "URL")</f>
        <v/>
      </c>
      <c r="Q3625">
        <f>HYPERLINK("https://raw.githubusercontent.com/marcosmapl/dataset_imigrantes/main/materias_filtered/g1/haitianos/2012/00_jan/html/g1_9fec73d0-22fa-11ed-b24f-6dbe51e79fca_2232.html", "HTML")</f>
        <v/>
      </c>
      <c r="R3625">
        <f>HYPERLINK("https://raw.githubusercontent.com/marcosmapl/dataset_imigrantes/main/materias_filtered/g1/haitianos/2012/00_jan/txt/g1_9fec73d0-22fa-11ed-b24f-6dbe51e79fca_2232.txt", "TXT")</f>
        <v/>
      </c>
    </row>
    <row r="3626">
      <c r="A3626" s="1" t="n">
        <v>3624</v>
      </c>
      <c r="B3626" t="n">
        <v>2012</v>
      </c>
      <c r="C3626" s="2" t="n">
        <v>40914.90138888889</v>
      </c>
      <c r="D3626" t="inlineStr">
        <is>
          <t>G1</t>
        </is>
      </c>
      <c r="E3626" t="inlineStr">
        <is>
          <t>HAITIANOS</t>
        </is>
      </c>
      <c r="F3626" t="inlineStr"/>
      <c r="G3626" t="inlineStr"/>
      <c r="H3626" t="inlineStr">
        <is>
          <t>HAITIANOS CHEGAM PELA FRONTEIRA DA AMAZÔNIA À PROCURA DE TRABALHO</t>
        </is>
      </c>
      <c r="I3626" t="inlineStr"/>
      <c r="J3626" t="inlineStr">
        <is>
          <t>ACRE, AMAZONAS</t>
        </is>
      </c>
      <c r="K3626" t="n">
        <v>2</v>
      </c>
      <c r="L3626" t="n">
        <v>3</v>
      </c>
      <c r="M3626" t="n">
        <v>0</v>
      </c>
      <c r="N3626" t="n">
        <v>0</v>
      </c>
      <c r="O3626" t="n">
        <v>12</v>
      </c>
      <c r="P3626">
        <f>HYPERLINK("http://g1.globo.com/jornal-nacional/noticia/2012/01/haitianos-chegam-pela-fronteira-da-amazonia-procura-de-trabalho.html", "URL")</f>
        <v/>
      </c>
      <c r="Q3626">
        <f>HYPERLINK("https://raw.githubusercontent.com/marcosmapl/dataset_imigrantes/main/materias_filtered/g1/haitianos/2012/00_jan/html/g1_62326582-22f4-11ed-b24f-6dbe51e79fca_1885.html", "HTML")</f>
        <v/>
      </c>
      <c r="R3626">
        <f>HYPERLINK("https://raw.githubusercontent.com/marcosmapl/dataset_imigrantes/main/materias_filtered/g1/haitianos/2012/00_jan/txt/g1_62326582-22f4-11ed-b24f-6dbe51e79fca_1885.txt", "TXT")</f>
        <v/>
      </c>
    </row>
    <row r="3627">
      <c r="A3627" s="1" t="n">
        <v>3625</v>
      </c>
      <c r="B3627" t="n">
        <v>2012</v>
      </c>
      <c r="C3627" s="2" t="n">
        <v>40913.81548611111</v>
      </c>
      <c r="D3627" t="inlineStr">
        <is>
          <t>A CRITICA</t>
        </is>
      </c>
      <c r="E3627" t="inlineStr">
        <is>
          <t>HAITIANOS</t>
        </is>
      </c>
      <c r="F3627" t="inlineStr"/>
      <c r="G3627" t="inlineStr">
        <is>
          <t>ELAÍZE FARIAS</t>
        </is>
      </c>
      <c r="H3627" t="inlineStr">
        <is>
          <t>MÉDICOS SEM FRONTEIRA ELABORA DOCUMENTO PARA DIVULGAR SITUAÇÃO CRÍTICA DE HAITIANOS NO AM</t>
        </is>
      </c>
      <c r="I3627" t="inlineStr">
        <is>
          <t>COORDENADORA DA ONG QUE ESTÁ EM TABATINGA RELATA VULNERABILIDADE SANITÁRIA E DE SAÚDE DE IMIGRANTES QUE ESTÃO NO MUNICÍPIO</t>
        </is>
      </c>
      <c r="J3627" t="inlineStr"/>
      <c r="K3627" t="n">
        <v>0</v>
      </c>
      <c r="L3627" t="n">
        <v>1</v>
      </c>
      <c r="M3627" t="n">
        <v>0</v>
      </c>
      <c r="N3627" t="n">
        <v>0</v>
      </c>
      <c r="O3627" t="n">
        <v>0</v>
      </c>
      <c r="P3627">
        <f>HYPERLINK("https://www.acritica.com/medicos-sem-fronteira-elabora-documento-para-divulgar-situac-o-critica-de-haitianos-no-am-1.167017", "URL")</f>
        <v/>
      </c>
      <c r="Q3627">
        <f>HYPERLINK("https://raw.githubusercontent.com/marcosmapl/dataset_imigrantes/main/materias_filtered/a_critica/haitianos/2012/00_jan/html/1.167017_269.html", "HTML")</f>
        <v/>
      </c>
      <c r="R3627">
        <f>HYPERLINK("https://raw.githubusercontent.com/marcosmapl/dataset_imigrantes/main/materias_filtered/a_critica/haitianos/2012/00_jan/txt/1.167017_269.txt", "TXT")</f>
        <v/>
      </c>
    </row>
    <row r="3628">
      <c r="A3628" s="1" t="n">
        <v>3626</v>
      </c>
      <c r="B3628" t="n">
        <v>2012</v>
      </c>
      <c r="C3628" s="2" t="n">
        <v>40913.81167824074</v>
      </c>
      <c r="D3628" t="inlineStr">
        <is>
          <t>A CRITICA</t>
        </is>
      </c>
      <c r="E3628" t="inlineStr">
        <is>
          <t>HAITIANOS</t>
        </is>
      </c>
      <c r="F3628" t="inlineStr"/>
      <c r="G3628" t="inlineStr">
        <is>
          <t>FELIPE LIBÓRIO</t>
        </is>
      </c>
      <c r="H3628" t="inlineStr">
        <is>
          <t>ENTIDADES QUE ASSISTEM IMIGRANTES HAITIANOS PEDEM PROVIDÊNCIAS ÀS AUTORIDADES</t>
        </is>
      </c>
      <c r="I3628" t="inlineStr">
        <is>
          <t>REFUGIADOS DO HAITI QUE ESTÃO EM TABATINGA VIVEM DRAMA NA FRONTEIRA, BOA PARTE DELES ESTÃO NO BRASIL EM CONDIÇÕES PRECÁRIAS</t>
        </is>
      </c>
      <c r="J3628" t="inlineStr"/>
      <c r="K3628" t="n">
        <v>0</v>
      </c>
      <c r="L3628" t="n">
        <v>1</v>
      </c>
      <c r="M3628" t="n">
        <v>0</v>
      </c>
      <c r="N3628" t="n">
        <v>0</v>
      </c>
      <c r="O3628" t="n">
        <v>0</v>
      </c>
      <c r="P3628">
        <f>HYPERLINK("https://www.acritica.com/entidades-que-assistem-imigrantes-haitianos-pedem-providencias-as-autoridades-1.167069", "URL")</f>
        <v/>
      </c>
      <c r="Q3628">
        <f>HYPERLINK("https://raw.githubusercontent.com/marcosmapl/dataset_imigrantes/main/materias_filtered/a_critica/haitianos/2012/00_jan/html/1.167069_1149.html", "HTML")</f>
        <v/>
      </c>
      <c r="R3628">
        <f>HYPERLINK("https://raw.githubusercontent.com/marcosmapl/dataset_imigrantes/main/materias_filtered/a_critica/haitianos/2012/00_jan/txt/1.167069_1149.txt", "TXT")</f>
        <v/>
      </c>
    </row>
    <row r="3629">
      <c r="A3629" s="1" t="n">
        <v>3627</v>
      </c>
      <c r="B3629" t="n">
        <v>2012</v>
      </c>
      <c r="C3629" s="2" t="n">
        <v>40913.49204861111</v>
      </c>
      <c r="D3629" t="inlineStr">
        <is>
          <t>A CRITICA</t>
        </is>
      </c>
      <c r="E3629" t="inlineStr">
        <is>
          <t>VENEZUELANOS</t>
        </is>
      </c>
      <c r="F3629" t="inlineStr"/>
      <c r="G3629" t="inlineStr">
        <is>
          <t>AFP</t>
        </is>
      </c>
      <c r="H3629" t="inlineStr">
        <is>
          <t>HUGO CHÁVEZ ALERTA MISS MUNDO SOBRE PLÁSTICAS</t>
        </is>
      </c>
      <c r="I3629" t="inlineStr">
        <is>
          <t>CHÁVEZ DESEJOU À JOVEM MISS, UMA MORENA DE CABELO COMPRIDO E OLHOS NEGROS, "TODO O SUCESSO ESTE ANO"</t>
        </is>
      </c>
      <c r="J3629" t="inlineStr"/>
      <c r="K3629" t="n">
        <v>0</v>
      </c>
      <c r="L3629" t="n">
        <v>1</v>
      </c>
      <c r="M3629" t="n">
        <v>0</v>
      </c>
      <c r="N3629" t="n">
        <v>0</v>
      </c>
      <c r="O3629" t="n">
        <v>0</v>
      </c>
      <c r="P3629">
        <f>HYPERLINK("https://www.acritica.com/hugo-chavez-alerta-miss-mundo-sobre-plasticas-1.167037", "URL")</f>
        <v/>
      </c>
      <c r="Q3629">
        <f>HYPERLINK("https://raw.githubusercontent.com/marcosmapl/dataset_imigrantes/main/materias_filtered/a_critica/venezuelanos/2012/00_jan/html/1.167037_1078.html", "HTML")</f>
        <v/>
      </c>
      <c r="R3629">
        <f>HYPERLINK("https://raw.githubusercontent.com/marcosmapl/dataset_imigrantes/main/materias_filtered/a_critica/venezuelanos/2012/00_jan/txt/1.167037_1078.txt", "TXT")</f>
        <v/>
      </c>
    </row>
    <row r="3630">
      <c r="A3630" s="1" t="n">
        <v>3628</v>
      </c>
      <c r="B3630" t="n">
        <v>2012</v>
      </c>
      <c r="C3630" s="2" t="n">
        <v>40910.28125</v>
      </c>
      <c r="D3630" t="inlineStr">
        <is>
          <t>G1</t>
        </is>
      </c>
      <c r="E3630" t="inlineStr">
        <is>
          <t>HAITIANOS</t>
        </is>
      </c>
      <c r="F3630" t="inlineStr"/>
      <c r="G3630" t="inlineStr">
        <is>
          <t>CE PRESSE</t>
        </is>
      </c>
      <c r="H3630" t="inlineStr">
        <is>
          <t>COMISSÃO HAITIANA RECOMENDA RESTAURAÇÃO DO EXÉRCITO</t>
        </is>
      </c>
      <c r="I3630" t="inlineStr"/>
      <c r="J3630" t="inlineStr"/>
      <c r="K3630" t="n">
        <v>0</v>
      </c>
      <c r="L3630" t="n">
        <v>1</v>
      </c>
      <c r="M3630" t="n">
        <v>0</v>
      </c>
      <c r="N3630" t="n">
        <v>0</v>
      </c>
      <c r="O3630" t="n">
        <v>4</v>
      </c>
      <c r="P3630">
        <f>HYPERLINK("http://g1.globo.com/mundo/noticia/2012/01/comissao-haitiana-recomenda-restauracao-do-exercito.html", "URL")</f>
        <v/>
      </c>
      <c r="Q3630">
        <f>HYPERLINK("https://raw.githubusercontent.com/marcosmapl/dataset_imigrantes/main/materias_filtered/g1/haitianos/2012/00_jan/html/g1_d01f0e56-232b-11ed-b24f-6dbe51e79fca_4272.html", "HTML")</f>
        <v/>
      </c>
      <c r="R3630">
        <f>HYPERLINK("https://raw.githubusercontent.com/marcosmapl/dataset_imigrantes/main/materias_filtered/g1/haitianos/2012/00_jan/txt/g1_d01f0e56-232b-11ed-b24f-6dbe51e79fca_4272.txt", "TXT")</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2022-08-24T21:05:57Z</dcterms:created>
  <dcterms:modified xsi:type="dcterms:W3CDTF">2022-08-24T21:05:57Z</dcterms:modified>
</cp:coreProperties>
</file>