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TRABALHO\graus_SPFO\notas_streamlit_projeto\"/>
    </mc:Choice>
  </mc:AlternateContent>
  <xr:revisionPtr revIDLastSave="0" documentId="13_ncr:1_{35635459-BEC2-430B-88CE-867E22B8AAD1}" xr6:coauthVersionLast="47" xr6:coauthVersionMax="47" xr10:uidLastSave="{00000000-0000-0000-0000-000000000000}"/>
  <bookViews>
    <workbookView xWindow="-120" yWindow="-120" windowWidth="29040" windowHeight="15720" tabRatio="843" firstSheet="1" activeTab="1" xr2:uid="{00000000-000D-0000-FFFF-FFFF00000000}"/>
  </bookViews>
  <sheets>
    <sheet name="Dados" sheetId="8" state="hidden" r:id="rId1"/>
    <sheet name="DB EMPREGOS" sheetId="9" r:id="rId2"/>
    <sheet name="DB TAP" sheetId="12" r:id="rId3"/>
    <sheet name="RESULTADOS AR-SOLO" sheetId="10" r:id="rId4"/>
    <sheet name="RESULTADOS TAP" sheetId="13" r:id="rId5"/>
  </sheets>
  <definedNames>
    <definedName name="_xlnm._FilterDatabase" localSheetId="1" hidden="1">'DB EMPREGOS'!$D$1:$D$162</definedName>
    <definedName name="A">#REF!</definedName>
    <definedName name="_xlnm.Extract" localSheetId="1">'DB EMPREGOS'!#REF!</definedName>
    <definedName name="b">Dados!$A$1</definedName>
    <definedName name="MODALIDADES">Dados!$B$19:$B$25,Dados!$B$27:$B$30,Dados!$B$32:$B$38</definedName>
    <definedName name="Modos">Dados!$B$18:$B$38</definedName>
    <definedName name="TRIGRAMAS">Dados!$E$2:$E$78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3" l="1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4" i="13"/>
  <c r="F8" i="12"/>
  <c r="F24" i="12"/>
  <c r="F3" i="12"/>
  <c r="F12" i="12"/>
  <c r="F32" i="12"/>
  <c r="F13" i="12"/>
  <c r="F19" i="12"/>
  <c r="F4" i="12"/>
  <c r="F27" i="12"/>
  <c r="F28" i="12"/>
  <c r="F6" i="12"/>
  <c r="F5" i="12"/>
  <c r="F20" i="12"/>
  <c r="F9" i="12"/>
  <c r="F2" i="12"/>
  <c r="F7" i="12"/>
  <c r="F21" i="12"/>
  <c r="F29" i="12"/>
  <c r="F15" i="12"/>
  <c r="F25" i="12"/>
  <c r="F14" i="12"/>
  <c r="F22" i="12"/>
  <c r="F26" i="12"/>
  <c r="F30" i="12"/>
  <c r="F10" i="12"/>
  <c r="F16" i="12"/>
  <c r="F18" i="12"/>
  <c r="F23" i="12"/>
  <c r="F17" i="12"/>
  <c r="F31" i="12"/>
  <c r="F11" i="12"/>
  <c r="E23" i="12"/>
  <c r="E22" i="12"/>
  <c r="E21" i="12"/>
  <c r="E14" i="12"/>
  <c r="E16" i="12"/>
  <c r="E10" i="12"/>
  <c r="E19" i="12"/>
  <c r="E28" i="12"/>
  <c r="E25" i="12"/>
  <c r="E27" i="12"/>
  <c r="E18" i="12"/>
  <c r="E2" i="12"/>
  <c r="E20" i="12"/>
  <c r="E17" i="12"/>
  <c r="E15" i="12"/>
  <c r="E31" i="12"/>
  <c r="E30" i="12"/>
  <c r="E5" i="12"/>
  <c r="E26" i="12"/>
  <c r="E32" i="12"/>
  <c r="E29" i="12"/>
  <c r="E24" i="12"/>
  <c r="E11" i="12"/>
  <c r="E7" i="12"/>
  <c r="E6" i="12"/>
  <c r="E12" i="12"/>
  <c r="E4" i="12"/>
  <c r="E8" i="12"/>
  <c r="E13" i="12"/>
  <c r="E3" i="12"/>
  <c r="E9" i="12"/>
  <c r="E4" i="10" a="1"/>
  <c r="E4" i="10" s="1"/>
  <c r="M4" i="10" a="1"/>
  <c r="M4" i="10" s="1"/>
  <c r="R5" i="10" a="1"/>
  <c r="R5" i="10" s="1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 s="1"/>
  <c r="R15" i="10" a="1"/>
  <c r="R15" i="10" s="1"/>
  <c r="R16" i="10" a="1"/>
  <c r="R16" i="10" s="1"/>
  <c r="R17" i="10" a="1"/>
  <c r="R17" i="10" s="1"/>
  <c r="R18" i="10" a="1"/>
  <c r="R18" i="10" s="1"/>
  <c r="R19" i="10" a="1"/>
  <c r="R19" i="10" s="1"/>
  <c r="R20" i="10" a="1"/>
  <c r="R20" i="10" s="1"/>
  <c r="R21" i="10" a="1"/>
  <c r="R21" i="10" s="1"/>
  <c r="R22" i="10" a="1"/>
  <c r="R22" i="10" s="1"/>
  <c r="R23" i="10" a="1"/>
  <c r="R23" i="10" s="1"/>
  <c r="R24" i="10" a="1"/>
  <c r="R24" i="10" s="1"/>
  <c r="R25" i="10" a="1"/>
  <c r="R25" i="10" s="1"/>
  <c r="R26" i="10" a="1"/>
  <c r="R26" i="10" s="1"/>
  <c r="R27" i="10" a="1"/>
  <c r="R27" i="10" s="1"/>
  <c r="R28" i="10" a="1"/>
  <c r="R28" i="10" s="1"/>
  <c r="R29" i="10" a="1"/>
  <c r="R29" i="10" s="1"/>
  <c r="R30" i="10" a="1"/>
  <c r="R30" i="10" s="1"/>
  <c r="R31" i="10" a="1"/>
  <c r="R31" i="10" s="1"/>
  <c r="R4" i="10" a="1"/>
  <c r="R4" i="10" s="1"/>
  <c r="N4" i="10" a="1"/>
  <c r="N4" i="10" s="1"/>
  <c r="Q5" i="10" a="1"/>
  <c r="Q5" i="10" s="1"/>
  <c r="Q6" i="10" a="1"/>
  <c r="Q6" i="10" s="1"/>
  <c r="Q7" i="10" a="1"/>
  <c r="Q7" i="10" s="1"/>
  <c r="Q8" i="10" a="1"/>
  <c r="Q8" i="10" s="1"/>
  <c r="Q9" i="10" a="1"/>
  <c r="Q9" i="10" s="1"/>
  <c r="Q10" i="10" a="1"/>
  <c r="Q10" i="10" s="1"/>
  <c r="Q11" i="10" a="1"/>
  <c r="Q11" i="10" s="1"/>
  <c r="Q12" i="10" a="1"/>
  <c r="Q12" i="10" s="1"/>
  <c r="Q13" i="10" a="1"/>
  <c r="Q13" i="10" s="1"/>
  <c r="T13" i="10" s="1"/>
  <c r="Q14" i="10" a="1"/>
  <c r="Q14" i="10" s="1"/>
  <c r="Q15" i="10" a="1"/>
  <c r="Q15" i="10" s="1"/>
  <c r="T15" i="10" s="1"/>
  <c r="Q16" i="10" a="1"/>
  <c r="Q16" i="10" s="1"/>
  <c r="T16" i="10" s="1"/>
  <c r="Q17" i="10" a="1"/>
  <c r="Q17" i="10" s="1"/>
  <c r="T17" i="10" s="1"/>
  <c r="Q18" i="10" a="1"/>
  <c r="Q18" i="10" s="1"/>
  <c r="Q19" i="10" a="1"/>
  <c r="Q19" i="10" s="1"/>
  <c r="Q20" i="10" a="1"/>
  <c r="Q20" i="10" s="1"/>
  <c r="Q21" i="10" a="1"/>
  <c r="Q21" i="10" s="1"/>
  <c r="T21" i="10" s="1"/>
  <c r="Q22" i="10" a="1"/>
  <c r="Q22" i="10" s="1"/>
  <c r="Q23" i="10" a="1"/>
  <c r="Q23" i="10" s="1"/>
  <c r="Q24" i="10" a="1"/>
  <c r="Q24" i="10" s="1"/>
  <c r="Q25" i="10" a="1"/>
  <c r="Q25" i="10" s="1"/>
  <c r="T25" i="10" s="1"/>
  <c r="Q26" i="10" a="1"/>
  <c r="Q26" i="10" s="1"/>
  <c r="Q27" i="10" a="1"/>
  <c r="Q27" i="10" s="1"/>
  <c r="Q28" i="10" a="1"/>
  <c r="Q28" i="10" s="1"/>
  <c r="Q29" i="10" a="1"/>
  <c r="Q29" i="10" s="1"/>
  <c r="Q30" i="10" a="1"/>
  <c r="Q30" i="10" s="1"/>
  <c r="T30" i="10" s="1"/>
  <c r="Q31" i="10" a="1"/>
  <c r="Q31" i="10" s="1"/>
  <c r="T31" i="10" s="1"/>
  <c r="Q4" i="10" a="1"/>
  <c r="Q4" i="10" s="1"/>
  <c r="N5" i="10" a="1"/>
  <c r="N5" i="10" s="1"/>
  <c r="N6" i="10" a="1"/>
  <c r="N6" i="10" s="1"/>
  <c r="N7" i="10" a="1"/>
  <c r="N7" i="10" s="1"/>
  <c r="N8" i="10" a="1"/>
  <c r="N8" i="10" s="1"/>
  <c r="N9" i="10" a="1"/>
  <c r="N9" i="10" s="1"/>
  <c r="N10" i="10" a="1"/>
  <c r="N10" i="10" s="1"/>
  <c r="N11" i="10" a="1"/>
  <c r="N11" i="10" s="1"/>
  <c r="N12" i="10" a="1"/>
  <c r="N12" i="10" s="1"/>
  <c r="N13" i="10" a="1"/>
  <c r="N13" i="10" s="1"/>
  <c r="N14" i="10" a="1"/>
  <c r="N14" i="10" s="1"/>
  <c r="N15" i="10" a="1"/>
  <c r="N15" i="10" s="1"/>
  <c r="N16" i="10" a="1"/>
  <c r="N16" i="10" s="1"/>
  <c r="N17" i="10" a="1"/>
  <c r="N17" i="10" s="1"/>
  <c r="N18" i="10" a="1"/>
  <c r="N18" i="10" s="1"/>
  <c r="N19" i="10" a="1"/>
  <c r="N19" i="10" s="1"/>
  <c r="N20" i="10" a="1"/>
  <c r="N20" i="10" s="1"/>
  <c r="N21" i="10" a="1"/>
  <c r="N21" i="10" s="1"/>
  <c r="N22" i="10" a="1"/>
  <c r="N22" i="10" s="1"/>
  <c r="N23" i="10" a="1"/>
  <c r="N23" i="10" s="1"/>
  <c r="N24" i="10" a="1"/>
  <c r="N24" i="10" s="1"/>
  <c r="N25" i="10" a="1"/>
  <c r="N25" i="10" s="1"/>
  <c r="N26" i="10" a="1"/>
  <c r="N26" i="10" s="1"/>
  <c r="N27" i="10" a="1"/>
  <c r="N27" i="10" s="1"/>
  <c r="N28" i="10" a="1"/>
  <c r="N28" i="10" s="1"/>
  <c r="N29" i="10" a="1"/>
  <c r="N29" i="10" s="1"/>
  <c r="N30" i="10" a="1"/>
  <c r="N30" i="10" s="1"/>
  <c r="N31" i="10" a="1"/>
  <c r="N31" i="10" s="1"/>
  <c r="M5" i="10" a="1"/>
  <c r="M5" i="10" s="1"/>
  <c r="M6" i="10" a="1"/>
  <c r="M6" i="10" s="1"/>
  <c r="M7" i="10" a="1"/>
  <c r="M7" i="10" s="1"/>
  <c r="M8" i="10" a="1"/>
  <c r="M8" i="10" s="1"/>
  <c r="M9" i="10" a="1"/>
  <c r="M9" i="10" s="1"/>
  <c r="M10" i="10" a="1"/>
  <c r="M10" i="10" s="1"/>
  <c r="M11" i="10" a="1"/>
  <c r="M11" i="10" s="1"/>
  <c r="M12" i="10" a="1"/>
  <c r="M12" i="10" s="1"/>
  <c r="M13" i="10" a="1"/>
  <c r="M13" i="10" s="1"/>
  <c r="M14" i="10" a="1"/>
  <c r="M14" i="10" s="1"/>
  <c r="M15" i="10" a="1"/>
  <c r="M15" i="10" s="1"/>
  <c r="M16" i="10" a="1"/>
  <c r="M16" i="10" s="1"/>
  <c r="M17" i="10" a="1"/>
  <c r="M17" i="10" s="1"/>
  <c r="M18" i="10" a="1"/>
  <c r="M18" i="10" s="1"/>
  <c r="M19" i="10" a="1"/>
  <c r="M19" i="10" s="1"/>
  <c r="M20" i="10" a="1"/>
  <c r="M20" i="10" s="1"/>
  <c r="M21" i="10" a="1"/>
  <c r="M21" i="10" s="1"/>
  <c r="M22" i="10" a="1"/>
  <c r="M22" i="10" s="1"/>
  <c r="M23" i="10" a="1"/>
  <c r="M23" i="10" s="1"/>
  <c r="M24" i="10" a="1"/>
  <c r="M24" i="10" s="1"/>
  <c r="M25" i="10" a="1"/>
  <c r="M25" i="10" s="1"/>
  <c r="P25" i="10" s="1"/>
  <c r="M26" i="10" a="1"/>
  <c r="M26" i="10" s="1"/>
  <c r="M27" i="10" a="1"/>
  <c r="M27" i="10" s="1"/>
  <c r="M28" i="10" a="1"/>
  <c r="M28" i="10" s="1"/>
  <c r="M29" i="10" a="1"/>
  <c r="M29" i="10" s="1"/>
  <c r="M30" i="10" a="1"/>
  <c r="M30" i="10" s="1"/>
  <c r="P30" i="10" s="1"/>
  <c r="M31" i="10" a="1"/>
  <c r="M31" i="10" s="1"/>
  <c r="P31" i="10" s="1"/>
  <c r="I4" i="10" a="1"/>
  <c r="I4" i="10" s="1"/>
  <c r="J5" i="10" a="1"/>
  <c r="J5" i="10" s="1"/>
  <c r="J6" i="10" a="1"/>
  <c r="J6" i="10" s="1"/>
  <c r="J7" i="10" a="1"/>
  <c r="J7" i="10" s="1"/>
  <c r="J8" i="10" a="1"/>
  <c r="J8" i="10" s="1"/>
  <c r="J9" i="10" a="1"/>
  <c r="J9" i="10" s="1"/>
  <c r="J10" i="10" a="1"/>
  <c r="J10" i="10" s="1"/>
  <c r="J11" i="10" a="1"/>
  <c r="J11" i="10" s="1"/>
  <c r="J12" i="10" a="1"/>
  <c r="J12" i="10" s="1"/>
  <c r="J13" i="10" a="1"/>
  <c r="J13" i="10" s="1"/>
  <c r="J14" i="10" a="1"/>
  <c r="J14" i="10" s="1"/>
  <c r="J15" i="10" a="1"/>
  <c r="J15" i="10" s="1"/>
  <c r="J16" i="10" a="1"/>
  <c r="J16" i="10" s="1"/>
  <c r="J17" i="10" a="1"/>
  <c r="J17" i="10" s="1"/>
  <c r="J18" i="10" a="1"/>
  <c r="J18" i="10" s="1"/>
  <c r="J19" i="10" a="1"/>
  <c r="J19" i="10" s="1"/>
  <c r="J20" i="10" a="1"/>
  <c r="J20" i="10" s="1"/>
  <c r="J21" i="10" a="1"/>
  <c r="J21" i="10" s="1"/>
  <c r="J22" i="10" a="1"/>
  <c r="J22" i="10" s="1"/>
  <c r="J23" i="10" a="1"/>
  <c r="J23" i="10" s="1"/>
  <c r="J24" i="10" a="1"/>
  <c r="J24" i="10" s="1"/>
  <c r="J25" i="10" a="1"/>
  <c r="J25" i="10" s="1"/>
  <c r="J26" i="10" a="1"/>
  <c r="J26" i="10" s="1"/>
  <c r="J27" i="10" a="1"/>
  <c r="J27" i="10" s="1"/>
  <c r="J28" i="10" a="1"/>
  <c r="J28" i="10" s="1"/>
  <c r="J29" i="10" a="1"/>
  <c r="J29" i="10" s="1"/>
  <c r="J30" i="10" a="1"/>
  <c r="J30" i="10" s="1"/>
  <c r="J31" i="10" a="1"/>
  <c r="J31" i="10" s="1"/>
  <c r="J4" i="10" a="1"/>
  <c r="J4" i="10" s="1"/>
  <c r="F4" i="10" a="1"/>
  <c r="F4" i="10" s="1"/>
  <c r="I5" i="10" a="1"/>
  <c r="I5" i="10" s="1"/>
  <c r="I6" i="10" a="1"/>
  <c r="I6" i="10" s="1"/>
  <c r="I7" i="10" a="1"/>
  <c r="I7" i="10" s="1"/>
  <c r="I8" i="10" a="1"/>
  <c r="I8" i="10" s="1"/>
  <c r="I9" i="10" a="1"/>
  <c r="I9" i="10" s="1"/>
  <c r="I10" i="10" a="1"/>
  <c r="I10" i="10" s="1"/>
  <c r="I11" i="10" a="1"/>
  <c r="I11" i="10" s="1"/>
  <c r="I12" i="10" a="1"/>
  <c r="I12" i="10" s="1"/>
  <c r="I13" i="10" a="1"/>
  <c r="I13" i="10" s="1"/>
  <c r="I14" i="10" a="1"/>
  <c r="I14" i="10" s="1"/>
  <c r="I15" i="10" a="1"/>
  <c r="I15" i="10" s="1"/>
  <c r="I16" i="10" a="1"/>
  <c r="I16" i="10" s="1"/>
  <c r="I17" i="10" a="1"/>
  <c r="I17" i="10" s="1"/>
  <c r="I18" i="10" a="1"/>
  <c r="I18" i="10" s="1"/>
  <c r="I19" i="10" a="1"/>
  <c r="I19" i="10" s="1"/>
  <c r="I20" i="10" a="1"/>
  <c r="I20" i="10" s="1"/>
  <c r="I21" i="10" a="1"/>
  <c r="I21" i="10" s="1"/>
  <c r="I22" i="10" a="1"/>
  <c r="I22" i="10" s="1"/>
  <c r="I23" i="10" a="1"/>
  <c r="I23" i="10" s="1"/>
  <c r="I24" i="10" a="1"/>
  <c r="I24" i="10" s="1"/>
  <c r="I25" i="10" a="1"/>
  <c r="I25" i="10" s="1"/>
  <c r="I26" i="10" a="1"/>
  <c r="I26" i="10" s="1"/>
  <c r="I27" i="10" a="1"/>
  <c r="I27" i="10" s="1"/>
  <c r="I28" i="10" a="1"/>
  <c r="I28" i="10" s="1"/>
  <c r="I29" i="10" a="1"/>
  <c r="I29" i="10" s="1"/>
  <c r="I30" i="10" a="1"/>
  <c r="I30" i="10" s="1"/>
  <c r="I31" i="10" a="1"/>
  <c r="I31" i="10" s="1"/>
  <c r="AS31" i="9" a="1"/>
  <c r="AS31" i="9" s="1"/>
  <c r="E5" i="10" a="1"/>
  <c r="E5" i="10" s="1"/>
  <c r="F5" i="10" a="1"/>
  <c r="F5" i="10" s="1"/>
  <c r="E6" i="10" a="1"/>
  <c r="E6" i="10" s="1"/>
  <c r="F6" i="10" a="1"/>
  <c r="F6" i="10" s="1"/>
  <c r="E7" i="10" a="1"/>
  <c r="E7" i="10" s="1"/>
  <c r="F7" i="10" a="1"/>
  <c r="F7" i="10" s="1"/>
  <c r="E8" i="10" a="1"/>
  <c r="E8" i="10" s="1"/>
  <c r="F8" i="10" a="1"/>
  <c r="F8" i="10" s="1"/>
  <c r="E9" i="10" a="1"/>
  <c r="E9" i="10" s="1"/>
  <c r="F9" i="10" a="1"/>
  <c r="F9" i="10" s="1"/>
  <c r="E10" i="10" a="1"/>
  <c r="E10" i="10" s="1"/>
  <c r="F10" i="10" a="1"/>
  <c r="F10" i="10" s="1"/>
  <c r="E11" i="10" a="1"/>
  <c r="E11" i="10" s="1"/>
  <c r="F11" i="10" a="1"/>
  <c r="F11" i="10" s="1"/>
  <c r="E12" i="10" a="1"/>
  <c r="E12" i="10" s="1"/>
  <c r="F12" i="10" a="1"/>
  <c r="F12" i="10" s="1"/>
  <c r="E13" i="10" a="1"/>
  <c r="E13" i="10" s="1"/>
  <c r="F13" i="10" a="1"/>
  <c r="F13" i="10" s="1"/>
  <c r="E14" i="10" a="1"/>
  <c r="E14" i="10" s="1"/>
  <c r="F14" i="10" a="1"/>
  <c r="F14" i="10" s="1"/>
  <c r="E15" i="10" a="1"/>
  <c r="E15" i="10" s="1"/>
  <c r="F15" i="10" a="1"/>
  <c r="F15" i="10" s="1"/>
  <c r="E16" i="10" a="1"/>
  <c r="E16" i="10" s="1"/>
  <c r="F16" i="10" a="1"/>
  <c r="F16" i="10" s="1"/>
  <c r="E17" i="10" a="1"/>
  <c r="E17" i="10" s="1"/>
  <c r="F17" i="10" a="1"/>
  <c r="F17" i="10" s="1"/>
  <c r="E18" i="10" a="1"/>
  <c r="E18" i="10" s="1"/>
  <c r="F18" i="10" a="1"/>
  <c r="F18" i="10" s="1"/>
  <c r="E19" i="10" a="1"/>
  <c r="E19" i="10" s="1"/>
  <c r="F19" i="10" a="1"/>
  <c r="F19" i="10" s="1"/>
  <c r="E20" i="10" a="1"/>
  <c r="E20" i="10" s="1"/>
  <c r="F20" i="10" a="1"/>
  <c r="F20" i="10" s="1"/>
  <c r="E21" i="10" a="1"/>
  <c r="E21" i="10" s="1"/>
  <c r="F21" i="10" a="1"/>
  <c r="F21" i="10" s="1"/>
  <c r="E22" i="10" a="1"/>
  <c r="E22" i="10" s="1"/>
  <c r="F22" i="10" a="1"/>
  <c r="F22" i="10" s="1"/>
  <c r="E23" i="10" a="1"/>
  <c r="E23" i="10" s="1"/>
  <c r="F23" i="10" a="1"/>
  <c r="F23" i="10" s="1"/>
  <c r="E24" i="10" a="1"/>
  <c r="E24" i="10" s="1"/>
  <c r="F24" i="10" a="1"/>
  <c r="F24" i="10" s="1"/>
  <c r="E25" i="10" a="1"/>
  <c r="E25" i="10" s="1"/>
  <c r="F25" i="10" a="1"/>
  <c r="F25" i="10" s="1"/>
  <c r="E26" i="10" a="1"/>
  <c r="E26" i="10" s="1"/>
  <c r="F26" i="10" a="1"/>
  <c r="F26" i="10" s="1"/>
  <c r="E27" i="10" a="1"/>
  <c r="E27" i="10" s="1"/>
  <c r="F27" i="10" a="1"/>
  <c r="F27" i="10" s="1"/>
  <c r="E28" i="10" a="1"/>
  <c r="E28" i="10" s="1"/>
  <c r="F28" i="10" a="1"/>
  <c r="F28" i="10" s="1"/>
  <c r="E29" i="10" a="1"/>
  <c r="E29" i="10" s="1"/>
  <c r="F29" i="10" a="1"/>
  <c r="F29" i="10" s="1"/>
  <c r="E30" i="10" a="1"/>
  <c r="E30" i="10" s="1"/>
  <c r="F30" i="10" a="1"/>
  <c r="F30" i="10" s="1"/>
  <c r="E31" i="10" a="1"/>
  <c r="E31" i="10" s="1"/>
  <c r="F31" i="10" a="1"/>
  <c r="F31" i="10" s="1"/>
  <c r="X131" i="9"/>
  <c r="X130" i="9"/>
  <c r="AL130" i="9"/>
  <c r="AM130" i="9"/>
  <c r="AN130" i="9"/>
  <c r="AO130" i="9"/>
  <c r="AP130" i="9"/>
  <c r="AQ130" i="9"/>
  <c r="AR130" i="9"/>
  <c r="AK130" i="9" s="1"/>
  <c r="AS130" i="9" a="1"/>
  <c r="AS130" i="9" s="1"/>
  <c r="AL131" i="9"/>
  <c r="AM131" i="9"/>
  <c r="AN131" i="9"/>
  <c r="AO131" i="9"/>
  <c r="AP131" i="9"/>
  <c r="AQ131" i="9"/>
  <c r="AR131" i="9"/>
  <c r="AK131" i="9" s="1"/>
  <c r="AS131" i="9" a="1"/>
  <c r="AS131" i="9" s="1"/>
  <c r="X59" i="9"/>
  <c r="AL59" i="9"/>
  <c r="AM59" i="9"/>
  <c r="AN59" i="9"/>
  <c r="AO59" i="9"/>
  <c r="AP59" i="9"/>
  <c r="AQ59" i="9"/>
  <c r="AR59" i="9"/>
  <c r="AK59" i="9" s="1"/>
  <c r="AS59" i="9" a="1"/>
  <c r="AS59" i="9" s="1"/>
  <c r="X58" i="9"/>
  <c r="AL58" i="9"/>
  <c r="AM58" i="9"/>
  <c r="AN58" i="9"/>
  <c r="AO58" i="9"/>
  <c r="AP58" i="9"/>
  <c r="AQ58" i="9"/>
  <c r="AR58" i="9"/>
  <c r="AS58" i="9" a="1"/>
  <c r="AS58" i="9" s="1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4" i="10"/>
  <c r="C4" i="10"/>
  <c r="W4" i="10" s="1" a="1"/>
  <c r="W4" i="10" s="1"/>
  <c r="C5" i="10"/>
  <c r="W5" i="10" s="1" a="1"/>
  <c r="W5" i="10" s="1"/>
  <c r="C6" i="10"/>
  <c r="W6" i="10" s="1" a="1"/>
  <c r="W6" i="10" s="1"/>
  <c r="C7" i="10"/>
  <c r="W7" i="10" s="1" a="1"/>
  <c r="W7" i="10" s="1"/>
  <c r="C8" i="10"/>
  <c r="W8" i="10" s="1" a="1"/>
  <c r="W8" i="10" s="1"/>
  <c r="C9" i="10"/>
  <c r="U9" i="10" s="1" a="1"/>
  <c r="U9" i="10" s="1"/>
  <c r="C10" i="10"/>
  <c r="U10" i="10" s="1" a="1"/>
  <c r="U10" i="10" s="1"/>
  <c r="C11" i="10"/>
  <c r="U11" i="10" s="1" a="1"/>
  <c r="U11" i="10" s="1"/>
  <c r="C12" i="10"/>
  <c r="W12" i="10" s="1" a="1"/>
  <c r="W12" i="10" s="1"/>
  <c r="C13" i="10"/>
  <c r="W13" i="10" s="1" a="1"/>
  <c r="W13" i="10" s="1"/>
  <c r="C14" i="10"/>
  <c r="U14" i="10" s="1" a="1"/>
  <c r="U14" i="10" s="1"/>
  <c r="C15" i="10"/>
  <c r="U15" i="10" s="1" a="1"/>
  <c r="U15" i="10" s="1"/>
  <c r="C16" i="10"/>
  <c r="U16" i="10" s="1" a="1"/>
  <c r="U16" i="10" s="1"/>
  <c r="C17" i="10"/>
  <c r="U17" i="10" s="1" a="1"/>
  <c r="U17" i="10" s="1"/>
  <c r="C18" i="10"/>
  <c r="W18" i="10" s="1" a="1"/>
  <c r="W18" i="10" s="1"/>
  <c r="C19" i="10"/>
  <c r="U19" i="10" s="1" a="1"/>
  <c r="U19" i="10" s="1"/>
  <c r="C20" i="10"/>
  <c r="U20" i="10" s="1" a="1"/>
  <c r="U20" i="10" s="1"/>
  <c r="C21" i="10"/>
  <c r="U21" i="10" s="1" a="1"/>
  <c r="U21" i="10" s="1"/>
  <c r="C22" i="10"/>
  <c r="W22" i="10" s="1" a="1"/>
  <c r="W22" i="10" s="1"/>
  <c r="C23" i="10"/>
  <c r="W23" i="10" s="1" a="1"/>
  <c r="W23" i="10" s="1"/>
  <c r="C24" i="10"/>
  <c r="W24" i="10" s="1" a="1"/>
  <c r="W24" i="10" s="1"/>
  <c r="C25" i="10"/>
  <c r="W25" i="10" s="1" a="1"/>
  <c r="W25" i="10" s="1"/>
  <c r="C26" i="10"/>
  <c r="W26" i="10" s="1" a="1"/>
  <c r="W26" i="10" s="1"/>
  <c r="C27" i="10"/>
  <c r="W27" i="10" s="1" a="1"/>
  <c r="W27" i="10" s="1"/>
  <c r="C28" i="10"/>
  <c r="W28" i="10" s="1" a="1"/>
  <c r="W28" i="10" s="1"/>
  <c r="C29" i="10"/>
  <c r="W29" i="10" s="1" a="1"/>
  <c r="W29" i="10" s="1"/>
  <c r="C30" i="10"/>
  <c r="U30" i="10" s="1" a="1"/>
  <c r="U30" i="10" s="1"/>
  <c r="C31" i="10"/>
  <c r="W31" i="10" s="1" a="1"/>
  <c r="W31" i="10" s="1"/>
  <c r="I4" i="13" l="1" a="1"/>
  <c r="I4" i="13" s="1"/>
  <c r="V21" i="10" a="1"/>
  <c r="V21" i="10" s="1"/>
  <c r="V16" i="10" a="1"/>
  <c r="V16" i="10" s="1"/>
  <c r="V7" i="10" a="1"/>
  <c r="V7" i="10" s="1"/>
  <c r="X29" i="10" a="1"/>
  <c r="X29" i="10" s="1"/>
  <c r="X24" i="10" a="1"/>
  <c r="X24" i="10" s="1"/>
  <c r="X18" i="10" a="1"/>
  <c r="X18" i="10" s="1"/>
  <c r="X13" i="10" a="1"/>
  <c r="X13" i="10" s="1"/>
  <c r="V26" i="10" a="1"/>
  <c r="V26" i="10" s="1"/>
  <c r="X8" i="10" a="1"/>
  <c r="X8" i="10" s="1"/>
  <c r="U4" i="10" a="1"/>
  <c r="U4" i="10" s="1"/>
  <c r="V11" i="10" a="1"/>
  <c r="V11" i="10" s="1"/>
  <c r="V6" i="10" a="1"/>
  <c r="V6" i="10" s="1"/>
  <c r="X23" i="10" a="1"/>
  <c r="X23" i="10" s="1"/>
  <c r="X7" i="10" a="1"/>
  <c r="X7" i="10" s="1"/>
  <c r="V31" i="10" a="1"/>
  <c r="V31" i="10" s="1"/>
  <c r="V25" i="10" a="1"/>
  <c r="V25" i="10" s="1"/>
  <c r="V20" i="10" a="1"/>
  <c r="V20" i="10" s="1"/>
  <c r="V15" i="10" a="1"/>
  <c r="V15" i="10" s="1"/>
  <c r="V10" i="10" a="1"/>
  <c r="V10" i="10" s="1"/>
  <c r="X28" i="10" a="1"/>
  <c r="X28" i="10" s="1"/>
  <c r="X22" i="10" a="1"/>
  <c r="X22" i="10" s="1"/>
  <c r="X17" i="10" a="1"/>
  <c r="X17" i="10" s="1"/>
  <c r="X12" i="10" a="1"/>
  <c r="X12" i="10" s="1"/>
  <c r="X6" i="10" a="1"/>
  <c r="X6" i="10" s="1"/>
  <c r="V30" i="10" a="1"/>
  <c r="V30" i="10" s="1"/>
  <c r="V19" i="10" a="1"/>
  <c r="V19" i="10" s="1"/>
  <c r="V14" i="10" a="1"/>
  <c r="V14" i="10" s="1"/>
  <c r="V5" i="10" a="1"/>
  <c r="V5" i="10" s="1"/>
  <c r="X27" i="10" a="1"/>
  <c r="X27" i="10" s="1"/>
  <c r="X11" i="10" a="1"/>
  <c r="X11" i="10" s="1"/>
  <c r="V29" i="10" a="1"/>
  <c r="V29" i="10" s="1"/>
  <c r="V24" i="10" a="1"/>
  <c r="V24" i="10" s="1"/>
  <c r="V18" i="10" a="1"/>
  <c r="V18" i="10" s="1"/>
  <c r="V9" i="10" a="1"/>
  <c r="V9" i="10" s="1"/>
  <c r="V4" i="10" a="1"/>
  <c r="V4" i="10" s="1"/>
  <c r="X26" i="10" a="1"/>
  <c r="X26" i="10" s="1"/>
  <c r="X21" i="10" a="1"/>
  <c r="X21" i="10" s="1"/>
  <c r="X16" i="10" a="1"/>
  <c r="X16" i="10" s="1"/>
  <c r="X10" i="10" a="1"/>
  <c r="X10" i="10" s="1"/>
  <c r="X5" i="10" a="1"/>
  <c r="X5" i="10" s="1"/>
  <c r="V23" i="10" a="1"/>
  <c r="V23" i="10" s="1"/>
  <c r="V13" i="10" a="1"/>
  <c r="V13" i="10" s="1"/>
  <c r="X4" i="10" a="1"/>
  <c r="X4" i="10" s="1"/>
  <c r="X15" i="10" a="1"/>
  <c r="X15" i="10" s="1"/>
  <c r="V28" i="10" a="1"/>
  <c r="V28" i="10" s="1"/>
  <c r="V22" i="10" a="1"/>
  <c r="V22" i="10" s="1"/>
  <c r="V17" i="10" a="1"/>
  <c r="V17" i="10" s="1"/>
  <c r="V8" i="10" a="1"/>
  <c r="V8" i="10" s="1"/>
  <c r="X31" i="10" a="1"/>
  <c r="X31" i="10" s="1"/>
  <c r="X25" i="10" a="1"/>
  <c r="X25" i="10" s="1"/>
  <c r="X20" i="10" a="1"/>
  <c r="X20" i="10" s="1"/>
  <c r="X14" i="10" a="1"/>
  <c r="X14" i="10" s="1"/>
  <c r="X9" i="10" a="1"/>
  <c r="X9" i="10" s="1"/>
  <c r="V27" i="10" a="1"/>
  <c r="V27" i="10" s="1"/>
  <c r="V12" i="10" a="1"/>
  <c r="V12" i="10" s="1"/>
  <c r="X30" i="10" a="1"/>
  <c r="X30" i="10" s="1"/>
  <c r="X19" i="10" a="1"/>
  <c r="X19" i="10" s="1"/>
  <c r="U29" i="10" a="1"/>
  <c r="U29" i="10" s="1"/>
  <c r="U18" i="10" a="1"/>
  <c r="U18" i="10" s="1"/>
  <c r="U13" i="10" a="1"/>
  <c r="U13" i="10" s="1"/>
  <c r="W30" i="10" a="1"/>
  <c r="W30" i="10" s="1"/>
  <c r="W17" i="10" a="1"/>
  <c r="W17" i="10" s="1"/>
  <c r="W11" i="10" a="1"/>
  <c r="W11" i="10" s="1"/>
  <c r="U23" i="10" a="1"/>
  <c r="U23" i="10" s="1"/>
  <c r="U7" i="10" a="1"/>
  <c r="U7" i="10" s="1"/>
  <c r="W10" i="10" a="1"/>
  <c r="W10" i="10" s="1"/>
  <c r="U24" i="10" a="1"/>
  <c r="U24" i="10" s="1"/>
  <c r="U8" i="10" a="1"/>
  <c r="U8" i="10" s="1"/>
  <c r="U28" i="10" a="1"/>
  <c r="U28" i="10" s="1"/>
  <c r="U22" i="10" a="1"/>
  <c r="U22" i="10" s="1"/>
  <c r="U12" i="10" a="1"/>
  <c r="U12" i="10" s="1"/>
  <c r="AB12" i="10" s="1"/>
  <c r="U6" i="10" a="1"/>
  <c r="U6" i="10" s="1"/>
  <c r="W16" i="10" a="1"/>
  <c r="W16" i="10" s="1"/>
  <c r="W9" i="10" a="1"/>
  <c r="W9" i="10" s="1"/>
  <c r="U27" i="10" a="1"/>
  <c r="U27" i="10" s="1"/>
  <c r="W21" i="10" a="1"/>
  <c r="W21" i="10" s="1"/>
  <c r="W15" i="10" a="1"/>
  <c r="W15" i="10" s="1"/>
  <c r="U26" i="10" a="1"/>
  <c r="U26" i="10" s="1"/>
  <c r="U5" i="10" a="1"/>
  <c r="U5" i="10" s="1"/>
  <c r="W14" i="10" a="1"/>
  <c r="W14" i="10" s="1"/>
  <c r="W20" i="10" a="1"/>
  <c r="W20" i="10" s="1"/>
  <c r="U31" i="10" a="1"/>
  <c r="U31" i="10" s="1"/>
  <c r="U25" i="10" a="1"/>
  <c r="U25" i="10" s="1"/>
  <c r="W19" i="10" a="1"/>
  <c r="W19" i="10" s="1"/>
  <c r="AJ130" i="9"/>
  <c r="AH130" i="9" s="1"/>
  <c r="AJ131" i="9"/>
  <c r="AH131" i="9" s="1"/>
  <c r="AJ59" i="9"/>
  <c r="AK58" i="9"/>
  <c r="AJ58" i="9" s="1"/>
  <c r="AH58" i="9" s="1"/>
  <c r="AB7" i="10" l="1"/>
  <c r="AB28" i="10"/>
  <c r="AB15" i="10"/>
  <c r="AB6" i="10"/>
  <c r="AB14" i="10"/>
  <c r="AB5" i="10"/>
  <c r="AB11" i="10"/>
  <c r="AB17" i="10"/>
  <c r="AB13" i="10"/>
  <c r="AB19" i="10"/>
  <c r="AB25" i="10"/>
  <c r="AB10" i="10"/>
  <c r="AB9" i="10"/>
  <c r="AB30" i="10"/>
  <c r="AB20" i="10"/>
  <c r="AB21" i="10"/>
  <c r="AB26" i="10"/>
  <c r="AB22" i="10"/>
  <c r="AB8" i="10"/>
  <c r="AB27" i="10"/>
  <c r="AB24" i="10"/>
  <c r="AB18" i="10"/>
  <c r="AB31" i="10"/>
  <c r="AB29" i="10"/>
  <c r="AB4" i="10"/>
  <c r="AB16" i="10"/>
  <c r="AB23" i="10"/>
  <c r="AL67" i="9"/>
  <c r="AL68" i="9"/>
  <c r="AL69" i="9"/>
  <c r="AL70" i="9"/>
  <c r="AL71" i="9"/>
  <c r="AL104" i="9"/>
  <c r="AL105" i="9"/>
  <c r="AL106" i="9"/>
  <c r="AL107" i="9"/>
  <c r="AL108" i="9"/>
  <c r="AL109" i="9"/>
  <c r="AL157" i="9"/>
  <c r="AL158" i="9"/>
  <c r="AL152" i="9"/>
  <c r="AL153" i="9"/>
  <c r="AL154" i="9"/>
  <c r="AL155" i="9"/>
  <c r="AL129" i="9"/>
  <c r="AM67" i="9"/>
  <c r="AM68" i="9"/>
  <c r="AM69" i="9"/>
  <c r="AM70" i="9"/>
  <c r="AM71" i="9"/>
  <c r="AM104" i="9"/>
  <c r="AM105" i="9"/>
  <c r="AM106" i="9"/>
  <c r="AM107" i="9"/>
  <c r="AM108" i="9"/>
  <c r="AM109" i="9"/>
  <c r="AM157" i="9"/>
  <c r="AM158" i="9"/>
  <c r="AM152" i="9"/>
  <c r="AM153" i="9"/>
  <c r="AM154" i="9"/>
  <c r="AM155" i="9"/>
  <c r="AM129" i="9"/>
  <c r="AN67" i="9"/>
  <c r="AN68" i="9"/>
  <c r="AN69" i="9"/>
  <c r="AN70" i="9"/>
  <c r="AN71" i="9"/>
  <c r="AN104" i="9"/>
  <c r="AN105" i="9"/>
  <c r="AN106" i="9"/>
  <c r="AN107" i="9"/>
  <c r="AN108" i="9"/>
  <c r="AN109" i="9"/>
  <c r="AN157" i="9"/>
  <c r="AN158" i="9"/>
  <c r="AN152" i="9"/>
  <c r="AN153" i="9"/>
  <c r="AN154" i="9"/>
  <c r="AN155" i="9"/>
  <c r="AN129" i="9"/>
  <c r="AO67" i="9"/>
  <c r="AO68" i="9"/>
  <c r="AO69" i="9"/>
  <c r="AO70" i="9"/>
  <c r="AO71" i="9"/>
  <c r="AO104" i="9"/>
  <c r="AO105" i="9"/>
  <c r="AO106" i="9"/>
  <c r="AO107" i="9"/>
  <c r="AO108" i="9"/>
  <c r="AO109" i="9"/>
  <c r="AO157" i="9"/>
  <c r="AO158" i="9"/>
  <c r="AO152" i="9"/>
  <c r="AO153" i="9"/>
  <c r="AO154" i="9"/>
  <c r="AO155" i="9"/>
  <c r="AO129" i="9"/>
  <c r="AQ67" i="9"/>
  <c r="AQ68" i="9"/>
  <c r="AQ69" i="9"/>
  <c r="AQ70" i="9"/>
  <c r="AQ71" i="9"/>
  <c r="AQ104" i="9"/>
  <c r="AQ105" i="9"/>
  <c r="AQ106" i="9"/>
  <c r="AQ107" i="9"/>
  <c r="AQ108" i="9"/>
  <c r="AQ109" i="9"/>
  <c r="AQ157" i="9"/>
  <c r="AQ158" i="9"/>
  <c r="AQ152" i="9"/>
  <c r="AQ153" i="9"/>
  <c r="AQ154" i="9"/>
  <c r="AQ155" i="9"/>
  <c r="AQ129" i="9"/>
  <c r="AR67" i="9"/>
  <c r="AR68" i="9"/>
  <c r="AR69" i="9"/>
  <c r="AR70" i="9"/>
  <c r="AK70" i="9" s="1"/>
  <c r="AR71" i="9"/>
  <c r="AK71" i="9" s="1"/>
  <c r="AR104" i="9"/>
  <c r="AR105" i="9"/>
  <c r="AR106" i="9"/>
  <c r="AR107" i="9"/>
  <c r="AR108" i="9"/>
  <c r="AK108" i="9" s="1"/>
  <c r="AR109" i="9"/>
  <c r="AK109" i="9" s="1"/>
  <c r="AR157" i="9"/>
  <c r="AR158" i="9"/>
  <c r="AR152" i="9"/>
  <c r="AR153" i="9"/>
  <c r="AR154" i="9"/>
  <c r="AK154" i="9" s="1"/>
  <c r="AR155" i="9"/>
  <c r="AK155" i="9" s="1"/>
  <c r="AR129" i="9"/>
  <c r="AS67" i="9" a="1"/>
  <c r="AS67" i="9" s="1"/>
  <c r="AK67" i="9" s="1"/>
  <c r="AS68" i="9" a="1"/>
  <c r="AS68" i="9" s="1"/>
  <c r="AK68" i="9" s="1"/>
  <c r="AS69" i="9" a="1"/>
  <c r="AS69" i="9" s="1"/>
  <c r="AK69" i="9" s="1"/>
  <c r="AS70" i="9" a="1"/>
  <c r="AS70" i="9" s="1"/>
  <c r="AS71" i="9" a="1"/>
  <c r="AS71" i="9" s="1"/>
  <c r="AS104" i="9" a="1"/>
  <c r="AS104" i="9" s="1"/>
  <c r="AK104" i="9" s="1"/>
  <c r="AS105" i="9" a="1"/>
  <c r="AS105" i="9" s="1"/>
  <c r="AK105" i="9" s="1"/>
  <c r="AS106" i="9" a="1"/>
  <c r="AS106" i="9" s="1"/>
  <c r="AK106" i="9" s="1"/>
  <c r="AS107" i="9" a="1"/>
  <c r="AS107" i="9" s="1"/>
  <c r="AK107" i="9" s="1"/>
  <c r="AS108" i="9" a="1"/>
  <c r="AS108" i="9" s="1"/>
  <c r="AS109" i="9" a="1"/>
  <c r="AS109" i="9" s="1"/>
  <c r="AS157" i="9" a="1"/>
  <c r="AS157" i="9" s="1"/>
  <c r="AK157" i="9" s="1"/>
  <c r="AS158" i="9" a="1"/>
  <c r="AS158" i="9" s="1"/>
  <c r="AK158" i="9" s="1"/>
  <c r="AS152" i="9" a="1"/>
  <c r="AS152" i="9" s="1"/>
  <c r="AK152" i="9" s="1"/>
  <c r="AS153" i="9" a="1"/>
  <c r="AS153" i="9" s="1"/>
  <c r="AK153" i="9" s="1"/>
  <c r="AS154" i="9" a="1"/>
  <c r="AS154" i="9" s="1"/>
  <c r="AS155" i="9" a="1"/>
  <c r="AS155" i="9" s="1"/>
  <c r="AS129" i="9" a="1"/>
  <c r="AS129" i="9" s="1"/>
  <c r="AK129" i="9" s="1"/>
  <c r="AP66" i="9"/>
  <c r="AP67" i="9"/>
  <c r="AP68" i="9"/>
  <c r="AP69" i="9"/>
  <c r="AP70" i="9"/>
  <c r="AP71" i="9"/>
  <c r="AP104" i="9"/>
  <c r="AP105" i="9"/>
  <c r="AP106" i="9"/>
  <c r="AP107" i="9"/>
  <c r="AP108" i="9"/>
  <c r="AP109" i="9"/>
  <c r="AP157" i="9"/>
  <c r="AP158" i="9"/>
  <c r="AP152" i="9"/>
  <c r="AP153" i="9"/>
  <c r="AP154" i="9"/>
  <c r="AP155" i="9"/>
  <c r="AP129" i="9"/>
  <c r="AL66" i="9"/>
  <c r="AM66" i="9"/>
  <c r="AN66" i="9"/>
  <c r="AO66" i="9"/>
  <c r="AQ66" i="9"/>
  <c r="AR66" i="9"/>
  <c r="AS66" i="9" a="1"/>
  <c r="AS66" i="9" s="1"/>
  <c r="AK66" i="9" s="1"/>
  <c r="AL119" i="9"/>
  <c r="AM119" i="9"/>
  <c r="AN119" i="9"/>
  <c r="AO119" i="9"/>
  <c r="AP119" i="9"/>
  <c r="AQ119" i="9"/>
  <c r="AR119" i="9"/>
  <c r="AK119" i="9" s="1"/>
  <c r="AS119" i="9" a="1"/>
  <c r="AS119" i="9" s="1"/>
  <c r="AL118" i="9"/>
  <c r="AM118" i="9"/>
  <c r="AN118" i="9"/>
  <c r="AO118" i="9"/>
  <c r="AP118" i="9"/>
  <c r="AQ118" i="9"/>
  <c r="AR118" i="9"/>
  <c r="AS118" i="9" a="1"/>
  <c r="AS118" i="9" s="1"/>
  <c r="AK118" i="9" s="1"/>
  <c r="AL117" i="9"/>
  <c r="AM117" i="9"/>
  <c r="AN117" i="9"/>
  <c r="AO117" i="9"/>
  <c r="AP117" i="9"/>
  <c r="AQ117" i="9"/>
  <c r="AR117" i="9"/>
  <c r="AS117" i="9" a="1"/>
  <c r="AS117" i="9" s="1"/>
  <c r="AK117" i="9" s="1"/>
  <c r="AL116" i="9"/>
  <c r="AM116" i="9"/>
  <c r="AN116" i="9"/>
  <c r="AO116" i="9"/>
  <c r="AP116" i="9"/>
  <c r="AQ116" i="9"/>
  <c r="AR116" i="9"/>
  <c r="AS116" i="9" a="1"/>
  <c r="AS116" i="9" s="1"/>
  <c r="AK116" i="9" s="1"/>
  <c r="AL115" i="9"/>
  <c r="AM115" i="9"/>
  <c r="AN115" i="9"/>
  <c r="AO115" i="9"/>
  <c r="AP115" i="9"/>
  <c r="AQ115" i="9"/>
  <c r="AR115" i="9"/>
  <c r="AS115" i="9" a="1"/>
  <c r="AS115" i="9" s="1"/>
  <c r="AK115" i="9" s="1"/>
  <c r="AL51" i="9"/>
  <c r="AM51" i="9"/>
  <c r="AN51" i="9"/>
  <c r="AO51" i="9"/>
  <c r="AP51" i="9"/>
  <c r="AQ51" i="9"/>
  <c r="AR51" i="9"/>
  <c r="AK51" i="9" s="1"/>
  <c r="AS51" i="9" a="1"/>
  <c r="AS51" i="9" s="1"/>
  <c r="AL49" i="9"/>
  <c r="AM49" i="9"/>
  <c r="AN49" i="9"/>
  <c r="AO49" i="9"/>
  <c r="AP49" i="9"/>
  <c r="AQ49" i="9"/>
  <c r="AR49" i="9"/>
  <c r="AS49" i="9" a="1"/>
  <c r="AS49" i="9" s="1"/>
  <c r="AK49" i="9" s="1"/>
  <c r="AL48" i="9"/>
  <c r="AM48" i="9"/>
  <c r="AN48" i="9"/>
  <c r="AO48" i="9"/>
  <c r="AP48" i="9"/>
  <c r="AQ48" i="9"/>
  <c r="AR48" i="9"/>
  <c r="AS48" i="9" a="1"/>
  <c r="AS48" i="9" s="1"/>
  <c r="AK48" i="9" s="1"/>
  <c r="AL53" i="9"/>
  <c r="AM53" i="9"/>
  <c r="AN53" i="9"/>
  <c r="AO53" i="9"/>
  <c r="AP53" i="9"/>
  <c r="AQ53" i="9"/>
  <c r="AR53" i="9"/>
  <c r="AS53" i="9" a="1"/>
  <c r="AS53" i="9" s="1"/>
  <c r="AK53" i="9" s="1"/>
  <c r="AL52" i="9"/>
  <c r="AM52" i="9"/>
  <c r="AN52" i="9"/>
  <c r="AO52" i="9"/>
  <c r="AP52" i="9"/>
  <c r="AQ52" i="9"/>
  <c r="AR52" i="9"/>
  <c r="AS52" i="9" a="1"/>
  <c r="AS52" i="9" s="1"/>
  <c r="AK52" i="9" s="1"/>
  <c r="AL143" i="9"/>
  <c r="AM143" i="9"/>
  <c r="AN143" i="9"/>
  <c r="AO143" i="9"/>
  <c r="AP143" i="9"/>
  <c r="AQ143" i="9"/>
  <c r="AR143" i="9"/>
  <c r="AK143" i="9" s="1"/>
  <c r="AS143" i="9" a="1"/>
  <c r="AS143" i="9" s="1"/>
  <c r="AL142" i="9"/>
  <c r="AM142" i="9"/>
  <c r="AN142" i="9"/>
  <c r="AO142" i="9"/>
  <c r="AP142" i="9"/>
  <c r="AQ142" i="9"/>
  <c r="AR142" i="9"/>
  <c r="AK142" i="9" s="1"/>
  <c r="AS142" i="9" a="1"/>
  <c r="AS142" i="9" s="1"/>
  <c r="AL141" i="9"/>
  <c r="AM141" i="9"/>
  <c r="AN141" i="9"/>
  <c r="AO141" i="9"/>
  <c r="AP141" i="9"/>
  <c r="AQ141" i="9"/>
  <c r="AR141" i="9"/>
  <c r="AS141" i="9" a="1"/>
  <c r="AS141" i="9" s="1"/>
  <c r="AK141" i="9" s="1"/>
  <c r="AL140" i="9"/>
  <c r="AM140" i="9"/>
  <c r="AN140" i="9"/>
  <c r="AO140" i="9"/>
  <c r="AP140" i="9"/>
  <c r="AQ140" i="9"/>
  <c r="AR140" i="9"/>
  <c r="AS140" i="9" a="1"/>
  <c r="AS140" i="9" s="1"/>
  <c r="AK140" i="9" s="1"/>
  <c r="AL139" i="9"/>
  <c r="AM139" i="9"/>
  <c r="AN139" i="9"/>
  <c r="AO139" i="9"/>
  <c r="AP139" i="9"/>
  <c r="AQ139" i="9"/>
  <c r="AR139" i="9"/>
  <c r="AS139" i="9" a="1"/>
  <c r="AS139" i="9" s="1"/>
  <c r="AK139" i="9" s="1"/>
  <c r="AL138" i="9"/>
  <c r="AM138" i="9"/>
  <c r="AN138" i="9"/>
  <c r="AO138" i="9"/>
  <c r="AP138" i="9"/>
  <c r="AQ138" i="9"/>
  <c r="AR138" i="9"/>
  <c r="AS138" i="9" a="1"/>
  <c r="AS138" i="9" s="1"/>
  <c r="AK138" i="9" s="1"/>
  <c r="AI4" i="10" l="1" a="1"/>
  <c r="AI4" i="10" s="1"/>
  <c r="AJ109" i="9"/>
  <c r="AH109" i="9" s="1"/>
  <c r="AJ152" i="9"/>
  <c r="O6" i="10" s="1" a="1"/>
  <c r="O6" i="10" s="1"/>
  <c r="P6" i="10" s="1"/>
  <c r="AJ104" i="9"/>
  <c r="G7" i="10" s="1" a="1"/>
  <c r="G7" i="10" s="1"/>
  <c r="H7" i="10" s="1"/>
  <c r="AJ69" i="9"/>
  <c r="AJ129" i="9"/>
  <c r="AJ108" i="9"/>
  <c r="AH108" i="9" s="1"/>
  <c r="AJ68" i="9"/>
  <c r="O8" i="10" s="1" a="1"/>
  <c r="O8" i="10" s="1"/>
  <c r="P8" i="10" s="1"/>
  <c r="AJ155" i="9"/>
  <c r="AH155" i="9" s="1"/>
  <c r="AJ107" i="9"/>
  <c r="AJ67" i="9"/>
  <c r="K8" i="10" s="1" a="1"/>
  <c r="K8" i="10" s="1"/>
  <c r="L8" i="10" s="1"/>
  <c r="AJ154" i="9"/>
  <c r="AH154" i="9" s="1"/>
  <c r="AJ106" i="9"/>
  <c r="O7" i="10" s="1" a="1"/>
  <c r="O7" i="10" s="1"/>
  <c r="P7" i="10" s="1"/>
  <c r="AJ153" i="9"/>
  <c r="AJ105" i="9"/>
  <c r="K7" i="10" s="1" a="1"/>
  <c r="K7" i="10" s="1"/>
  <c r="L7" i="10" s="1"/>
  <c r="AJ158" i="9"/>
  <c r="AH158" i="9" s="1"/>
  <c r="AJ71" i="9"/>
  <c r="AH71" i="9" s="1"/>
  <c r="AJ157" i="9"/>
  <c r="AH157" i="9" s="1"/>
  <c r="AJ70" i="9"/>
  <c r="AH70" i="9" s="1"/>
  <c r="AJ66" i="9"/>
  <c r="G8" i="10" s="1" a="1"/>
  <c r="G8" i="10" s="1"/>
  <c r="H8" i="10" s="1"/>
  <c r="AJ119" i="9"/>
  <c r="AH119" i="9" s="1"/>
  <c r="AJ118" i="9"/>
  <c r="AJ117" i="9"/>
  <c r="O9" i="10" s="1" a="1"/>
  <c r="O9" i="10" s="1"/>
  <c r="P9" i="10" s="1"/>
  <c r="AJ116" i="9"/>
  <c r="K9" i="10" s="1" a="1"/>
  <c r="K9" i="10" s="1"/>
  <c r="L9" i="10" s="1"/>
  <c r="AJ115" i="9"/>
  <c r="G9" i="10" s="1" a="1"/>
  <c r="G9" i="10" s="1"/>
  <c r="H9" i="10" s="1"/>
  <c r="AJ51" i="9"/>
  <c r="AH51" i="9" s="1"/>
  <c r="AJ49" i="9"/>
  <c r="AJ48" i="9"/>
  <c r="O10" i="10" s="1" a="1"/>
  <c r="O10" i="10" s="1"/>
  <c r="P10" i="10" s="1"/>
  <c r="AJ53" i="9"/>
  <c r="AH53" i="9" s="1"/>
  <c r="AJ52" i="9"/>
  <c r="AH52" i="9" s="1"/>
  <c r="AJ143" i="9"/>
  <c r="AH143" i="9" s="1"/>
  <c r="AJ142" i="9"/>
  <c r="AH142" i="9" s="1"/>
  <c r="AJ141" i="9"/>
  <c r="AJ140" i="9"/>
  <c r="O11" i="10" s="1" a="1"/>
  <c r="O11" i="10" s="1"/>
  <c r="P11" i="10" s="1"/>
  <c r="AJ139" i="9"/>
  <c r="K11" i="10" s="1" a="1"/>
  <c r="K11" i="10" s="1"/>
  <c r="L11" i="10" s="1"/>
  <c r="AJ138" i="9"/>
  <c r="G11" i="10" s="1" a="1"/>
  <c r="G11" i="10" s="1"/>
  <c r="H11" i="10" s="1"/>
  <c r="AH141" i="9" l="1"/>
  <c r="S11" i="10" a="1"/>
  <c r="S11" i="10" s="1"/>
  <c r="T11" i="10" s="1"/>
  <c r="Z11" i="10" s="1"/>
  <c r="AD11" i="10" s="1"/>
  <c r="AH49" i="9"/>
  <c r="S10" i="10" a="1"/>
  <c r="S10" i="10" s="1"/>
  <c r="T10" i="10" s="1"/>
  <c r="AH118" i="9"/>
  <c r="S9" i="10" a="1"/>
  <c r="S9" i="10" s="1"/>
  <c r="T9" i="10" s="1"/>
  <c r="Z9" i="10" s="1"/>
  <c r="AD9" i="10" s="1"/>
  <c r="AH153" i="9"/>
  <c r="S6" i="10" a="1"/>
  <c r="S6" i="10" s="1"/>
  <c r="T6" i="10" s="1"/>
  <c r="AH129" i="9"/>
  <c r="S5" i="10" a="1"/>
  <c r="S5" i="10" s="1"/>
  <c r="T5" i="10" s="1"/>
  <c r="AH69" i="9"/>
  <c r="S8" i="10" a="1"/>
  <c r="S8" i="10" s="1"/>
  <c r="T8" i="10" s="1"/>
  <c r="Z8" i="10" s="1"/>
  <c r="AD8" i="10" s="1"/>
  <c r="AH107" i="9"/>
  <c r="S7" i="10" a="1"/>
  <c r="S7" i="10" s="1"/>
  <c r="T7" i="10" s="1"/>
  <c r="Z7" i="10" s="1"/>
  <c r="AD7" i="10" s="1"/>
  <c r="AH68" i="9"/>
  <c r="AH117" i="9"/>
  <c r="AH106" i="9"/>
  <c r="AH140" i="9"/>
  <c r="AH48" i="9"/>
  <c r="AH152" i="9"/>
  <c r="AH116" i="9"/>
  <c r="AH105" i="9"/>
  <c r="AH139" i="9"/>
  <c r="AH67" i="9"/>
  <c r="AH115" i="9"/>
  <c r="AH138" i="9"/>
  <c r="AH66" i="9"/>
  <c r="AH104" i="9"/>
  <c r="AL77" i="9"/>
  <c r="AM77" i="9"/>
  <c r="AN77" i="9"/>
  <c r="AO77" i="9"/>
  <c r="AP77" i="9"/>
  <c r="AQ77" i="9"/>
  <c r="AR77" i="9"/>
  <c r="AK77" i="9" s="1"/>
  <c r="AS77" i="9" a="1"/>
  <c r="AS77" i="9" s="1"/>
  <c r="AL76" i="9"/>
  <c r="AM76" i="9"/>
  <c r="AN76" i="9"/>
  <c r="AO76" i="9"/>
  <c r="AP76" i="9"/>
  <c r="AQ76" i="9"/>
  <c r="AR76" i="9"/>
  <c r="AK76" i="9" s="1"/>
  <c r="AS76" i="9" a="1"/>
  <c r="AS76" i="9" s="1"/>
  <c r="AL75" i="9"/>
  <c r="AM75" i="9"/>
  <c r="AN75" i="9"/>
  <c r="AO75" i="9"/>
  <c r="AP75" i="9"/>
  <c r="AQ75" i="9"/>
  <c r="AR75" i="9"/>
  <c r="AS75" i="9" a="1"/>
  <c r="AS75" i="9" s="1"/>
  <c r="AK75" i="9" s="1"/>
  <c r="AL74" i="9"/>
  <c r="AM74" i="9"/>
  <c r="AN74" i="9"/>
  <c r="AO74" i="9"/>
  <c r="AP74" i="9"/>
  <c r="AQ74" i="9"/>
  <c r="AR74" i="9"/>
  <c r="AS74" i="9" a="1"/>
  <c r="AS74" i="9" s="1"/>
  <c r="AK74" i="9" s="1"/>
  <c r="AL73" i="9"/>
  <c r="AM73" i="9"/>
  <c r="AN73" i="9"/>
  <c r="AO73" i="9"/>
  <c r="AP73" i="9"/>
  <c r="AQ73" i="9"/>
  <c r="AR73" i="9"/>
  <c r="AS73" i="9" a="1"/>
  <c r="AS73" i="9" s="1"/>
  <c r="AK73" i="9" s="1"/>
  <c r="AL72" i="9"/>
  <c r="AM72" i="9"/>
  <c r="AN72" i="9"/>
  <c r="AO72" i="9"/>
  <c r="AP72" i="9"/>
  <c r="AQ72" i="9"/>
  <c r="AR72" i="9"/>
  <c r="AS72" i="9" a="1"/>
  <c r="AS72" i="9" s="1"/>
  <c r="AK72" i="9" s="1"/>
  <c r="AL114" i="9"/>
  <c r="AM114" i="9"/>
  <c r="AN114" i="9"/>
  <c r="AO114" i="9"/>
  <c r="AP114" i="9"/>
  <c r="AQ114" i="9"/>
  <c r="AR114" i="9"/>
  <c r="AK114" i="9" s="1"/>
  <c r="AS114" i="9" a="1"/>
  <c r="AS114" i="9" s="1"/>
  <c r="AL113" i="9"/>
  <c r="AM113" i="9"/>
  <c r="AN113" i="9"/>
  <c r="AO113" i="9"/>
  <c r="AP113" i="9"/>
  <c r="AQ113" i="9"/>
  <c r="AR113" i="9"/>
  <c r="AK113" i="9" s="1"/>
  <c r="AS113" i="9" a="1"/>
  <c r="AS113" i="9" s="1"/>
  <c r="AL112" i="9"/>
  <c r="AM112" i="9"/>
  <c r="AN112" i="9"/>
  <c r="AO112" i="9"/>
  <c r="AP112" i="9"/>
  <c r="AQ112" i="9"/>
  <c r="AR112" i="9"/>
  <c r="AS112" i="9" a="1"/>
  <c r="AS112" i="9" s="1"/>
  <c r="AK112" i="9" s="1"/>
  <c r="AL111" i="9"/>
  <c r="AM111" i="9"/>
  <c r="AN111" i="9"/>
  <c r="AO111" i="9"/>
  <c r="AP111" i="9"/>
  <c r="AQ111" i="9"/>
  <c r="AR111" i="9"/>
  <c r="AS111" i="9" a="1"/>
  <c r="AS111" i="9" s="1"/>
  <c r="AK111" i="9" s="1"/>
  <c r="AL110" i="9"/>
  <c r="AM110" i="9"/>
  <c r="AN110" i="9"/>
  <c r="AO110" i="9"/>
  <c r="AP110" i="9"/>
  <c r="AQ110" i="9"/>
  <c r="AR110" i="9"/>
  <c r="AS110" i="9" a="1"/>
  <c r="AS110" i="9" s="1"/>
  <c r="AK110" i="9" s="1"/>
  <c r="AL45" i="9"/>
  <c r="AM45" i="9"/>
  <c r="AN45" i="9"/>
  <c r="AO45" i="9"/>
  <c r="AP45" i="9"/>
  <c r="AQ45" i="9"/>
  <c r="AR45" i="9"/>
  <c r="AK45" i="9" s="1"/>
  <c r="AS45" i="9" a="1"/>
  <c r="AS45" i="9" s="1"/>
  <c r="AL44" i="9"/>
  <c r="AM44" i="9"/>
  <c r="AN44" i="9"/>
  <c r="AO44" i="9"/>
  <c r="AP44" i="9"/>
  <c r="AQ44" i="9"/>
  <c r="AR44" i="9"/>
  <c r="AK44" i="9" s="1"/>
  <c r="AS44" i="9" a="1"/>
  <c r="AS44" i="9" s="1"/>
  <c r="AL43" i="9"/>
  <c r="AM43" i="9"/>
  <c r="AN43" i="9"/>
  <c r="AO43" i="9"/>
  <c r="AP43" i="9"/>
  <c r="AQ43" i="9"/>
  <c r="AR43" i="9"/>
  <c r="AS43" i="9" a="1"/>
  <c r="AS43" i="9" s="1"/>
  <c r="AK43" i="9" s="1"/>
  <c r="AL42" i="9"/>
  <c r="AM42" i="9"/>
  <c r="AN42" i="9"/>
  <c r="AO42" i="9"/>
  <c r="AP42" i="9"/>
  <c r="AQ42" i="9"/>
  <c r="AR42" i="9"/>
  <c r="AS42" i="9" a="1"/>
  <c r="AS42" i="9" s="1"/>
  <c r="AK42" i="9" s="1"/>
  <c r="AL41" i="9"/>
  <c r="AM41" i="9"/>
  <c r="AN41" i="9"/>
  <c r="AO41" i="9"/>
  <c r="AP41" i="9"/>
  <c r="AQ41" i="9"/>
  <c r="AR41" i="9"/>
  <c r="AS41" i="9" a="1"/>
  <c r="AS41" i="9" s="1"/>
  <c r="AK41" i="9" s="1"/>
  <c r="AJ77" i="9" l="1"/>
  <c r="AH77" i="9" s="1"/>
  <c r="AJ76" i="9"/>
  <c r="AH76" i="9" s="1"/>
  <c r="AJ75" i="9"/>
  <c r="AJ74" i="9"/>
  <c r="O12" i="10" s="1" a="1"/>
  <c r="O12" i="10" s="1"/>
  <c r="P12" i="10" s="1"/>
  <c r="AJ73" i="9"/>
  <c r="K12" i="10" s="1" a="1"/>
  <c r="K12" i="10" s="1"/>
  <c r="L12" i="10" s="1"/>
  <c r="AJ72" i="9"/>
  <c r="G12" i="10" s="1" a="1"/>
  <c r="G12" i="10" s="1"/>
  <c r="H12" i="10" s="1"/>
  <c r="AJ114" i="9"/>
  <c r="AH114" i="9" s="1"/>
  <c r="AJ113" i="9"/>
  <c r="AJ112" i="9"/>
  <c r="O13" i="10" s="1" a="1"/>
  <c r="O13" i="10" s="1"/>
  <c r="P13" i="10" s="1"/>
  <c r="AJ111" i="9"/>
  <c r="K13" i="10" s="1" a="1"/>
  <c r="K13" i="10" s="1"/>
  <c r="L13" i="10" s="1"/>
  <c r="AJ110" i="9"/>
  <c r="G13" i="10" s="1" a="1"/>
  <c r="G13" i="10" s="1"/>
  <c r="H13" i="10" s="1"/>
  <c r="AJ45" i="9"/>
  <c r="AH45" i="9" s="1"/>
  <c r="AJ44" i="9"/>
  <c r="AH44" i="9" s="1"/>
  <c r="AJ43" i="9"/>
  <c r="AJ42" i="9"/>
  <c r="O14" i="10" s="1" a="1"/>
  <c r="O14" i="10" s="1"/>
  <c r="P14" i="10" s="1"/>
  <c r="AJ41" i="9"/>
  <c r="K14" i="10" s="1" a="1"/>
  <c r="K14" i="10" s="1"/>
  <c r="L14" i="10" s="1"/>
  <c r="Z13" i="10" l="1"/>
  <c r="AD13" i="10" s="1"/>
  <c r="AH43" i="9"/>
  <c r="S14" i="10" a="1"/>
  <c r="S14" i="10" s="1"/>
  <c r="T14" i="10" s="1"/>
  <c r="AH113" i="9"/>
  <c r="S13" i="10" a="1"/>
  <c r="S13" i="10" s="1"/>
  <c r="AH75" i="9"/>
  <c r="S12" i="10" a="1"/>
  <c r="S12" i="10" s="1"/>
  <c r="T12" i="10" s="1"/>
  <c r="Z12" i="10" s="1"/>
  <c r="AD12" i="10" s="1"/>
  <c r="AH112" i="9"/>
  <c r="AH74" i="9"/>
  <c r="AH42" i="9"/>
  <c r="AH41" i="9"/>
  <c r="AH73" i="9"/>
  <c r="AH111" i="9"/>
  <c r="AH72" i="9"/>
  <c r="AH110" i="9"/>
  <c r="AL40" i="9"/>
  <c r="AM40" i="9"/>
  <c r="AN40" i="9"/>
  <c r="AO40" i="9"/>
  <c r="AP40" i="9"/>
  <c r="AQ40" i="9"/>
  <c r="AR40" i="9"/>
  <c r="AS40" i="9" a="1"/>
  <c r="AS40" i="9" s="1"/>
  <c r="AK40" i="9" s="1"/>
  <c r="AL82" i="9"/>
  <c r="AM82" i="9"/>
  <c r="AN82" i="9"/>
  <c r="AO82" i="9"/>
  <c r="AP82" i="9"/>
  <c r="AQ82" i="9"/>
  <c r="AR82" i="9"/>
  <c r="AK82" i="9" s="1"/>
  <c r="AS82" i="9" a="1"/>
  <c r="AS82" i="9" s="1"/>
  <c r="AL80" i="9"/>
  <c r="AM80" i="9"/>
  <c r="AN80" i="9"/>
  <c r="AO80" i="9"/>
  <c r="AP80" i="9"/>
  <c r="AQ80" i="9"/>
  <c r="AR80" i="9"/>
  <c r="AS80" i="9" a="1"/>
  <c r="AS80" i="9" s="1"/>
  <c r="AK80" i="9" s="1"/>
  <c r="AL79" i="9"/>
  <c r="AM79" i="9"/>
  <c r="AN79" i="9"/>
  <c r="AO79" i="9"/>
  <c r="AP79" i="9"/>
  <c r="AQ79" i="9"/>
  <c r="AR79" i="9"/>
  <c r="AS79" i="9" a="1"/>
  <c r="AS79" i="9" s="1"/>
  <c r="AK79" i="9" s="1"/>
  <c r="AL78" i="9"/>
  <c r="AM78" i="9"/>
  <c r="AN78" i="9"/>
  <c r="AO78" i="9"/>
  <c r="AP78" i="9"/>
  <c r="AQ78" i="9"/>
  <c r="AR78" i="9"/>
  <c r="AS78" i="9" a="1"/>
  <c r="AS78" i="9" s="1"/>
  <c r="AK78" i="9" s="1"/>
  <c r="AL33" i="9"/>
  <c r="AM33" i="9"/>
  <c r="AN33" i="9"/>
  <c r="AO33" i="9"/>
  <c r="AP33" i="9"/>
  <c r="AQ33" i="9"/>
  <c r="AR33" i="9"/>
  <c r="AK33" i="9" s="1"/>
  <c r="AS33" i="9" a="1"/>
  <c r="AS33" i="9" s="1"/>
  <c r="AL32" i="9"/>
  <c r="AM32" i="9"/>
  <c r="AN32" i="9"/>
  <c r="AO32" i="9"/>
  <c r="AP32" i="9"/>
  <c r="AQ32" i="9"/>
  <c r="AR32" i="9"/>
  <c r="AK32" i="9" s="1"/>
  <c r="AS32" i="9" a="1"/>
  <c r="AS32" i="9" s="1"/>
  <c r="AL10" i="9"/>
  <c r="AM10" i="9"/>
  <c r="AN10" i="9"/>
  <c r="AO10" i="9"/>
  <c r="AP10" i="9"/>
  <c r="AQ10" i="9"/>
  <c r="AR10" i="9"/>
  <c r="AK10" i="9" s="1"/>
  <c r="AS10" i="9" a="1"/>
  <c r="AS10" i="9" s="1"/>
  <c r="AL9" i="9"/>
  <c r="AM9" i="9"/>
  <c r="AN9" i="9"/>
  <c r="AO9" i="9"/>
  <c r="AP9" i="9"/>
  <c r="AQ9" i="9"/>
  <c r="AR9" i="9"/>
  <c r="AK9" i="9" s="1"/>
  <c r="AS9" i="9" a="1"/>
  <c r="AS9" i="9" s="1"/>
  <c r="AL8" i="9"/>
  <c r="AM8" i="9"/>
  <c r="AN8" i="9"/>
  <c r="AO8" i="9"/>
  <c r="AP8" i="9"/>
  <c r="AQ8" i="9"/>
  <c r="AR8" i="9"/>
  <c r="AS8" i="9" a="1"/>
  <c r="AS8" i="9" s="1"/>
  <c r="AK8" i="9" s="1"/>
  <c r="AL7" i="9"/>
  <c r="AM7" i="9"/>
  <c r="AN7" i="9"/>
  <c r="AO7" i="9"/>
  <c r="AP7" i="9"/>
  <c r="AQ7" i="9"/>
  <c r="AR7" i="9"/>
  <c r="AS7" i="9" a="1"/>
  <c r="AS7" i="9" s="1"/>
  <c r="AK7" i="9" s="1"/>
  <c r="AL6" i="9"/>
  <c r="AM6" i="9"/>
  <c r="AN6" i="9"/>
  <c r="AO6" i="9"/>
  <c r="AP6" i="9"/>
  <c r="AQ6" i="9"/>
  <c r="AR6" i="9"/>
  <c r="AS6" i="9" a="1"/>
  <c r="AS6" i="9" s="1"/>
  <c r="AK6" i="9" s="1"/>
  <c r="AL22" i="9"/>
  <c r="AM22" i="9"/>
  <c r="AN22" i="9"/>
  <c r="AO22" i="9"/>
  <c r="AP22" i="9"/>
  <c r="AQ22" i="9"/>
  <c r="AR22" i="9"/>
  <c r="AK22" i="9" s="1"/>
  <c r="AS22" i="9" a="1"/>
  <c r="AS22" i="9" s="1"/>
  <c r="AL21" i="9"/>
  <c r="AM21" i="9"/>
  <c r="AN21" i="9"/>
  <c r="AO21" i="9"/>
  <c r="AP21" i="9"/>
  <c r="AQ21" i="9"/>
  <c r="AR21" i="9"/>
  <c r="AK21" i="9" s="1"/>
  <c r="AS21" i="9" a="1"/>
  <c r="AS21" i="9" s="1"/>
  <c r="AL20" i="9"/>
  <c r="AM20" i="9"/>
  <c r="AN20" i="9"/>
  <c r="AO20" i="9"/>
  <c r="AP20" i="9"/>
  <c r="AQ20" i="9"/>
  <c r="AR20" i="9"/>
  <c r="AS20" i="9" a="1"/>
  <c r="AS20" i="9" s="1"/>
  <c r="AK20" i="9" s="1"/>
  <c r="AL19" i="9"/>
  <c r="AM19" i="9"/>
  <c r="AN19" i="9"/>
  <c r="AO19" i="9"/>
  <c r="AP19" i="9"/>
  <c r="AQ19" i="9"/>
  <c r="AR19" i="9"/>
  <c r="AS19" i="9" a="1"/>
  <c r="AS19" i="9" s="1"/>
  <c r="AK19" i="9" s="1"/>
  <c r="AL18" i="9"/>
  <c r="AM18" i="9"/>
  <c r="AN18" i="9"/>
  <c r="AO18" i="9"/>
  <c r="AP18" i="9"/>
  <c r="AQ18" i="9"/>
  <c r="AR18" i="9"/>
  <c r="AS18" i="9" a="1"/>
  <c r="AS18" i="9" s="1"/>
  <c r="AK18" i="9" s="1"/>
  <c r="AL17" i="9"/>
  <c r="AM17" i="9"/>
  <c r="AN17" i="9"/>
  <c r="AO17" i="9"/>
  <c r="AP17" i="9"/>
  <c r="AQ17" i="9"/>
  <c r="AR17" i="9"/>
  <c r="AS17" i="9" a="1"/>
  <c r="AS17" i="9" s="1"/>
  <c r="AK17" i="9" s="1"/>
  <c r="AL39" i="9"/>
  <c r="AM39" i="9"/>
  <c r="AN39" i="9"/>
  <c r="AO39" i="9"/>
  <c r="AP39" i="9"/>
  <c r="AQ39" i="9"/>
  <c r="AR39" i="9"/>
  <c r="AK39" i="9" s="1"/>
  <c r="AS39" i="9" a="1"/>
  <c r="AS39" i="9" s="1"/>
  <c r="AL38" i="9"/>
  <c r="AM38" i="9"/>
  <c r="AN38" i="9"/>
  <c r="AO38" i="9"/>
  <c r="AP38" i="9"/>
  <c r="AQ38" i="9"/>
  <c r="AR38" i="9"/>
  <c r="AK38" i="9" s="1"/>
  <c r="AS38" i="9" a="1"/>
  <c r="AS38" i="9" s="1"/>
  <c r="AL37" i="9"/>
  <c r="AM37" i="9"/>
  <c r="AN37" i="9"/>
  <c r="AO37" i="9"/>
  <c r="AP37" i="9"/>
  <c r="AQ37" i="9"/>
  <c r="AR37" i="9"/>
  <c r="AS37" i="9" a="1"/>
  <c r="AS37" i="9" s="1"/>
  <c r="AK37" i="9" s="1"/>
  <c r="AL36" i="9"/>
  <c r="AM36" i="9"/>
  <c r="AN36" i="9"/>
  <c r="AO36" i="9"/>
  <c r="AP36" i="9"/>
  <c r="AQ36" i="9"/>
  <c r="AR36" i="9"/>
  <c r="AS36" i="9" a="1"/>
  <c r="AS36" i="9" s="1"/>
  <c r="AK36" i="9" s="1"/>
  <c r="AL35" i="9"/>
  <c r="AM35" i="9"/>
  <c r="AN35" i="9"/>
  <c r="AO35" i="9"/>
  <c r="AP35" i="9"/>
  <c r="AQ35" i="9"/>
  <c r="AR35" i="9"/>
  <c r="AS35" i="9" a="1"/>
  <c r="AS35" i="9" s="1"/>
  <c r="AK35" i="9" s="1"/>
  <c r="AL34" i="9"/>
  <c r="AM34" i="9"/>
  <c r="AN34" i="9"/>
  <c r="AO34" i="9"/>
  <c r="AP34" i="9"/>
  <c r="AQ34" i="9"/>
  <c r="AR34" i="9"/>
  <c r="AS34" i="9" a="1"/>
  <c r="AS34" i="9" s="1"/>
  <c r="AK34" i="9" s="1"/>
  <c r="AL125" i="9"/>
  <c r="AM125" i="9"/>
  <c r="AN125" i="9"/>
  <c r="AO125" i="9"/>
  <c r="AP125" i="9"/>
  <c r="AQ125" i="9"/>
  <c r="AR125" i="9"/>
  <c r="AK125" i="9" s="1"/>
  <c r="AS125" i="9" a="1"/>
  <c r="AS125" i="9" s="1"/>
  <c r="AL124" i="9"/>
  <c r="AM124" i="9"/>
  <c r="AN124" i="9"/>
  <c r="AO124" i="9"/>
  <c r="AP124" i="9"/>
  <c r="AQ124" i="9"/>
  <c r="AR124" i="9"/>
  <c r="AK124" i="9" s="1"/>
  <c r="AS124" i="9" a="1"/>
  <c r="AS124" i="9" s="1"/>
  <c r="AL123" i="9"/>
  <c r="AM123" i="9"/>
  <c r="AN123" i="9"/>
  <c r="AO123" i="9"/>
  <c r="AP123" i="9"/>
  <c r="AQ123" i="9"/>
  <c r="AR123" i="9"/>
  <c r="AS123" i="9" a="1"/>
  <c r="AS123" i="9" s="1"/>
  <c r="AK123" i="9" s="1"/>
  <c r="AL122" i="9"/>
  <c r="AM122" i="9"/>
  <c r="AN122" i="9"/>
  <c r="AO122" i="9"/>
  <c r="AP122" i="9"/>
  <c r="AQ122" i="9"/>
  <c r="AR122" i="9"/>
  <c r="AS122" i="9" a="1"/>
  <c r="AS122" i="9" s="1"/>
  <c r="AK122" i="9" s="1"/>
  <c r="AL121" i="9"/>
  <c r="AM121" i="9"/>
  <c r="AN121" i="9"/>
  <c r="AO121" i="9"/>
  <c r="AP121" i="9"/>
  <c r="AQ121" i="9"/>
  <c r="AR121" i="9"/>
  <c r="AS121" i="9" a="1"/>
  <c r="AS121" i="9" s="1"/>
  <c r="AK121" i="9" s="1"/>
  <c r="AL120" i="9"/>
  <c r="AM120" i="9"/>
  <c r="AN120" i="9"/>
  <c r="AO120" i="9"/>
  <c r="AP120" i="9"/>
  <c r="AQ120" i="9"/>
  <c r="AR120" i="9"/>
  <c r="AS120" i="9" a="1"/>
  <c r="AS120" i="9" s="1"/>
  <c r="AK120" i="9" s="1"/>
  <c r="AL93" i="9"/>
  <c r="AM93" i="9"/>
  <c r="AN93" i="9"/>
  <c r="AO93" i="9"/>
  <c r="AP93" i="9"/>
  <c r="AQ93" i="9"/>
  <c r="AR93" i="9"/>
  <c r="AK93" i="9" s="1"/>
  <c r="AS93" i="9" a="1"/>
  <c r="AS93" i="9" s="1"/>
  <c r="AL91" i="9"/>
  <c r="AM91" i="9"/>
  <c r="AN91" i="9"/>
  <c r="AO91" i="9"/>
  <c r="AP91" i="9"/>
  <c r="AQ91" i="9"/>
  <c r="AR91" i="9"/>
  <c r="AS91" i="9" a="1"/>
  <c r="AS91" i="9" s="1"/>
  <c r="AK91" i="9" s="1"/>
  <c r="AL90" i="9"/>
  <c r="AM90" i="9"/>
  <c r="AN90" i="9"/>
  <c r="AO90" i="9"/>
  <c r="AP90" i="9"/>
  <c r="AQ90" i="9"/>
  <c r="AR90" i="9"/>
  <c r="AS90" i="9" a="1"/>
  <c r="AS90" i="9" s="1"/>
  <c r="AK90" i="9" s="1"/>
  <c r="AL16" i="9"/>
  <c r="AM16" i="9"/>
  <c r="AN16" i="9"/>
  <c r="AO16" i="9"/>
  <c r="AP16" i="9"/>
  <c r="AQ16" i="9"/>
  <c r="AR16" i="9"/>
  <c r="AK16" i="9" s="1"/>
  <c r="AS16" i="9" a="1"/>
  <c r="AS16" i="9" s="1"/>
  <c r="AL15" i="9"/>
  <c r="AM15" i="9"/>
  <c r="AN15" i="9"/>
  <c r="AO15" i="9"/>
  <c r="AP15" i="9"/>
  <c r="AQ15" i="9"/>
  <c r="AR15" i="9"/>
  <c r="AK15" i="9" s="1"/>
  <c r="AS15" i="9" a="1"/>
  <c r="AS15" i="9" s="1"/>
  <c r="AL14" i="9"/>
  <c r="AM14" i="9"/>
  <c r="AN14" i="9"/>
  <c r="AO14" i="9"/>
  <c r="AP14" i="9"/>
  <c r="AQ14" i="9"/>
  <c r="AR14" i="9"/>
  <c r="AS14" i="9" a="1"/>
  <c r="AS14" i="9" s="1"/>
  <c r="AK14" i="9" s="1"/>
  <c r="AL13" i="9"/>
  <c r="AM13" i="9"/>
  <c r="AN13" i="9"/>
  <c r="AO13" i="9"/>
  <c r="AP13" i="9"/>
  <c r="AQ13" i="9"/>
  <c r="AR13" i="9"/>
  <c r="AS13" i="9" a="1"/>
  <c r="AS13" i="9" s="1"/>
  <c r="AK13" i="9" s="1"/>
  <c r="AL12" i="9"/>
  <c r="AM12" i="9"/>
  <c r="AN12" i="9"/>
  <c r="AO12" i="9"/>
  <c r="AP12" i="9"/>
  <c r="AQ12" i="9"/>
  <c r="AR12" i="9"/>
  <c r="AS12" i="9" a="1"/>
  <c r="AS12" i="9" s="1"/>
  <c r="AK12" i="9" s="1"/>
  <c r="AL11" i="9"/>
  <c r="AM11" i="9"/>
  <c r="AN11" i="9"/>
  <c r="AO11" i="9"/>
  <c r="AP11" i="9"/>
  <c r="AQ11" i="9"/>
  <c r="AR11" i="9"/>
  <c r="AS11" i="9" a="1"/>
  <c r="AS11" i="9" s="1"/>
  <c r="AK11" i="9" s="1"/>
  <c r="AL28" i="9"/>
  <c r="AM28" i="9"/>
  <c r="AN28" i="9"/>
  <c r="AO28" i="9"/>
  <c r="AP28" i="9"/>
  <c r="AQ28" i="9"/>
  <c r="AR28" i="9"/>
  <c r="AK28" i="9" s="1"/>
  <c r="AS28" i="9" a="1"/>
  <c r="AS28" i="9" s="1"/>
  <c r="AL27" i="9"/>
  <c r="AM27" i="9"/>
  <c r="AN27" i="9"/>
  <c r="AO27" i="9"/>
  <c r="AP27" i="9"/>
  <c r="AQ27" i="9"/>
  <c r="AR27" i="9"/>
  <c r="AK27" i="9" s="1"/>
  <c r="AS27" i="9" a="1"/>
  <c r="AS27" i="9" s="1"/>
  <c r="AL26" i="9"/>
  <c r="AM26" i="9"/>
  <c r="AN26" i="9"/>
  <c r="AO26" i="9"/>
  <c r="AP26" i="9"/>
  <c r="AQ26" i="9"/>
  <c r="AR26" i="9"/>
  <c r="AS26" i="9" a="1"/>
  <c r="AS26" i="9" s="1"/>
  <c r="AK26" i="9" s="1"/>
  <c r="AL25" i="9"/>
  <c r="AM25" i="9"/>
  <c r="AN25" i="9"/>
  <c r="AO25" i="9"/>
  <c r="AP25" i="9"/>
  <c r="AQ25" i="9"/>
  <c r="AR25" i="9"/>
  <c r="AS25" i="9" a="1"/>
  <c r="AS25" i="9" s="1"/>
  <c r="AK25" i="9" s="1"/>
  <c r="AL24" i="9"/>
  <c r="AM24" i="9"/>
  <c r="AN24" i="9"/>
  <c r="AO24" i="9"/>
  <c r="AP24" i="9"/>
  <c r="AQ24" i="9"/>
  <c r="AR24" i="9"/>
  <c r="AS24" i="9" a="1"/>
  <c r="AS24" i="9" s="1"/>
  <c r="AK24" i="9" s="1"/>
  <c r="AM23" i="9"/>
  <c r="AL23" i="9"/>
  <c r="AN23" i="9"/>
  <c r="AO23" i="9"/>
  <c r="AP23" i="9"/>
  <c r="AQ23" i="9"/>
  <c r="AR23" i="9"/>
  <c r="AS23" i="9" a="1"/>
  <c r="AS23" i="9" s="1"/>
  <c r="AK23" i="9" s="1"/>
  <c r="AL99" i="9"/>
  <c r="AM99" i="9"/>
  <c r="AN99" i="9"/>
  <c r="AO99" i="9"/>
  <c r="AP99" i="9"/>
  <c r="AQ99" i="9"/>
  <c r="AR99" i="9"/>
  <c r="AK99" i="9" s="1"/>
  <c r="AS99" i="9" a="1"/>
  <c r="AS99" i="9" s="1"/>
  <c r="AL98" i="9"/>
  <c r="AM98" i="9"/>
  <c r="AN98" i="9"/>
  <c r="AO98" i="9"/>
  <c r="AP98" i="9"/>
  <c r="AQ98" i="9"/>
  <c r="AR98" i="9"/>
  <c r="AK98" i="9" s="1"/>
  <c r="AS98" i="9" a="1"/>
  <c r="AS98" i="9" s="1"/>
  <c r="AL97" i="9"/>
  <c r="AM97" i="9"/>
  <c r="AN97" i="9"/>
  <c r="AO97" i="9"/>
  <c r="AP97" i="9"/>
  <c r="AQ97" i="9"/>
  <c r="AR97" i="9"/>
  <c r="AS97" i="9" a="1"/>
  <c r="AS97" i="9" s="1"/>
  <c r="AK97" i="9" s="1"/>
  <c r="AL96" i="9"/>
  <c r="AM96" i="9"/>
  <c r="AN96" i="9"/>
  <c r="AO96" i="9"/>
  <c r="AP96" i="9"/>
  <c r="AQ96" i="9"/>
  <c r="AR96" i="9"/>
  <c r="AS96" i="9" a="1"/>
  <c r="AS96" i="9" s="1"/>
  <c r="AK96" i="9" s="1"/>
  <c r="AL95" i="9"/>
  <c r="AM95" i="9"/>
  <c r="AN95" i="9"/>
  <c r="AO95" i="9"/>
  <c r="AP95" i="9"/>
  <c r="AQ95" i="9"/>
  <c r="AR95" i="9"/>
  <c r="AS95" i="9" a="1"/>
  <c r="AS95" i="9" s="1"/>
  <c r="AK95" i="9" s="1"/>
  <c r="AL94" i="9"/>
  <c r="AM94" i="9"/>
  <c r="AN94" i="9"/>
  <c r="AO94" i="9"/>
  <c r="AP94" i="9"/>
  <c r="AQ94" i="9"/>
  <c r="AR94" i="9"/>
  <c r="AS94" i="9" a="1"/>
  <c r="AS94" i="9" s="1"/>
  <c r="AK94" i="9" s="1"/>
  <c r="AM137" i="9"/>
  <c r="AL137" i="9"/>
  <c r="AN137" i="9"/>
  <c r="AO137" i="9"/>
  <c r="AP137" i="9"/>
  <c r="AQ137" i="9"/>
  <c r="AR137" i="9"/>
  <c r="AK137" i="9" s="1"/>
  <c r="AS137" i="9" a="1"/>
  <c r="AS137" i="9" s="1"/>
  <c r="AL135" i="9"/>
  <c r="AM135" i="9"/>
  <c r="AN135" i="9"/>
  <c r="AO135" i="9"/>
  <c r="AP135" i="9"/>
  <c r="AQ135" i="9"/>
  <c r="AR135" i="9"/>
  <c r="AS135" i="9" a="1"/>
  <c r="AS135" i="9" s="1"/>
  <c r="AK135" i="9" s="1"/>
  <c r="AL134" i="9"/>
  <c r="AM134" i="9"/>
  <c r="AN134" i="9"/>
  <c r="AO134" i="9"/>
  <c r="AP134" i="9"/>
  <c r="AQ134" i="9"/>
  <c r="AR134" i="9"/>
  <c r="AS134" i="9" a="1"/>
  <c r="AS134" i="9" s="1"/>
  <c r="AK134" i="9" s="1"/>
  <c r="AL5" i="9"/>
  <c r="AM5" i="9"/>
  <c r="AN5" i="9"/>
  <c r="AO5" i="9"/>
  <c r="AP5" i="9"/>
  <c r="AQ5" i="9"/>
  <c r="AR5" i="9"/>
  <c r="AK5" i="9" s="1"/>
  <c r="AS5" i="9" a="1"/>
  <c r="AS5" i="9" s="1"/>
  <c r="AL4" i="9"/>
  <c r="AM4" i="9"/>
  <c r="AN4" i="9"/>
  <c r="AO4" i="9"/>
  <c r="AP4" i="9"/>
  <c r="AQ4" i="9"/>
  <c r="AR4" i="9"/>
  <c r="AK4" i="9" s="1"/>
  <c r="AS4" i="9" a="1"/>
  <c r="AS4" i="9" s="1"/>
  <c r="AL3" i="9"/>
  <c r="AM3" i="9"/>
  <c r="AN3" i="9"/>
  <c r="AO3" i="9"/>
  <c r="AP3" i="9"/>
  <c r="AQ3" i="9"/>
  <c r="AR3" i="9"/>
  <c r="AS3" i="9" a="1"/>
  <c r="AS3" i="9" s="1"/>
  <c r="AK3" i="9" s="1"/>
  <c r="AL2" i="9"/>
  <c r="AM2" i="9"/>
  <c r="AN2" i="9"/>
  <c r="AO2" i="9"/>
  <c r="AP2" i="9"/>
  <c r="AQ2" i="9"/>
  <c r="AR2" i="9"/>
  <c r="AS2" i="9" a="1"/>
  <c r="AS2" i="9" s="1"/>
  <c r="AK2" i="9" s="1"/>
  <c r="AL88" i="9"/>
  <c r="AM88" i="9"/>
  <c r="AN88" i="9"/>
  <c r="AO88" i="9"/>
  <c r="AP88" i="9"/>
  <c r="AQ88" i="9"/>
  <c r="AR88" i="9"/>
  <c r="AK88" i="9" s="1"/>
  <c r="AS88" i="9" a="1"/>
  <c r="AS88" i="9" s="1"/>
  <c r="AL87" i="9"/>
  <c r="AM87" i="9"/>
  <c r="AN87" i="9"/>
  <c r="AO87" i="9"/>
  <c r="AP87" i="9"/>
  <c r="AQ87" i="9"/>
  <c r="AR87" i="9"/>
  <c r="AK87" i="9" s="1"/>
  <c r="AS87" i="9" a="1"/>
  <c r="AS87" i="9" s="1"/>
  <c r="AL86" i="9"/>
  <c r="AM86" i="9"/>
  <c r="AN86" i="9"/>
  <c r="AO86" i="9"/>
  <c r="AP86" i="9"/>
  <c r="AQ86" i="9"/>
  <c r="AR86" i="9"/>
  <c r="AS86" i="9" a="1"/>
  <c r="AS86" i="9" s="1"/>
  <c r="AK86" i="9" s="1"/>
  <c r="AL85" i="9"/>
  <c r="AM85" i="9"/>
  <c r="AN85" i="9"/>
  <c r="AO85" i="9"/>
  <c r="AP85" i="9"/>
  <c r="AQ85" i="9"/>
  <c r="AR85" i="9"/>
  <c r="AS85" i="9" a="1"/>
  <c r="AS85" i="9" s="1"/>
  <c r="AK85" i="9" s="1"/>
  <c r="AL84" i="9"/>
  <c r="AM84" i="9"/>
  <c r="AN84" i="9"/>
  <c r="AO84" i="9"/>
  <c r="AP84" i="9"/>
  <c r="AQ84" i="9"/>
  <c r="AR84" i="9"/>
  <c r="AS84" i="9" a="1"/>
  <c r="AS84" i="9" s="1"/>
  <c r="AK84" i="9" s="1"/>
  <c r="AL83" i="9"/>
  <c r="AM83" i="9"/>
  <c r="AN83" i="9"/>
  <c r="AO83" i="9"/>
  <c r="AP83" i="9"/>
  <c r="AQ83" i="9"/>
  <c r="AR83" i="9"/>
  <c r="AS83" i="9" a="1"/>
  <c r="AS83" i="9" s="1"/>
  <c r="AK83" i="9" s="1"/>
  <c r="AL65" i="9"/>
  <c r="AM65" i="9"/>
  <c r="AN65" i="9"/>
  <c r="AO65" i="9"/>
  <c r="AP65" i="9"/>
  <c r="AQ65" i="9"/>
  <c r="AR65" i="9"/>
  <c r="AK65" i="9" s="1"/>
  <c r="AS65" i="9" a="1"/>
  <c r="AS65" i="9" s="1"/>
  <c r="AL64" i="9"/>
  <c r="AM64" i="9"/>
  <c r="AN64" i="9"/>
  <c r="AO64" i="9"/>
  <c r="AP64" i="9"/>
  <c r="AQ64" i="9"/>
  <c r="AR64" i="9"/>
  <c r="AK64" i="9" s="1"/>
  <c r="AS64" i="9" a="1"/>
  <c r="AS64" i="9" s="1"/>
  <c r="AL63" i="9"/>
  <c r="AM63" i="9"/>
  <c r="AN63" i="9"/>
  <c r="AO63" i="9"/>
  <c r="AR63" i="9"/>
  <c r="AS63" i="9" a="1"/>
  <c r="AS63" i="9" s="1"/>
  <c r="AK63" i="9" s="1"/>
  <c r="AL62" i="9"/>
  <c r="AM62" i="9"/>
  <c r="AN62" i="9"/>
  <c r="AO62" i="9"/>
  <c r="AP62" i="9"/>
  <c r="AQ62" i="9"/>
  <c r="AR62" i="9"/>
  <c r="AS62" i="9" a="1"/>
  <c r="AS62" i="9" s="1"/>
  <c r="AK62" i="9" s="1"/>
  <c r="AL61" i="9"/>
  <c r="AM61" i="9"/>
  <c r="AN61" i="9"/>
  <c r="AO61" i="9"/>
  <c r="AP61" i="9"/>
  <c r="AQ61" i="9"/>
  <c r="AR61" i="9"/>
  <c r="AS61" i="9" a="1"/>
  <c r="AS61" i="9" s="1"/>
  <c r="AK61" i="9" s="1"/>
  <c r="AL60" i="9"/>
  <c r="AM60" i="9"/>
  <c r="AN60" i="9"/>
  <c r="AO60" i="9"/>
  <c r="AP60" i="9"/>
  <c r="AQ60" i="9"/>
  <c r="AR60" i="9"/>
  <c r="AS60" i="9" a="1"/>
  <c r="AS60" i="9" s="1"/>
  <c r="AK60" i="9" s="1"/>
  <c r="AL149" i="9"/>
  <c r="AM149" i="9"/>
  <c r="AN149" i="9"/>
  <c r="AO149" i="9"/>
  <c r="AP149" i="9"/>
  <c r="AQ149" i="9"/>
  <c r="AR149" i="9"/>
  <c r="AK149" i="9" s="1"/>
  <c r="AS149" i="9" a="1"/>
  <c r="AS149" i="9" s="1"/>
  <c r="AL148" i="9"/>
  <c r="AM148" i="9"/>
  <c r="AN148" i="9"/>
  <c r="AO148" i="9"/>
  <c r="AP148" i="9"/>
  <c r="AQ148" i="9"/>
  <c r="AR148" i="9"/>
  <c r="AK148" i="9" s="1"/>
  <c r="AS148" i="9" a="1"/>
  <c r="AS148" i="9" s="1"/>
  <c r="AL147" i="9"/>
  <c r="AM147" i="9"/>
  <c r="AN147" i="9"/>
  <c r="AO147" i="9"/>
  <c r="AP147" i="9"/>
  <c r="AQ147" i="9"/>
  <c r="AR147" i="9"/>
  <c r="AS147" i="9" a="1"/>
  <c r="AS147" i="9" s="1"/>
  <c r="AK147" i="9" s="1"/>
  <c r="AL146" i="9"/>
  <c r="AM146" i="9"/>
  <c r="AN146" i="9"/>
  <c r="AO146" i="9"/>
  <c r="AP146" i="9"/>
  <c r="AQ146" i="9"/>
  <c r="AR146" i="9"/>
  <c r="AS146" i="9" a="1"/>
  <c r="AS146" i="9" s="1"/>
  <c r="AK146" i="9" s="1"/>
  <c r="AL145" i="9"/>
  <c r="AM145" i="9"/>
  <c r="AN145" i="9"/>
  <c r="AO145" i="9"/>
  <c r="AP145" i="9"/>
  <c r="AQ145" i="9"/>
  <c r="AR145" i="9"/>
  <c r="AS145" i="9" a="1"/>
  <c r="AS145" i="9" s="1"/>
  <c r="AK145" i="9" s="1"/>
  <c r="AL144" i="9"/>
  <c r="AM144" i="9"/>
  <c r="AN144" i="9"/>
  <c r="AO144" i="9"/>
  <c r="AP144" i="9"/>
  <c r="AQ144" i="9"/>
  <c r="AR144" i="9"/>
  <c r="AS144" i="9" a="1"/>
  <c r="AS144" i="9" s="1"/>
  <c r="AK144" i="9" s="1"/>
  <c r="AL161" i="9"/>
  <c r="AM161" i="9"/>
  <c r="AN161" i="9"/>
  <c r="AO161" i="9"/>
  <c r="AP161" i="9"/>
  <c r="AQ161" i="9"/>
  <c r="AR161" i="9"/>
  <c r="AK161" i="9" s="1"/>
  <c r="AS161" i="9" a="1"/>
  <c r="AS161" i="9" s="1"/>
  <c r="AL162" i="9"/>
  <c r="AM162" i="9"/>
  <c r="AN162" i="9"/>
  <c r="AO162" i="9"/>
  <c r="AP162" i="9"/>
  <c r="AQ162" i="9"/>
  <c r="AR162" i="9"/>
  <c r="AK162" i="9" s="1"/>
  <c r="AS162" i="9" a="1"/>
  <c r="AS162" i="9" s="1"/>
  <c r="AL160" i="9"/>
  <c r="AM160" i="9"/>
  <c r="AN160" i="9"/>
  <c r="AO160" i="9"/>
  <c r="AP160" i="9"/>
  <c r="AQ160" i="9"/>
  <c r="AR160" i="9"/>
  <c r="AS160" i="9" a="1"/>
  <c r="AS160" i="9" s="1"/>
  <c r="AK160" i="9" s="1"/>
  <c r="AL159" i="9"/>
  <c r="AM159" i="9"/>
  <c r="AN159" i="9"/>
  <c r="AO159" i="9"/>
  <c r="AP159" i="9"/>
  <c r="AQ159" i="9"/>
  <c r="AR159" i="9"/>
  <c r="AS159" i="9" a="1"/>
  <c r="AS159" i="9" s="1"/>
  <c r="AK159" i="9" s="1"/>
  <c r="AL103" i="9"/>
  <c r="AM103" i="9"/>
  <c r="AN103" i="9"/>
  <c r="AO103" i="9"/>
  <c r="AP103" i="9"/>
  <c r="AQ103" i="9"/>
  <c r="AR103" i="9"/>
  <c r="AK103" i="9" s="1"/>
  <c r="AS103" i="9" a="1"/>
  <c r="AS103" i="9" s="1"/>
  <c r="AL102" i="9"/>
  <c r="AM102" i="9"/>
  <c r="AN102" i="9"/>
  <c r="AO102" i="9"/>
  <c r="AP102" i="9"/>
  <c r="AQ102" i="9"/>
  <c r="AR102" i="9"/>
  <c r="AK102" i="9" s="1"/>
  <c r="AS102" i="9" a="1"/>
  <c r="AS102" i="9" s="1"/>
  <c r="AS101" i="9" a="1"/>
  <c r="AS101" i="9" s="1"/>
  <c r="AK101" i="9" s="1"/>
  <c r="AR101" i="9"/>
  <c r="AQ101" i="9"/>
  <c r="AP101" i="9"/>
  <c r="AO101" i="9"/>
  <c r="AN101" i="9"/>
  <c r="AM101" i="9"/>
  <c r="AL101" i="9"/>
  <c r="AD29" i="9"/>
  <c r="AD30" i="9"/>
  <c r="AL100" i="9"/>
  <c r="AM100" i="9"/>
  <c r="AN100" i="9"/>
  <c r="AO100" i="9"/>
  <c r="AP100" i="9"/>
  <c r="AQ100" i="9"/>
  <c r="AR100" i="9"/>
  <c r="AS100" i="9" a="1"/>
  <c r="AS100" i="9" s="1"/>
  <c r="AK100" i="9" s="1"/>
  <c r="AL156" i="9"/>
  <c r="AM156" i="9"/>
  <c r="AN156" i="9"/>
  <c r="AO156" i="9"/>
  <c r="AP156" i="9"/>
  <c r="AQ156" i="9"/>
  <c r="AR156" i="9"/>
  <c r="AS156" i="9" a="1"/>
  <c r="AS156" i="9" s="1"/>
  <c r="AK156" i="9" s="1"/>
  <c r="AL151" i="9"/>
  <c r="AM151" i="9"/>
  <c r="AN151" i="9"/>
  <c r="AO151" i="9"/>
  <c r="AP151" i="9"/>
  <c r="AQ151" i="9"/>
  <c r="AR151" i="9"/>
  <c r="AS151" i="9" a="1"/>
  <c r="AS151" i="9" s="1"/>
  <c r="AK151" i="9" s="1"/>
  <c r="AL150" i="9"/>
  <c r="AM150" i="9"/>
  <c r="AN150" i="9"/>
  <c r="AO150" i="9"/>
  <c r="AP150" i="9"/>
  <c r="AQ150" i="9"/>
  <c r="AR150" i="9"/>
  <c r="AS150" i="9" a="1"/>
  <c r="AS150" i="9" s="1"/>
  <c r="AK150" i="9" s="1"/>
  <c r="AL128" i="9"/>
  <c r="AM128" i="9"/>
  <c r="AN128" i="9"/>
  <c r="AO128" i="9"/>
  <c r="AP128" i="9"/>
  <c r="AQ128" i="9"/>
  <c r="AR128" i="9"/>
  <c r="AS128" i="9" a="1"/>
  <c r="AS128" i="9" s="1"/>
  <c r="AK128" i="9" s="1"/>
  <c r="AL127" i="9"/>
  <c r="AM127" i="9"/>
  <c r="AN127" i="9"/>
  <c r="AO127" i="9"/>
  <c r="AP127" i="9"/>
  <c r="AQ127" i="9"/>
  <c r="AR127" i="9"/>
  <c r="AS127" i="9" a="1"/>
  <c r="AS127" i="9" s="1"/>
  <c r="AK127" i="9" s="1"/>
  <c r="AJ40" i="9" l="1"/>
  <c r="G14" i="10" s="1" a="1"/>
  <c r="G14" i="10" s="1"/>
  <c r="H14" i="10" s="1"/>
  <c r="Z14" i="10" s="1"/>
  <c r="AD14" i="10" s="1"/>
  <c r="AJ82" i="9"/>
  <c r="AH82" i="9" s="1"/>
  <c r="AJ80" i="9"/>
  <c r="O15" i="10" s="1" a="1"/>
  <c r="O15" i="10" s="1"/>
  <c r="P15" i="10" s="1"/>
  <c r="AJ79" i="9"/>
  <c r="K15" i="10" s="1" a="1"/>
  <c r="K15" i="10" s="1"/>
  <c r="L15" i="10" s="1"/>
  <c r="AJ78" i="9"/>
  <c r="G15" i="10" s="1" a="1"/>
  <c r="G15" i="10" s="1"/>
  <c r="H15" i="10" s="1"/>
  <c r="AJ33" i="9"/>
  <c r="AH33" i="9" s="1"/>
  <c r="AJ32" i="9"/>
  <c r="AJ10" i="9"/>
  <c r="AH10" i="9" s="1"/>
  <c r="AJ9" i="9"/>
  <c r="AJ8" i="9"/>
  <c r="O17" i="10" s="1" a="1"/>
  <c r="O17" i="10" s="1"/>
  <c r="P17" i="10" s="1"/>
  <c r="AJ7" i="9"/>
  <c r="K17" i="10" s="1" a="1"/>
  <c r="K17" i="10" s="1"/>
  <c r="L17" i="10" s="1"/>
  <c r="AJ6" i="9"/>
  <c r="G17" i="10" s="1" a="1"/>
  <c r="G17" i="10" s="1"/>
  <c r="H17" i="10" s="1"/>
  <c r="AJ22" i="9"/>
  <c r="AH22" i="9" s="1"/>
  <c r="AJ21" i="9"/>
  <c r="AH21" i="9" s="1"/>
  <c r="AJ20" i="9"/>
  <c r="AJ19" i="9"/>
  <c r="O18" i="10" s="1" a="1"/>
  <c r="O18" i="10" s="1"/>
  <c r="P18" i="10" s="1"/>
  <c r="AJ18" i="9"/>
  <c r="K18" i="10" s="1" a="1"/>
  <c r="K18" i="10" s="1"/>
  <c r="L18" i="10" s="1"/>
  <c r="AJ17" i="9"/>
  <c r="G18" i="10" s="1" a="1"/>
  <c r="G18" i="10" s="1"/>
  <c r="H18" i="10" s="1"/>
  <c r="AJ39" i="9"/>
  <c r="AH39" i="9" s="1"/>
  <c r="AJ38" i="9"/>
  <c r="AH38" i="9" s="1"/>
  <c r="AJ37" i="9"/>
  <c r="AJ36" i="9"/>
  <c r="O19" i="10" s="1" a="1"/>
  <c r="O19" i="10" s="1"/>
  <c r="P19" i="10" s="1"/>
  <c r="AJ35" i="9"/>
  <c r="K19" i="10" s="1" a="1"/>
  <c r="K19" i="10" s="1"/>
  <c r="L19" i="10" s="1"/>
  <c r="AJ34" i="9"/>
  <c r="G19" i="10" s="1" a="1"/>
  <c r="G19" i="10" s="1"/>
  <c r="H19" i="10" s="1"/>
  <c r="AJ125" i="9"/>
  <c r="AH125" i="9" s="1"/>
  <c r="AJ124" i="9"/>
  <c r="AH124" i="9" s="1"/>
  <c r="AJ123" i="9"/>
  <c r="AJ122" i="9"/>
  <c r="O20" i="10" s="1" a="1"/>
  <c r="O20" i="10" s="1"/>
  <c r="P20" i="10" s="1"/>
  <c r="AJ121" i="9"/>
  <c r="K20" i="10" s="1" a="1"/>
  <c r="K20" i="10" s="1"/>
  <c r="L20" i="10" s="1"/>
  <c r="AJ120" i="9"/>
  <c r="G20" i="10" s="1" a="1"/>
  <c r="G20" i="10" s="1"/>
  <c r="H20" i="10" s="1"/>
  <c r="AJ93" i="9"/>
  <c r="AH93" i="9" s="1"/>
  <c r="AJ91" i="9"/>
  <c r="O21" i="10" s="1" a="1"/>
  <c r="O21" i="10" s="1"/>
  <c r="P21" i="10" s="1"/>
  <c r="AJ90" i="9"/>
  <c r="AJ16" i="9"/>
  <c r="AH16" i="9" s="1"/>
  <c r="AJ15" i="9"/>
  <c r="AH15" i="9" s="1"/>
  <c r="AJ14" i="9"/>
  <c r="AJ13" i="9"/>
  <c r="O23" i="10" s="1" a="1"/>
  <c r="O23" i="10" s="1"/>
  <c r="P23" i="10" s="1"/>
  <c r="AJ12" i="9"/>
  <c r="K23" i="10" s="1" a="1"/>
  <c r="K23" i="10" s="1"/>
  <c r="L23" i="10" s="1"/>
  <c r="AJ11" i="9"/>
  <c r="G23" i="10" s="1" a="1"/>
  <c r="G23" i="10" s="1"/>
  <c r="H23" i="10" s="1"/>
  <c r="AJ28" i="9"/>
  <c r="AH28" i="9" s="1"/>
  <c r="AJ27" i="9"/>
  <c r="AH27" i="9" s="1"/>
  <c r="AJ26" i="9"/>
  <c r="AJ25" i="9"/>
  <c r="O24" i="10" s="1" a="1"/>
  <c r="O24" i="10" s="1"/>
  <c r="P24" i="10" s="1"/>
  <c r="AJ24" i="9"/>
  <c r="K24" i="10" s="1" a="1"/>
  <c r="K24" i="10" s="1"/>
  <c r="L24" i="10" s="1"/>
  <c r="AJ23" i="9"/>
  <c r="G24" i="10" s="1" a="1"/>
  <c r="G24" i="10" s="1"/>
  <c r="H24" i="10" s="1"/>
  <c r="AJ99" i="9"/>
  <c r="AH99" i="9" s="1"/>
  <c r="AJ98" i="9"/>
  <c r="AH98" i="9" s="1"/>
  <c r="AJ97" i="9"/>
  <c r="AJ96" i="9"/>
  <c r="O22" i="10" s="1" a="1"/>
  <c r="O22" i="10" s="1"/>
  <c r="P22" i="10" s="1"/>
  <c r="AJ95" i="9"/>
  <c r="K22" i="10" s="1" a="1"/>
  <c r="K22" i="10" s="1"/>
  <c r="L22" i="10" s="1"/>
  <c r="AJ94" i="9"/>
  <c r="G22" i="10" s="1" a="1"/>
  <c r="G22" i="10" s="1"/>
  <c r="H22" i="10" s="1"/>
  <c r="AJ137" i="9"/>
  <c r="AH137" i="9" s="1"/>
  <c r="AJ135" i="9"/>
  <c r="AJ134" i="9"/>
  <c r="O27" i="10" s="1" a="1"/>
  <c r="O27" i="10" s="1"/>
  <c r="P27" i="10" s="1"/>
  <c r="AJ5" i="9"/>
  <c r="AJ4" i="9"/>
  <c r="O25" i="10" s="1" a="1"/>
  <c r="O25" i="10" s="1"/>
  <c r="AJ3" i="9"/>
  <c r="K25" i="10" s="1" a="1"/>
  <c r="K25" i="10" s="1"/>
  <c r="L25" i="10" s="1"/>
  <c r="AJ2" i="9"/>
  <c r="G25" i="10" s="1" a="1"/>
  <c r="G25" i="10" s="1"/>
  <c r="H25" i="10" s="1"/>
  <c r="AJ88" i="9"/>
  <c r="AH88" i="9" s="1"/>
  <c r="AJ87" i="9"/>
  <c r="AH87" i="9" s="1"/>
  <c r="AJ86" i="9"/>
  <c r="AJ85" i="9"/>
  <c r="O26" i="10" s="1" a="1"/>
  <c r="O26" i="10" s="1"/>
  <c r="P26" i="10" s="1"/>
  <c r="AJ84" i="9"/>
  <c r="K26" i="10" s="1" a="1"/>
  <c r="K26" i="10" s="1"/>
  <c r="L26" i="10" s="1"/>
  <c r="AJ83" i="9"/>
  <c r="G26" i="10" s="1" a="1"/>
  <c r="G26" i="10" s="1"/>
  <c r="H26" i="10" s="1"/>
  <c r="AJ65" i="9"/>
  <c r="AH65" i="9" s="1"/>
  <c r="AJ64" i="9"/>
  <c r="AH64" i="9" s="1"/>
  <c r="AJ63" i="9"/>
  <c r="AJ62" i="9"/>
  <c r="O28" i="10" s="1" a="1"/>
  <c r="O28" i="10" s="1"/>
  <c r="P28" i="10" s="1"/>
  <c r="AJ61" i="9"/>
  <c r="K28" i="10" s="1" a="1"/>
  <c r="K28" i="10" s="1"/>
  <c r="L28" i="10" s="1"/>
  <c r="AJ60" i="9"/>
  <c r="G28" i="10" s="1" a="1"/>
  <c r="G28" i="10" s="1"/>
  <c r="H28" i="10" s="1"/>
  <c r="AJ149" i="9"/>
  <c r="AH149" i="9" s="1"/>
  <c r="AJ148" i="9"/>
  <c r="AH148" i="9" s="1"/>
  <c r="AJ147" i="9"/>
  <c r="AJ146" i="9"/>
  <c r="O29" i="10" s="1" a="1"/>
  <c r="O29" i="10" s="1"/>
  <c r="P29" i="10" s="1"/>
  <c r="AJ145" i="9"/>
  <c r="K29" i="10" s="1" a="1"/>
  <c r="K29" i="10" s="1"/>
  <c r="L29" i="10" s="1"/>
  <c r="AJ144" i="9"/>
  <c r="G29" i="10" s="1" a="1"/>
  <c r="G29" i="10" s="1"/>
  <c r="H29" i="10" s="1"/>
  <c r="AJ161" i="9"/>
  <c r="O31" i="10" s="1" a="1"/>
  <c r="O31" i="10" s="1"/>
  <c r="AJ162" i="9"/>
  <c r="AJ160" i="9"/>
  <c r="K31" i="10" s="1" a="1"/>
  <c r="K31" i="10" s="1"/>
  <c r="L31" i="10" s="1"/>
  <c r="AJ159" i="9"/>
  <c r="G31" i="10" s="1" a="1"/>
  <c r="G31" i="10" s="1"/>
  <c r="H31" i="10" s="1"/>
  <c r="AJ103" i="9"/>
  <c r="AJ102" i="9"/>
  <c r="O30" i="10" s="1" a="1"/>
  <c r="O30" i="10" s="1"/>
  <c r="AJ101" i="9"/>
  <c r="K30" i="10" s="1" a="1"/>
  <c r="K30" i="10" s="1"/>
  <c r="L30" i="10" s="1"/>
  <c r="AJ100" i="9"/>
  <c r="G30" i="10" s="1" a="1"/>
  <c r="G30" i="10" s="1"/>
  <c r="H30" i="10" s="1"/>
  <c r="AJ156" i="9"/>
  <c r="AH156" i="9" s="1"/>
  <c r="AJ151" i="9"/>
  <c r="K6" i="10" s="1" a="1"/>
  <c r="K6" i="10" s="1"/>
  <c r="L6" i="10" s="1"/>
  <c r="AJ150" i="9"/>
  <c r="G6" i="10" s="1" a="1"/>
  <c r="G6" i="10" s="1"/>
  <c r="H6" i="10" s="1"/>
  <c r="AJ128" i="9"/>
  <c r="O5" i="10" s="1" a="1"/>
  <c r="O5" i="10" s="1"/>
  <c r="P5" i="10" s="1"/>
  <c r="AJ127" i="9"/>
  <c r="K5" i="10" s="1" a="1"/>
  <c r="K5" i="10" s="1"/>
  <c r="L5" i="10" s="1"/>
  <c r="Z31" i="10" l="1"/>
  <c r="AD31" i="10" s="1"/>
  <c r="Z30" i="10"/>
  <c r="AD30" i="10" s="1"/>
  <c r="Z17" i="10"/>
  <c r="AD17" i="10" s="1"/>
  <c r="Z15" i="10"/>
  <c r="AD15" i="10" s="1"/>
  <c r="Z25" i="10"/>
  <c r="AD25" i="10" s="1"/>
  <c r="Z6" i="10"/>
  <c r="AD6" i="10" s="1"/>
  <c r="AH5" i="9"/>
  <c r="S25" i="10" a="1"/>
  <c r="S25" i="10" s="1"/>
  <c r="AH20" i="9"/>
  <c r="S18" i="10" a="1"/>
  <c r="S18" i="10" s="1"/>
  <c r="T18" i="10" s="1"/>
  <c r="Z18" i="10" s="1"/>
  <c r="AD18" i="10" s="1"/>
  <c r="AH32" i="9"/>
  <c r="S16" i="10" a="1"/>
  <c r="S16" i="10" s="1"/>
  <c r="AH86" i="9"/>
  <c r="S26" i="10" a="1"/>
  <c r="S26" i="10" s="1"/>
  <c r="T26" i="10" s="1"/>
  <c r="Z26" i="10" s="1"/>
  <c r="AD26" i="10" s="1"/>
  <c r="AH135" i="9"/>
  <c r="S27" i="10" a="1"/>
  <c r="S27" i="10" s="1"/>
  <c r="T27" i="10" s="1"/>
  <c r="AH37" i="9"/>
  <c r="S19" i="10" a="1"/>
  <c r="S19" i="10" s="1"/>
  <c r="T19" i="10" s="1"/>
  <c r="Z19" i="10" s="1"/>
  <c r="AD19" i="10" s="1"/>
  <c r="AH14" i="9"/>
  <c r="S23" i="10" a="1"/>
  <c r="S23" i="10" s="1"/>
  <c r="T23" i="10" s="1"/>
  <c r="Z23" i="10" s="1"/>
  <c r="AD23" i="10" s="1"/>
  <c r="AH162" i="9"/>
  <c r="S31" i="10" a="1"/>
  <c r="S31" i="10" s="1"/>
  <c r="AH63" i="9"/>
  <c r="S28" i="10" a="1"/>
  <c r="S28" i="10" s="1"/>
  <c r="T28" i="10" s="1"/>
  <c r="Z28" i="10" s="1"/>
  <c r="AD28" i="10" s="1"/>
  <c r="AH123" i="9"/>
  <c r="S20" i="10" a="1"/>
  <c r="S20" i="10" s="1"/>
  <c r="T20" i="10" s="1"/>
  <c r="Z20" i="10" s="1"/>
  <c r="AD20" i="10" s="1"/>
  <c r="AH26" i="9"/>
  <c r="S24" i="10" a="1"/>
  <c r="S24" i="10" s="1"/>
  <c r="T24" i="10" s="1"/>
  <c r="Z24" i="10" s="1"/>
  <c r="AD24" i="10" s="1"/>
  <c r="AH97" i="9"/>
  <c r="S22" i="10" a="1"/>
  <c r="S22" i="10" s="1"/>
  <c r="T22" i="10" s="1"/>
  <c r="Z22" i="10" s="1"/>
  <c r="AD22" i="10" s="1"/>
  <c r="AH103" i="9"/>
  <c r="S30" i="10" a="1"/>
  <c r="S30" i="10" s="1"/>
  <c r="AH147" i="9"/>
  <c r="S29" i="10" a="1"/>
  <c r="S29" i="10" s="1"/>
  <c r="T29" i="10" s="1"/>
  <c r="Z29" i="10" s="1"/>
  <c r="AD29" i="10" s="1"/>
  <c r="AH90" i="9"/>
  <c r="K21" i="10" a="1"/>
  <c r="K21" i="10" s="1"/>
  <c r="L21" i="10" s="1"/>
  <c r="AH9" i="9"/>
  <c r="S17" i="10" a="1"/>
  <c r="S17" i="10" s="1"/>
  <c r="AH128" i="9"/>
  <c r="AH4" i="9"/>
  <c r="AH91" i="9"/>
  <c r="AH19" i="9"/>
  <c r="AH85" i="9"/>
  <c r="AH134" i="9"/>
  <c r="AH36" i="9"/>
  <c r="AH13" i="9"/>
  <c r="AH161" i="9"/>
  <c r="AH62" i="9"/>
  <c r="AH122" i="9"/>
  <c r="AH80" i="9"/>
  <c r="AH25" i="9"/>
  <c r="AH102" i="9"/>
  <c r="AH146" i="9"/>
  <c r="AH8" i="9"/>
  <c r="AH96" i="9"/>
  <c r="AH18" i="9"/>
  <c r="AH151" i="9"/>
  <c r="AH160" i="9"/>
  <c r="AH84" i="9"/>
  <c r="AH35" i="9"/>
  <c r="AH3" i="9"/>
  <c r="AH12" i="9"/>
  <c r="AH61" i="9"/>
  <c r="AH121" i="9"/>
  <c r="AH145" i="9"/>
  <c r="AH7" i="9"/>
  <c r="AH79" i="9"/>
  <c r="AH101" i="9"/>
  <c r="AH24" i="9"/>
  <c r="AH127" i="9"/>
  <c r="AH95" i="9"/>
  <c r="AH83" i="9"/>
  <c r="AH34" i="9"/>
  <c r="AH11" i="9"/>
  <c r="AH120" i="9"/>
  <c r="AH23" i="9"/>
  <c r="AH144" i="9"/>
  <c r="AH6" i="9"/>
  <c r="AH78" i="9"/>
  <c r="AH60" i="9"/>
  <c r="AH94" i="9"/>
  <c r="AH100" i="9"/>
  <c r="AH2" i="9"/>
  <c r="AH17" i="9"/>
  <c r="AH150" i="9"/>
  <c r="AH159" i="9"/>
  <c r="AH40" i="9"/>
  <c r="AL126" i="9"/>
  <c r="AM126" i="9"/>
  <c r="AN126" i="9"/>
  <c r="AO126" i="9"/>
  <c r="AP126" i="9"/>
  <c r="AQ126" i="9"/>
  <c r="AR126" i="9"/>
  <c r="AS126" i="9" a="1"/>
  <c r="AS126" i="9" s="1"/>
  <c r="AK126" i="9" s="1"/>
  <c r="AL57" i="9"/>
  <c r="AM57" i="9"/>
  <c r="AN57" i="9"/>
  <c r="AO57" i="9"/>
  <c r="AP57" i="9"/>
  <c r="AQ57" i="9"/>
  <c r="AR57" i="9"/>
  <c r="AS57" i="9" a="1"/>
  <c r="AS57" i="9" s="1"/>
  <c r="AK57" i="9" s="1"/>
  <c r="AL56" i="9"/>
  <c r="AM56" i="9"/>
  <c r="AN56" i="9"/>
  <c r="AO56" i="9"/>
  <c r="AP56" i="9"/>
  <c r="AQ56" i="9"/>
  <c r="AR56" i="9"/>
  <c r="AS56" i="9" a="1"/>
  <c r="AS56" i="9" s="1"/>
  <c r="AK56" i="9" s="1"/>
  <c r="AL55" i="9"/>
  <c r="AM55" i="9"/>
  <c r="AN55" i="9"/>
  <c r="AO55" i="9"/>
  <c r="AP55" i="9"/>
  <c r="AQ55" i="9"/>
  <c r="AR55" i="9"/>
  <c r="AS55" i="9" a="1"/>
  <c r="AS55" i="9" s="1"/>
  <c r="AK55" i="9" s="1"/>
  <c r="AL54" i="9"/>
  <c r="AM54" i="9"/>
  <c r="AN54" i="9"/>
  <c r="AO54" i="9"/>
  <c r="AP54" i="9"/>
  <c r="AQ54" i="9"/>
  <c r="AR54" i="9"/>
  <c r="AS54" i="9" a="1"/>
  <c r="AS54" i="9" s="1"/>
  <c r="AK54" i="9" s="1"/>
  <c r="AL31" i="9"/>
  <c r="AM31" i="9"/>
  <c r="AN31" i="9"/>
  <c r="AO31" i="9"/>
  <c r="AP31" i="9"/>
  <c r="AQ31" i="9"/>
  <c r="AR31" i="9"/>
  <c r="AK31" i="9"/>
  <c r="AL30" i="9"/>
  <c r="AM30" i="9"/>
  <c r="AN30" i="9"/>
  <c r="AO30" i="9"/>
  <c r="AP30" i="9"/>
  <c r="AQ30" i="9"/>
  <c r="AR30" i="9"/>
  <c r="AS30" i="9" a="1"/>
  <c r="AS30" i="9" s="1"/>
  <c r="AK30" i="9" s="1"/>
  <c r="AS89" i="9" a="1"/>
  <c r="AS89" i="9" s="1"/>
  <c r="AS92" i="9" a="1"/>
  <c r="AS92" i="9" s="1"/>
  <c r="AS81" i="9" a="1"/>
  <c r="AS81" i="9" s="1"/>
  <c r="AS132" i="9" a="1"/>
  <c r="AS132" i="9" s="1"/>
  <c r="AK132" i="9" s="1"/>
  <c r="AS133" i="9" a="1"/>
  <c r="AS133" i="9" s="1"/>
  <c r="AK133" i="9" s="1"/>
  <c r="AS136" i="9" a="1"/>
  <c r="AS136" i="9" s="1"/>
  <c r="AS46" i="9" a="1"/>
  <c r="AS46" i="9" s="1"/>
  <c r="AK46" i="9" s="1"/>
  <c r="AS47" i="9" a="1"/>
  <c r="AS47" i="9" s="1"/>
  <c r="AK47" i="9" s="1"/>
  <c r="AS50" i="9" a="1"/>
  <c r="AS50" i="9" s="1"/>
  <c r="AS29" i="9" a="1"/>
  <c r="AS29" i="9" s="1"/>
  <c r="AK29" i="9" s="1"/>
  <c r="K29" i="9"/>
  <c r="AL29" i="9"/>
  <c r="AM29" i="9"/>
  <c r="AN29" i="9"/>
  <c r="AO29" i="9"/>
  <c r="AP29" i="9"/>
  <c r="AQ29" i="9"/>
  <c r="AR29" i="9"/>
  <c r="AL89" i="9"/>
  <c r="AL92" i="9"/>
  <c r="AL81" i="9"/>
  <c r="AL132" i="9"/>
  <c r="AL133" i="9"/>
  <c r="AL136" i="9"/>
  <c r="AL46" i="9"/>
  <c r="AL47" i="9"/>
  <c r="AL50" i="9"/>
  <c r="AD89" i="9"/>
  <c r="AD92" i="9"/>
  <c r="AD81" i="9"/>
  <c r="AD132" i="9"/>
  <c r="AD133" i="9"/>
  <c r="AD136" i="9"/>
  <c r="AD46" i="9"/>
  <c r="AD47" i="9"/>
  <c r="AD50" i="9"/>
  <c r="AQ89" i="9"/>
  <c r="AQ92" i="9"/>
  <c r="AQ81" i="9"/>
  <c r="AQ132" i="9"/>
  <c r="AQ133" i="9"/>
  <c r="AQ136" i="9"/>
  <c r="AQ46" i="9"/>
  <c r="AQ47" i="9"/>
  <c r="AQ50" i="9"/>
  <c r="AP89" i="9"/>
  <c r="AP92" i="9"/>
  <c r="AP81" i="9"/>
  <c r="AP132" i="9"/>
  <c r="AP133" i="9"/>
  <c r="AP136" i="9"/>
  <c r="AP46" i="9"/>
  <c r="AP47" i="9"/>
  <c r="AP50" i="9"/>
  <c r="AO89" i="9"/>
  <c r="AO92" i="9"/>
  <c r="AO81" i="9"/>
  <c r="AO132" i="9"/>
  <c r="AO133" i="9"/>
  <c r="AO136" i="9"/>
  <c r="AO46" i="9"/>
  <c r="AO47" i="9"/>
  <c r="AO50" i="9"/>
  <c r="AN89" i="9"/>
  <c r="AN92" i="9"/>
  <c r="AN81" i="9"/>
  <c r="AN132" i="9"/>
  <c r="AN133" i="9"/>
  <c r="AN136" i="9"/>
  <c r="AN46" i="9"/>
  <c r="AN47" i="9"/>
  <c r="AN50" i="9"/>
  <c r="AM89" i="9"/>
  <c r="AM92" i="9"/>
  <c r="AM81" i="9"/>
  <c r="AM132" i="9"/>
  <c r="AM133" i="9"/>
  <c r="AM136" i="9"/>
  <c r="AM46" i="9"/>
  <c r="AM47" i="9"/>
  <c r="AM50" i="9"/>
  <c r="K50" i="9"/>
  <c r="X50" i="9"/>
  <c r="AR50" i="9"/>
  <c r="AK50" i="9" s="1"/>
  <c r="K47" i="9"/>
  <c r="AR47" i="9"/>
  <c r="K46" i="9"/>
  <c r="AR46" i="9"/>
  <c r="K81" i="9"/>
  <c r="K132" i="9"/>
  <c r="K133" i="9"/>
  <c r="K136" i="9"/>
  <c r="X81" i="9"/>
  <c r="X136" i="9"/>
  <c r="AR81" i="9"/>
  <c r="AR132" i="9"/>
  <c r="AR133" i="9"/>
  <c r="AR136" i="9"/>
  <c r="AJ126" i="9" l="1"/>
  <c r="G5" i="10" s="1" a="1"/>
  <c r="G5" i="10" s="1"/>
  <c r="H5" i="10" s="1"/>
  <c r="Z5" i="10" s="1"/>
  <c r="AD5" i="10" s="1"/>
  <c r="AJ57" i="9"/>
  <c r="AJ56" i="9"/>
  <c r="O4" i="10" s="1" a="1"/>
  <c r="O4" i="10" s="1"/>
  <c r="P4" i="10" s="1"/>
  <c r="AJ55" i="9"/>
  <c r="K4" i="10" s="1" a="1"/>
  <c r="K4" i="10" s="1"/>
  <c r="L4" i="10" s="1"/>
  <c r="AJ54" i="9"/>
  <c r="G4" i="10" s="1" a="1"/>
  <c r="G4" i="10" s="1"/>
  <c r="H4" i="10" s="1"/>
  <c r="AJ31" i="9"/>
  <c r="O16" i="10" s="1" a="1"/>
  <c r="O16" i="10" s="1"/>
  <c r="P16" i="10" s="1"/>
  <c r="AJ30" i="9"/>
  <c r="K16" i="10" s="1" a="1"/>
  <c r="K16" i="10" s="1"/>
  <c r="L16" i="10" s="1"/>
  <c r="AJ29" i="9"/>
  <c r="G16" i="10" s="1" a="1"/>
  <c r="G16" i="10" s="1"/>
  <c r="H16" i="10" s="1"/>
  <c r="AJ50" i="9"/>
  <c r="AH50" i="9" s="1"/>
  <c r="AJ46" i="9"/>
  <c r="G10" i="10" s="1" a="1"/>
  <c r="G10" i="10" s="1"/>
  <c r="H10" i="10" s="1"/>
  <c r="AJ132" i="9"/>
  <c r="AJ133" i="9"/>
  <c r="AJ47" i="9"/>
  <c r="K10" i="10" s="1" a="1"/>
  <c r="K10" i="10" s="1"/>
  <c r="L10" i="10" s="1"/>
  <c r="AK136" i="9"/>
  <c r="AJ136" i="9" s="1"/>
  <c r="AK81" i="9"/>
  <c r="AJ81" i="9" s="1"/>
  <c r="S15" i="10" s="1" a="1"/>
  <c r="S15" i="10" s="1"/>
  <c r="K92" i="9"/>
  <c r="X92" i="9"/>
  <c r="AR92" i="9"/>
  <c r="K89" i="9"/>
  <c r="AR89" i="9"/>
  <c r="AK89" i="9"/>
  <c r="AJ89" i="9" s="1"/>
  <c r="G21" i="10" s="1" a="1"/>
  <c r="G21" i="10" s="1"/>
  <c r="H21" i="10" s="1"/>
  <c r="Z21" i="10" s="1"/>
  <c r="AD21" i="10" s="1"/>
  <c r="Z16" i="10" l="1"/>
  <c r="AD16" i="10" s="1"/>
  <c r="AH133" i="9"/>
  <c r="K27" i="10" a="1"/>
  <c r="K27" i="10" s="1"/>
  <c r="L27" i="10" s="1"/>
  <c r="AH132" i="9"/>
  <c r="G27" i="10" a="1"/>
  <c r="G27" i="10" s="1"/>
  <c r="H27" i="10" s="1"/>
  <c r="Z10" i="10"/>
  <c r="AD10" i="10" s="1"/>
  <c r="AH57" i="9"/>
  <c r="S4" i="10" a="1"/>
  <c r="S4" i="10" s="1"/>
  <c r="T4" i="10" s="1"/>
  <c r="Z4" i="10" s="1"/>
  <c r="AD4" i="10" s="1"/>
  <c r="AH31" i="9"/>
  <c r="AH56" i="9"/>
  <c r="AH47" i="9"/>
  <c r="AH30" i="9"/>
  <c r="AH55" i="9"/>
  <c r="AH29" i="9"/>
  <c r="AH46" i="9"/>
  <c r="AH126" i="9"/>
  <c r="AH54" i="9"/>
  <c r="AH136" i="9"/>
  <c r="AH89" i="9"/>
  <c r="AH81" i="9"/>
  <c r="AK92" i="9"/>
  <c r="AJ92" i="9" s="1"/>
  <c r="S21" i="10" s="1" a="1"/>
  <c r="S21" i="10" s="1"/>
  <c r="Z27" i="10" l="1"/>
  <c r="AD27" i="10" s="1"/>
  <c r="AK4" i="10" s="1" a="1"/>
  <c r="AK4" i="10" s="1"/>
  <c r="AH92" i="9"/>
  <c r="AG4" i="10" l="1" a="1"/>
  <c r="M61" i="8"/>
  <c r="N61" i="8"/>
  <c r="O61" i="8"/>
  <c r="P61" i="8"/>
  <c r="M62" i="8"/>
  <c r="N62" i="8"/>
  <c r="O62" i="8"/>
  <c r="P62" i="8"/>
  <c r="M63" i="8"/>
  <c r="N63" i="8"/>
  <c r="O63" i="8"/>
  <c r="P63" i="8"/>
  <c r="M64" i="8"/>
  <c r="N64" i="8"/>
  <c r="O64" i="8"/>
  <c r="P64" i="8"/>
  <c r="M65" i="8"/>
  <c r="N65" i="8"/>
  <c r="O65" i="8"/>
  <c r="P65" i="8"/>
  <c r="M66" i="8"/>
  <c r="N66" i="8"/>
  <c r="O66" i="8"/>
  <c r="P66" i="8"/>
  <c r="M67" i="8"/>
  <c r="N67" i="8"/>
  <c r="O67" i="8"/>
  <c r="P67" i="8"/>
  <c r="P57" i="8"/>
  <c r="P58" i="8"/>
  <c r="P59" i="8"/>
  <c r="O55" i="8"/>
  <c r="O56" i="8"/>
  <c r="O57" i="8"/>
  <c r="O58" i="8"/>
  <c r="O60" i="8"/>
  <c r="O54" i="8"/>
  <c r="N55" i="8"/>
  <c r="N56" i="8"/>
  <c r="N60" i="8"/>
  <c r="N54" i="8"/>
  <c r="M55" i="8"/>
  <c r="M56" i="8"/>
  <c r="M59" i="8"/>
  <c r="M60" i="8"/>
  <c r="M54" i="8"/>
  <c r="M38" i="8"/>
  <c r="N38" i="8"/>
  <c r="O38" i="8"/>
  <c r="M39" i="8"/>
  <c r="N39" i="8"/>
  <c r="O39" i="8"/>
  <c r="O40" i="8"/>
  <c r="P40" i="8"/>
  <c r="O41" i="8"/>
  <c r="P41" i="8"/>
  <c r="M42" i="8"/>
  <c r="P42" i="8"/>
  <c r="M43" i="8"/>
  <c r="N43" i="8"/>
  <c r="O43" i="8"/>
  <c r="M44" i="8"/>
  <c r="N44" i="8"/>
  <c r="O44" i="8"/>
  <c r="P44" i="8"/>
  <c r="M45" i="8"/>
  <c r="N45" i="8"/>
  <c r="O45" i="8"/>
  <c r="P45" i="8"/>
  <c r="M46" i="8"/>
  <c r="N46" i="8"/>
  <c r="O46" i="8"/>
  <c r="P46" i="8"/>
  <c r="M47" i="8"/>
  <c r="N47" i="8"/>
  <c r="O47" i="8"/>
  <c r="P47" i="8"/>
  <c r="M48" i="8"/>
  <c r="N48" i="8"/>
  <c r="O48" i="8"/>
  <c r="P48" i="8"/>
  <c r="M49" i="8"/>
  <c r="N49" i="8"/>
  <c r="O49" i="8"/>
  <c r="P49" i="8"/>
  <c r="M50" i="8"/>
  <c r="N50" i="8"/>
  <c r="O50" i="8"/>
  <c r="P50" i="8"/>
  <c r="N37" i="8"/>
  <c r="O37" i="8"/>
  <c r="M72" i="8"/>
  <c r="N72" i="8"/>
  <c r="O72" i="8"/>
  <c r="M73" i="8"/>
  <c r="N73" i="8"/>
  <c r="O73" i="8"/>
  <c r="O74" i="8"/>
  <c r="P74" i="8"/>
  <c r="O75" i="8"/>
  <c r="P75" i="8"/>
  <c r="M76" i="8"/>
  <c r="P76" i="8"/>
  <c r="M77" i="8"/>
  <c r="N77" i="8"/>
  <c r="O77" i="8"/>
  <c r="M78" i="8"/>
  <c r="N78" i="8"/>
  <c r="O78" i="8"/>
  <c r="P78" i="8"/>
  <c r="M79" i="8"/>
  <c r="N79" i="8"/>
  <c r="O79" i="8"/>
  <c r="P79" i="8"/>
  <c r="M80" i="8"/>
  <c r="N80" i="8"/>
  <c r="O80" i="8"/>
  <c r="P80" i="8"/>
  <c r="M81" i="8"/>
  <c r="N81" i="8"/>
  <c r="O81" i="8"/>
  <c r="P81" i="8"/>
  <c r="M82" i="8"/>
  <c r="N82" i="8"/>
  <c r="O82" i="8"/>
  <c r="P82" i="8"/>
  <c r="M83" i="8"/>
  <c r="N83" i="8"/>
  <c r="O83" i="8"/>
  <c r="P83" i="8"/>
  <c r="M84" i="8"/>
  <c r="N84" i="8"/>
  <c r="O84" i="8"/>
  <c r="P84" i="8"/>
  <c r="N71" i="8"/>
  <c r="O71" i="8"/>
  <c r="M71" i="8"/>
  <c r="M37" i="8"/>
  <c r="N20" i="8"/>
  <c r="O20" i="8"/>
  <c r="N21" i="8"/>
  <c r="O21" i="8"/>
  <c r="N22" i="8"/>
  <c r="O22" i="8"/>
  <c r="O23" i="8"/>
  <c r="P23" i="8"/>
  <c r="O24" i="8"/>
  <c r="P24" i="8"/>
  <c r="P25" i="8"/>
  <c r="N26" i="8"/>
  <c r="O26" i="8"/>
  <c r="N27" i="8"/>
  <c r="O27" i="8"/>
  <c r="P27" i="8"/>
  <c r="N28" i="8"/>
  <c r="O28" i="8"/>
  <c r="P28" i="8"/>
  <c r="N29" i="8"/>
  <c r="O29" i="8"/>
  <c r="P29" i="8"/>
  <c r="N30" i="8"/>
  <c r="O30" i="8"/>
  <c r="P30" i="8"/>
  <c r="N31" i="8"/>
  <c r="O31" i="8"/>
  <c r="P31" i="8"/>
  <c r="N32" i="8"/>
  <c r="O32" i="8"/>
  <c r="P32" i="8"/>
  <c r="N33" i="8"/>
  <c r="O33" i="8"/>
  <c r="P33" i="8"/>
  <c r="M21" i="8"/>
  <c r="M22" i="8"/>
  <c r="M25" i="8"/>
  <c r="M26" i="8"/>
  <c r="M27" i="8"/>
  <c r="M28" i="8"/>
  <c r="M29" i="8"/>
  <c r="M30" i="8"/>
  <c r="M31" i="8"/>
  <c r="M32" i="8"/>
  <c r="M33" i="8"/>
  <c r="M20" i="8"/>
  <c r="C6" i="8"/>
  <c r="C5" i="8"/>
  <c r="AK26" i="8"/>
  <c r="AA42" i="8"/>
  <c r="V20" i="8"/>
  <c r="Z74" i="8"/>
  <c r="Z57" i="8"/>
  <c r="AB20" i="8"/>
  <c r="AB37" i="8"/>
  <c r="AK20" i="8"/>
  <c r="V37" i="8"/>
  <c r="AK54" i="8"/>
  <c r="V71" i="8"/>
  <c r="V21" i="8"/>
  <c r="V54" i="8"/>
  <c r="V38" i="8"/>
  <c r="AK43" i="8"/>
  <c r="AK38" i="8"/>
  <c r="AB39" i="8"/>
  <c r="V39" i="8"/>
  <c r="AK73" i="8"/>
  <c r="V43" i="8"/>
  <c r="V73" i="8"/>
  <c r="V56" i="8"/>
  <c r="V55" i="8"/>
  <c r="V77" i="8"/>
  <c r="AB56" i="8"/>
  <c r="AB72" i="8"/>
  <c r="V26" i="8"/>
  <c r="AB26" i="8"/>
  <c r="AG42" i="8"/>
  <c r="O42" i="8" s="1"/>
  <c r="AE40" i="8"/>
  <c r="M40" i="8" s="1"/>
  <c r="AF25" i="8"/>
  <c r="N25" i="8" s="1"/>
  <c r="AH72" i="8"/>
  <c r="P72" i="8" s="1"/>
  <c r="AG59" i="8"/>
  <c r="O59" i="8" s="1"/>
  <c r="AF74" i="8"/>
  <c r="N74" i="8"/>
  <c r="AH20" i="8"/>
  <c r="P20" i="8" s="1"/>
  <c r="AF76" i="8"/>
  <c r="N76" i="8"/>
  <c r="AE57" i="8"/>
  <c r="M57" i="8" s="1"/>
  <c r="AH21" i="8"/>
  <c r="P21" i="8" s="1"/>
  <c r="AF23" i="8"/>
  <c r="N23" i="8"/>
  <c r="AH71" i="8"/>
  <c r="P71" i="8" s="1"/>
  <c r="Y57" i="8"/>
  <c r="AE74" i="8"/>
  <c r="M74" i="8" s="1"/>
  <c r="AH26" i="8"/>
  <c r="P26" i="8" s="1"/>
  <c r="AG25" i="8"/>
  <c r="O25" i="8"/>
  <c r="AH55" i="8"/>
  <c r="P55" i="8" s="1"/>
  <c r="AF59" i="8"/>
  <c r="N59" i="8" s="1"/>
  <c r="AH22" i="8"/>
  <c r="P22" i="8" s="1"/>
  <c r="AB22" i="8"/>
  <c r="AF58" i="8"/>
  <c r="Y58" i="8"/>
  <c r="M58" i="8" s="1"/>
  <c r="AE41" i="8"/>
  <c r="Z58" i="8"/>
  <c r="N58" i="8" s="1"/>
  <c r="AE75" i="8"/>
  <c r="AF41" i="8"/>
  <c r="Z75" i="8"/>
  <c r="N75" i="8" s="1"/>
  <c r="AE58" i="8"/>
  <c r="AK55" i="8"/>
  <c r="AK60" i="8"/>
  <c r="AK37" i="8"/>
  <c r="AA76" i="8"/>
  <c r="Z40" i="8"/>
  <c r="AK71" i="8"/>
  <c r="AA59" i="8"/>
  <c r="Y74" i="8"/>
  <c r="AK21" i="8"/>
  <c r="Y40" i="8"/>
  <c r="AB71" i="8"/>
  <c r="Z23" i="8"/>
  <c r="AB54" i="8"/>
  <c r="AB21" i="8"/>
  <c r="AK72" i="8"/>
  <c r="AA25" i="8"/>
  <c r="AK39" i="8"/>
  <c r="AK77" i="8"/>
  <c r="AB43" i="8"/>
  <c r="AB38" i="8"/>
  <c r="AB55" i="8"/>
  <c r="AB60" i="8"/>
  <c r="V72" i="8"/>
  <c r="V60" i="8"/>
  <c r="AB77" i="8"/>
  <c r="AB73" i="8"/>
  <c r="V22" i="8"/>
  <c r="AF40" i="8"/>
  <c r="N40" i="8" s="1"/>
  <c r="AG76" i="8"/>
  <c r="O76" i="8" s="1"/>
  <c r="Z42" i="8"/>
  <c r="AE23" i="8"/>
  <c r="M23" i="8"/>
  <c r="AF42" i="8"/>
  <c r="N42" i="8" s="1"/>
  <c r="AH73" i="8"/>
  <c r="P73" i="8" s="1"/>
  <c r="Y23" i="8"/>
  <c r="AH43" i="8"/>
  <c r="P43" i="8" s="1"/>
  <c r="AH77" i="8"/>
  <c r="P77" i="8"/>
  <c r="Z25" i="8"/>
  <c r="AF57" i="8"/>
  <c r="N57" i="8" s="1"/>
  <c r="Z76" i="8"/>
  <c r="AH39" i="8"/>
  <c r="P39" i="8" s="1"/>
  <c r="AH54" i="8"/>
  <c r="P54" i="8"/>
  <c r="AH56" i="8"/>
  <c r="P56" i="8"/>
  <c r="AK22" i="8"/>
  <c r="AH38" i="8"/>
  <c r="P38" i="8" s="1"/>
  <c r="AH60" i="8"/>
  <c r="P60" i="8" s="1"/>
  <c r="AH37" i="8"/>
  <c r="P37" i="8" s="1"/>
  <c r="Z59" i="8"/>
  <c r="AF24" i="8"/>
  <c r="Y24" i="8"/>
  <c r="M24" i="8" s="1"/>
  <c r="Y75" i="8"/>
  <c r="M75" i="8" s="1"/>
  <c r="AF75" i="8"/>
  <c r="Z24" i="8"/>
  <c r="N24" i="8" s="1"/>
  <c r="Y41" i="8"/>
  <c r="M41" i="8" s="1"/>
  <c r="AE24" i="8"/>
  <c r="Z41" i="8"/>
  <c r="N41" i="8" s="1"/>
  <c r="AK56" i="8"/>
  <c r="C7" i="8"/>
  <c r="C8" i="8" s="1"/>
  <c r="AG4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<sst xmlns="http://schemas.openxmlformats.org/spreadsheetml/2006/main" count="3740" uniqueCount="254">
  <si>
    <t>DATA</t>
  </si>
  <si>
    <t>TRIG</t>
  </si>
  <si>
    <t>ANV</t>
  </si>
  <si>
    <t>TA</t>
  </si>
  <si>
    <t>POSIÇÃO</t>
  </si>
  <si>
    <t>PA</t>
  </si>
  <si>
    <t>TVB</t>
  </si>
  <si>
    <t>EIXO</t>
  </si>
  <si>
    <t>MODALIDADE</t>
  </si>
  <si>
    <t>BMA 20</t>
  </si>
  <si>
    <t>EIXO PREVISTO</t>
  </si>
  <si>
    <t>BMA 30</t>
  </si>
  <si>
    <t>Distância Torre Principal - Torre Auxiliar</t>
  </si>
  <si>
    <t>Distância Torre Principal - Bingo</t>
  </si>
  <si>
    <t>Distância Torre Auxiliar - Bingo</t>
  </si>
  <si>
    <t>Ângulo Torre Principal</t>
  </si>
  <si>
    <t>Ângulo Torre Auxiliar</t>
  </si>
  <si>
    <t>DADOS DO ESTANDE</t>
  </si>
  <si>
    <t>POSTO</t>
  </si>
  <si>
    <t>Eixo padrão do estande</t>
  </si>
  <si>
    <t>MISSÃO</t>
  </si>
  <si>
    <t>TCEL</t>
  </si>
  <si>
    <t>MAJ</t>
  </si>
  <si>
    <t>CAP</t>
  </si>
  <si>
    <t>1T</t>
  </si>
  <si>
    <t>TT</t>
  </si>
  <si>
    <t>LF</t>
  </si>
  <si>
    <t>BBA</t>
  </si>
  <si>
    <t>ROLETA</t>
  </si>
  <si>
    <t>BACARÁ</t>
  </si>
  <si>
    <t>Média (%)</t>
  </si>
  <si>
    <t>PÔQUER</t>
  </si>
  <si>
    <t>Madruga</t>
  </si>
  <si>
    <t>Almoço</t>
  </si>
  <si>
    <t>Tardruga</t>
  </si>
  <si>
    <t>IN/EST</t>
  </si>
  <si>
    <t>INST</t>
  </si>
  <si>
    <t>Erro Máx = Média Válida + Desvio Padrão*pena</t>
  </si>
  <si>
    <t>CCRP</t>
  </si>
  <si>
    <t>PA (%)</t>
  </si>
  <si>
    <t>Pontos</t>
  </si>
  <si>
    <t>ECP</t>
  </si>
  <si>
    <t>TT NVG</t>
  </si>
  <si>
    <t>VALORES GERAIS ATUAIS (INST QUAL)</t>
  </si>
  <si>
    <t>VALORES GERAIS ATUAIS (EST TREIN)</t>
  </si>
  <si>
    <t>VALORES GERAIS ATUAIS (INST TREIN)</t>
  </si>
  <si>
    <t>Erro Máx</t>
  </si>
  <si>
    <t>PENALIDADES PARA NÃO GRAVAÇÃO (%)</t>
  </si>
  <si>
    <t>Média</t>
  </si>
  <si>
    <t>ESQ</t>
  </si>
  <si>
    <t>MODALIDADES / LOCAL DE EMPREGO</t>
  </si>
  <si>
    <t>Acerto</t>
  </si>
  <si>
    <t>VEL MÍN</t>
  </si>
  <si>
    <t>VEL MÁX</t>
  </si>
  <si>
    <t>ANG MÍN</t>
  </si>
  <si>
    <t>ANG MÁX</t>
  </si>
  <si>
    <t>TVB MÍN</t>
  </si>
  <si>
    <t>S.R. MÍN</t>
  </si>
  <si>
    <t>BP</t>
  </si>
  <si>
    <t>ALT. REC (RALT)</t>
  </si>
  <si>
    <t>Dist/PA</t>
  </si>
  <si>
    <t>Posição/Pts</t>
  </si>
  <si>
    <t>MODALIDADES</t>
  </si>
  <si>
    <t>ALVO</t>
  </si>
  <si>
    <t>PIOR RESULTADO (INST QUAL)</t>
  </si>
  <si>
    <t>Qtde Mín de disparos (TT), para validar a missão</t>
  </si>
  <si>
    <t>Dist. da projeção do Bingo, no eixo TP-TA, à TA</t>
  </si>
  <si>
    <t>Dist. do Bingo ao eixo TP-TA</t>
  </si>
  <si>
    <t>R/S</t>
  </si>
  <si>
    <t>VALORES GERAIS ATUAIS (EST QUAL)</t>
  </si>
  <si>
    <t>PIOR RESULTADO (INST TREIN)</t>
  </si>
  <si>
    <t>PIOR RESULTADO (EST QUAL)</t>
  </si>
  <si>
    <t>PIOR RESULTADO (EST TREIN)</t>
  </si>
  <si>
    <t>MC</t>
  </si>
  <si>
    <t>ML</t>
  </si>
  <si>
    <r>
      <t xml:space="preserve">VALORES PARA </t>
    </r>
    <r>
      <rPr>
        <b/>
        <sz val="11"/>
        <color indexed="10"/>
        <rFont val="Calibri"/>
        <family val="2"/>
      </rPr>
      <t>FOUL</t>
    </r>
    <r>
      <rPr>
        <b/>
        <sz val="11"/>
        <color indexed="9"/>
        <rFont val="Calibri"/>
        <family val="2"/>
        <charset val="238"/>
      </rPr>
      <t xml:space="preserve"> (INST QUAL)</t>
    </r>
  </si>
  <si>
    <r>
      <t xml:space="preserve">VALORES PARA </t>
    </r>
    <r>
      <rPr>
        <b/>
        <sz val="11"/>
        <color indexed="10"/>
        <rFont val="Calibri"/>
        <family val="2"/>
      </rPr>
      <t>FOUL</t>
    </r>
    <r>
      <rPr>
        <b/>
        <sz val="11"/>
        <color indexed="9"/>
        <rFont val="Calibri"/>
        <family val="2"/>
        <charset val="238"/>
      </rPr>
      <t xml:space="preserve"> (INST TREIN)</t>
    </r>
  </si>
  <si>
    <r>
      <t xml:space="preserve">VALORES PARA </t>
    </r>
    <r>
      <rPr>
        <b/>
        <sz val="11"/>
        <color indexed="10"/>
        <rFont val="Calibri"/>
        <family val="2"/>
      </rPr>
      <t>FOUL</t>
    </r>
    <r>
      <rPr>
        <b/>
        <sz val="11"/>
        <color indexed="9"/>
        <rFont val="Calibri"/>
        <family val="2"/>
        <charset val="238"/>
      </rPr>
      <t xml:space="preserve"> (EST QUAL)</t>
    </r>
  </si>
  <si>
    <r>
      <t xml:space="preserve">VALORES PARA </t>
    </r>
    <r>
      <rPr>
        <b/>
        <sz val="11"/>
        <color indexed="10"/>
        <rFont val="Calibri"/>
        <family val="2"/>
      </rPr>
      <t>FOUL</t>
    </r>
    <r>
      <rPr>
        <b/>
        <sz val="11"/>
        <color indexed="9"/>
        <rFont val="Calibri"/>
        <family val="2"/>
        <charset val="238"/>
      </rPr>
      <t xml:space="preserve"> (EST TREIN)</t>
    </r>
  </si>
  <si>
    <r>
      <t xml:space="preserve">VALORES PARA </t>
    </r>
    <r>
      <rPr>
        <b/>
        <sz val="11"/>
        <color indexed="10"/>
        <rFont val="Calibri"/>
        <family val="2"/>
      </rPr>
      <t>NÃO GRAVAÇÃO</t>
    </r>
    <r>
      <rPr>
        <b/>
        <sz val="11"/>
        <color indexed="9"/>
        <rFont val="Calibri"/>
        <family val="2"/>
        <charset val="238"/>
      </rPr>
      <t xml:space="preserve"> (INST QUAL)</t>
    </r>
  </si>
  <si>
    <r>
      <t xml:space="preserve">VALORES PARA </t>
    </r>
    <r>
      <rPr>
        <b/>
        <sz val="11"/>
        <color indexed="10"/>
        <rFont val="Calibri"/>
        <family val="2"/>
      </rPr>
      <t>NÃO GRAVAÇÃO</t>
    </r>
    <r>
      <rPr>
        <b/>
        <sz val="11"/>
        <color indexed="9"/>
        <rFont val="Calibri"/>
        <family val="2"/>
        <charset val="238"/>
      </rPr>
      <t xml:space="preserve"> (INST TREIN)</t>
    </r>
  </si>
  <si>
    <r>
      <t xml:space="preserve">VALORES PARA </t>
    </r>
    <r>
      <rPr>
        <b/>
        <sz val="11"/>
        <color indexed="10"/>
        <rFont val="Calibri"/>
        <family val="2"/>
      </rPr>
      <t>NÃO GRAVAÇÃO</t>
    </r>
    <r>
      <rPr>
        <b/>
        <sz val="11"/>
        <color indexed="9"/>
        <rFont val="Calibri"/>
        <family val="2"/>
        <charset val="238"/>
      </rPr>
      <t xml:space="preserve"> (EST QUAL)</t>
    </r>
  </si>
  <si>
    <r>
      <t xml:space="preserve">VALORES PARA </t>
    </r>
    <r>
      <rPr>
        <b/>
        <sz val="11"/>
        <color indexed="10"/>
        <rFont val="Calibri"/>
        <family val="2"/>
      </rPr>
      <t>NÃO GRAVAÇÃO</t>
    </r>
    <r>
      <rPr>
        <b/>
        <sz val="11"/>
        <color indexed="9"/>
        <rFont val="Calibri"/>
        <family val="2"/>
        <charset val="238"/>
      </rPr>
      <t xml:space="preserve"> (EST TREIN)</t>
    </r>
  </si>
  <si>
    <r>
      <t xml:space="preserve">VALORES GERAIS ATUAIS (INST QUAL </t>
    </r>
    <r>
      <rPr>
        <b/>
        <sz val="11"/>
        <color indexed="10"/>
        <rFont val="Calibri"/>
        <family val="2"/>
      </rPr>
      <t>PENAL</t>
    </r>
    <r>
      <rPr>
        <b/>
        <sz val="11"/>
        <color indexed="9"/>
        <rFont val="Calibri"/>
        <family val="2"/>
        <charset val="238"/>
      </rPr>
      <t>)</t>
    </r>
  </si>
  <si>
    <r>
      <t xml:space="preserve">VALORES GERAIS ATUAIS (INST TREIN </t>
    </r>
    <r>
      <rPr>
        <b/>
        <sz val="11"/>
        <color indexed="10"/>
        <rFont val="Calibri"/>
        <family val="2"/>
      </rPr>
      <t>PENAL</t>
    </r>
    <r>
      <rPr>
        <b/>
        <sz val="11"/>
        <color indexed="9"/>
        <rFont val="Calibri"/>
        <family val="2"/>
        <charset val="238"/>
      </rPr>
      <t>)</t>
    </r>
  </si>
  <si>
    <r>
      <t xml:space="preserve">VALORES GERAIS ATUAIS (EST QUAL </t>
    </r>
    <r>
      <rPr>
        <b/>
        <sz val="11"/>
        <color indexed="10"/>
        <rFont val="Calibri"/>
        <family val="2"/>
      </rPr>
      <t>PENAL</t>
    </r>
    <r>
      <rPr>
        <b/>
        <sz val="11"/>
        <color indexed="9"/>
        <rFont val="Calibri"/>
        <family val="2"/>
        <charset val="238"/>
      </rPr>
      <t>)</t>
    </r>
  </si>
  <si>
    <r>
      <t xml:space="preserve">VALORES GERAIS ATUAIS (EST TREIN </t>
    </r>
    <r>
      <rPr>
        <b/>
        <sz val="11"/>
        <color indexed="10"/>
        <rFont val="Calibri"/>
        <family val="2"/>
      </rPr>
      <t>PENAL</t>
    </r>
    <r>
      <rPr>
        <b/>
        <sz val="11"/>
        <color indexed="9"/>
        <rFont val="Calibri"/>
        <family val="2"/>
        <charset val="238"/>
      </rPr>
      <t>)</t>
    </r>
  </si>
  <si>
    <t>BIRUTA</t>
  </si>
  <si>
    <r>
      <t xml:space="preserve">Penalidade para 01 </t>
    </r>
    <r>
      <rPr>
        <i/>
        <sz val="11"/>
        <color indexed="9"/>
        <rFont val="Calibri"/>
        <family val="2"/>
      </rPr>
      <t>foul</t>
    </r>
    <r>
      <rPr>
        <sz val="11"/>
        <color indexed="9"/>
        <rFont val="Calibri"/>
        <family val="2"/>
      </rPr>
      <t xml:space="preserve"> em Biruta</t>
    </r>
  </si>
  <si>
    <t>QT</t>
  </si>
  <si>
    <t>INT</t>
  </si>
  <si>
    <t>EXT</t>
  </si>
  <si>
    <t>Usar pior resultado com critério para Erro Máx</t>
  </si>
  <si>
    <t>2T</t>
  </si>
  <si>
    <t>Utilizar Fase de Treinamento p/ Classificação</t>
  </si>
  <si>
    <t>Peso da Qualificação</t>
  </si>
  <si>
    <t>Peso do Treinamento</t>
  </si>
  <si>
    <t>PARA INSTRUTORES</t>
  </si>
  <si>
    <t>FAC</t>
  </si>
  <si>
    <t>MRC</t>
  </si>
  <si>
    <t>VERMELHO</t>
  </si>
  <si>
    <t>PER</t>
  </si>
  <si>
    <t>TAV</t>
  </si>
  <si>
    <t>PEI</t>
  </si>
  <si>
    <t>BND</t>
  </si>
  <si>
    <t>MAR</t>
  </si>
  <si>
    <t>FRZ</t>
  </si>
  <si>
    <t>DRG</t>
  </si>
  <si>
    <t>DIC</t>
  </si>
  <si>
    <t>SOE</t>
  </si>
  <si>
    <t>GAS</t>
  </si>
  <si>
    <t>MON</t>
  </si>
  <si>
    <t>DLI</t>
  </si>
  <si>
    <t>GVA</t>
  </si>
  <si>
    <t>CTH</t>
  </si>
  <si>
    <t>AVL</t>
  </si>
  <si>
    <t>BOZ</t>
  </si>
  <si>
    <t>DAD</t>
  </si>
  <si>
    <t>MRL</t>
  </si>
  <si>
    <t>HTO</t>
  </si>
  <si>
    <t>BJN</t>
  </si>
  <si>
    <t>BRU</t>
  </si>
  <si>
    <t>KZO</t>
  </si>
  <si>
    <t>ARG</t>
  </si>
  <si>
    <t>HRQ</t>
  </si>
  <si>
    <t>RCD</t>
  </si>
  <si>
    <t>KZT</t>
  </si>
  <si>
    <t>FLH</t>
  </si>
  <si>
    <t>SWK</t>
  </si>
  <si>
    <t>LNA</t>
  </si>
  <si>
    <t>VCL</t>
  </si>
  <si>
    <t>VAN</t>
  </si>
  <si>
    <t>NEGRO</t>
  </si>
  <si>
    <t>AMARELO</t>
  </si>
  <si>
    <t>CINZA</t>
  </si>
  <si>
    <t>ACERTOS</t>
  </si>
  <si>
    <t>TRIG 1P</t>
  </si>
  <si>
    <t>ESQUADRILHA</t>
  </si>
  <si>
    <t>PASSE DE TREINAMENTO OU QUALIF</t>
  </si>
  <si>
    <t>BAND PRINCIPAL</t>
  </si>
  <si>
    <t>BAND AUXILIAR</t>
  </si>
  <si>
    <t>ÂNGULO DE MERGULHO</t>
  </si>
  <si>
    <t>VELOCIDADE</t>
  </si>
  <si>
    <t>SLANT RANGE INICIAL</t>
  </si>
  <si>
    <t>SLANT RANGE FINAL</t>
  </si>
  <si>
    <t>-</t>
  </si>
  <si>
    <t>ARMAMENTO</t>
  </si>
  <si>
    <t>LANÇAMENTO</t>
  </si>
  <si>
    <t>RECEPÇÃO</t>
  </si>
  <si>
    <t>SIM</t>
  </si>
  <si>
    <t>DIREÇÃO (H)</t>
  </si>
  <si>
    <t>CARTUCHOS EMPREGADOS</t>
  </si>
  <si>
    <t>ALTURA DE RECUPERAÇÃO (FT)</t>
  </si>
  <si>
    <t>CANTOU MERGULHO E RECEBEU COTEJAMENTO</t>
  </si>
  <si>
    <t>NOTA ACERTOS</t>
  </si>
  <si>
    <t>EIXO EMPREGADO</t>
  </si>
  <si>
    <t>NOTA DISTÂNCIA</t>
  </si>
  <si>
    <t>NOTA SEM FOULS</t>
  </si>
  <si>
    <t>BRB</t>
  </si>
  <si>
    <t>FOUL ÂNGULO</t>
  </si>
  <si>
    <t>FOUL DE VELOCIDADE</t>
  </si>
  <si>
    <t>FOUL TVB</t>
  </si>
  <si>
    <t>NOTA FINAL</t>
  </si>
  <si>
    <t>OK</t>
  </si>
  <si>
    <t>BARO/RALT</t>
  </si>
  <si>
    <t>NOTA COM PENALIDADES (FOULS)</t>
  </si>
  <si>
    <t>TRANSGRESSÕES</t>
  </si>
  <si>
    <t>S.R. MÁX</t>
  </si>
  <si>
    <t>DEP(Z)</t>
  </si>
  <si>
    <t>CARTUCHOS</t>
  </si>
  <si>
    <t>CONTAGEM BEX</t>
  </si>
  <si>
    <t>DISTÂNCIA REAL (M)</t>
  </si>
  <si>
    <t>GUNS OK</t>
  </si>
  <si>
    <t>STATUS PREENCHIMENTO</t>
  </si>
  <si>
    <t>CONCLUÍDO</t>
  </si>
  <si>
    <t>R</t>
  </si>
  <si>
    <t>BEX</t>
  </si>
  <si>
    <t>BOMBA LANÇADA</t>
  </si>
  <si>
    <t>ABORTIVA</t>
  </si>
  <si>
    <t>N</t>
  </si>
  <si>
    <t>BOMBA AVISTADA</t>
  </si>
  <si>
    <t>FOUL RECUPERAÇAO</t>
  </si>
  <si>
    <t>FOUL DISTÂNCIA DE TIRO</t>
  </si>
  <si>
    <t>07/08/10FF55</t>
  </si>
  <si>
    <t>QUALIFICAÇÃO</t>
  </si>
  <si>
    <t>FOUL DE EIXO</t>
  </si>
  <si>
    <t>RECUPERAÇÃO PREVISTA</t>
  </si>
  <si>
    <t>07/08/10FF57</t>
  </si>
  <si>
    <t>NÃO</t>
  </si>
  <si>
    <t>PANE METRALHADORA</t>
  </si>
  <si>
    <t>NÃO GRAVOU</t>
  </si>
  <si>
    <t>PILOTO</t>
  </si>
  <si>
    <t>DISTÂNCIA</t>
  </si>
  <si>
    <t>FOUL</t>
  </si>
  <si>
    <t>NOTA</t>
  </si>
  <si>
    <t>NOTA BOMBA 1</t>
  </si>
  <si>
    <t>NOTA BOMBA 2</t>
  </si>
  <si>
    <t>NOTA BOMBA 3</t>
  </si>
  <si>
    <t>NOTA BOMBA 4</t>
  </si>
  <si>
    <t>RESULTADOS PARCIAIS AR-SOLO 2022</t>
  </si>
  <si>
    <t>TAV*</t>
  </si>
  <si>
    <t>DRG*</t>
  </si>
  <si>
    <t>1ª BOMBA</t>
  </si>
  <si>
    <t>2ª BOMBA</t>
  </si>
  <si>
    <t>3ª BOMBA</t>
  </si>
  <si>
    <t>4ª BOMBA</t>
  </si>
  <si>
    <t>QTD PASSES</t>
  </si>
  <si>
    <t>1º TT</t>
  </si>
  <si>
    <t>2º TT</t>
  </si>
  <si>
    <t>CART. EMPREGADOS</t>
  </si>
  <si>
    <t>MÉDIAS</t>
  </si>
  <si>
    <t>INSTRUTOR</t>
  </si>
  <si>
    <t>PEO 2</t>
  </si>
  <si>
    <t>PEO 1</t>
  </si>
  <si>
    <t>OPR</t>
  </si>
  <si>
    <t>CLASSIFICAÇÃO</t>
  </si>
  <si>
    <t>MÉDIA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</si>
  <si>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</si>
  <si>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</si>
  <si>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</si>
  <si>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</si>
  <si>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</si>
  <si>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</si>
  <si>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</si>
  <si>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</si>
  <si>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</si>
  <si>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</si>
  <si>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</si>
  <si>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</si>
  <si>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</si>
  <si>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</si>
  <si>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</si>
  <si>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</si>
  <si>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</si>
  <si>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</si>
  <si>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</si>
  <si>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</si>
  <si>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</si>
  <si>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</si>
  <si>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</si>
  <si>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</si>
  <si>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</si>
  <si>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</si>
  <si>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</si>
  <si>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</si>
  <si>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AR-SOLO</t>
  </si>
  <si>
    <t>RANKING</t>
  </si>
  <si>
    <t>N° TIROS</t>
  </si>
  <si>
    <t>N° ACERTOS</t>
  </si>
  <si>
    <t>TEMPO</t>
  </si>
  <si>
    <t>%</t>
  </si>
  <si>
    <t>TEMPO (S)</t>
  </si>
  <si>
    <t>TIRO AVANÇADO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</si>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</sst>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 &quot;m&quot;"/>
    <numFmt numFmtId="165" formatCode="h:mm;@"/>
    <numFmt numFmtId="166" formatCode="0.0\ &quot;s&quot;"/>
    <numFmt numFmtId="167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charset val="238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i/>
      <sz val="11"/>
      <color indexed="9"/>
      <name val="Calibri"/>
      <family val="2"/>
    </font>
    <font>
      <sz val="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7AF98"/>
        <bgColor indexed="64"/>
      </patternFill>
    </fill>
    <fill>
      <patternFill patternType="solid">
        <fgColor rgb="FFBBEBEA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749A1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7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9" fillId="6" borderId="2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wrapText="1"/>
    </xf>
    <xf numFmtId="0" fontId="6" fillId="6" borderId="0" xfId="0" applyFont="1" applyFill="1"/>
    <xf numFmtId="0" fontId="0" fillId="2" borderId="1" xfId="0" applyFill="1" applyBorder="1" applyAlignment="1">
      <alignment horizontal="center"/>
    </xf>
    <xf numFmtId="165" fontId="0" fillId="5" borderId="1" xfId="0" applyNumberFormat="1" applyFill="1" applyBorder="1"/>
    <xf numFmtId="165" fontId="0" fillId="4" borderId="1" xfId="0" applyNumberFormat="1" applyFill="1" applyBorder="1"/>
    <xf numFmtId="0" fontId="9" fillId="6" borderId="0" xfId="0" applyFont="1" applyFill="1" applyAlignment="1">
      <alignment horizontal="center" vertical="center"/>
    </xf>
    <xf numFmtId="20" fontId="0" fillId="0" borderId="0" xfId="0" applyNumberFormat="1"/>
    <xf numFmtId="164" fontId="0" fillId="5" borderId="1" xfId="0" applyNumberFormat="1" applyFill="1" applyBorder="1"/>
    <xf numFmtId="164" fontId="0" fillId="4" borderId="1" xfId="0" applyNumberFormat="1" applyFill="1" applyBorder="1"/>
    <xf numFmtId="166" fontId="0" fillId="5" borderId="1" xfId="0" applyNumberFormat="1" applyFill="1" applyBorder="1"/>
    <xf numFmtId="166" fontId="0" fillId="4" borderId="1" xfId="0" applyNumberFormat="1" applyFill="1" applyBorder="1"/>
    <xf numFmtId="10" fontId="0" fillId="2" borderId="1" xfId="0" applyNumberFormat="1" applyFill="1" applyBorder="1"/>
    <xf numFmtId="0" fontId="6" fillId="7" borderId="7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3" borderId="1" xfId="0" applyNumberForma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10" fillId="5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2" fontId="8" fillId="0" borderId="0" xfId="0" applyNumberFormat="1" applyFont="1" applyAlignment="1">
      <alignment horizontal="center" vertical="top"/>
    </xf>
    <xf numFmtId="0" fontId="8" fillId="8" borderId="0" xfId="0" applyFont="1" applyFill="1" applyAlignment="1">
      <alignment horizontal="center" vertical="top"/>
    </xf>
    <xf numFmtId="0" fontId="8" fillId="9" borderId="0" xfId="0" applyFont="1" applyFill="1" applyAlignment="1">
      <alignment horizontal="center" vertical="top"/>
    </xf>
    <xf numFmtId="0" fontId="8" fillId="8" borderId="0" xfId="0" applyFont="1" applyFill="1" applyAlignment="1">
      <alignment horizontal="center" vertical="top" wrapText="1"/>
    </xf>
    <xf numFmtId="0" fontId="8" fillId="10" borderId="0" xfId="0" applyFont="1" applyFill="1" applyAlignment="1">
      <alignment horizontal="center" vertical="top" wrapText="1"/>
    </xf>
    <xf numFmtId="0" fontId="14" fillId="19" borderId="12" xfId="0" applyFont="1" applyFill="1" applyBorder="1" applyAlignment="1">
      <alignment horizontal="center" vertical="center"/>
    </xf>
    <xf numFmtId="0" fontId="14" fillId="19" borderId="13" xfId="0" applyFont="1" applyFill="1" applyBorder="1" applyAlignment="1">
      <alignment horizontal="center" vertical="center"/>
    </xf>
    <xf numFmtId="0" fontId="14" fillId="19" borderId="14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21" xfId="0" applyFont="1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7" fillId="8" borderId="15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7" fillId="15" borderId="15" xfId="0" applyFont="1" applyFill="1" applyBorder="1" applyAlignment="1">
      <alignment horizontal="center" vertical="center"/>
    </xf>
    <xf numFmtId="0" fontId="7" fillId="15" borderId="21" xfId="0" applyFont="1" applyFill="1" applyBorder="1" applyAlignment="1">
      <alignment horizontal="center" vertical="center"/>
    </xf>
    <xf numFmtId="0" fontId="7" fillId="15" borderId="16" xfId="0" applyFont="1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7" fillId="17" borderId="15" xfId="0" applyFont="1" applyFill="1" applyBorder="1" applyAlignment="1">
      <alignment horizontal="center" vertical="center"/>
    </xf>
    <xf numFmtId="0" fontId="7" fillId="17" borderId="21" xfId="0" applyFont="1" applyFill="1" applyBorder="1" applyAlignment="1">
      <alignment horizontal="center" vertical="center"/>
    </xf>
    <xf numFmtId="0" fontId="7" fillId="17" borderId="16" xfId="0" applyFont="1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20" xfId="0" applyFill="1" applyBorder="1"/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167" fontId="0" fillId="21" borderId="17" xfId="0" applyNumberFormat="1" applyFill="1" applyBorder="1" applyAlignment="1">
      <alignment horizontal="center" vertical="center"/>
    </xf>
    <xf numFmtId="167" fontId="0" fillId="21" borderId="19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7" fillId="6" borderId="21" xfId="0" applyFont="1" applyFill="1" applyBorder="1" applyAlignment="1">
      <alignment horizontal="center" vertical="center"/>
    </xf>
    <xf numFmtId="167" fontId="0" fillId="21" borderId="18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7" fillId="20" borderId="0" xfId="0" applyFont="1" applyFill="1" applyAlignment="1">
      <alignment horizontal="center" vertical="center"/>
    </xf>
    <xf numFmtId="167" fontId="0" fillId="21" borderId="0" xfId="0" applyNumberFormat="1" applyFill="1" applyAlignment="1">
      <alignment horizontal="center" vertical="center"/>
    </xf>
    <xf numFmtId="0" fontId="0" fillId="19" borderId="18" xfId="0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0" fontId="7" fillId="22" borderId="15" xfId="0" applyFont="1" applyFill="1" applyBorder="1" applyAlignment="1">
      <alignment horizontal="center"/>
    </xf>
    <xf numFmtId="0" fontId="7" fillId="22" borderId="16" xfId="0" applyFont="1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167" fontId="0" fillId="23" borderId="17" xfId="0" applyNumberFormat="1" applyFill="1" applyBorder="1" applyAlignment="1">
      <alignment horizontal="center" vertical="center"/>
    </xf>
    <xf numFmtId="167" fontId="0" fillId="23" borderId="18" xfId="0" applyNumberFormat="1" applyFill="1" applyBorder="1" applyAlignment="1">
      <alignment horizontal="center" vertical="center"/>
    </xf>
    <xf numFmtId="167" fontId="0" fillId="23" borderId="19" xfId="0" applyNumberFormat="1" applyFill="1" applyBorder="1" applyAlignment="1">
      <alignment horizontal="center" vertical="center"/>
    </xf>
    <xf numFmtId="167" fontId="0" fillId="23" borderId="20" xfId="0" applyNumberFormat="1" applyFill="1" applyBorder="1" applyAlignment="1">
      <alignment horizontal="center" vertical="center"/>
    </xf>
    <xf numFmtId="0" fontId="7" fillId="24" borderId="18" xfId="0" applyFont="1" applyFill="1" applyBorder="1" applyAlignment="1">
      <alignment horizontal="center" vertical="center"/>
    </xf>
    <xf numFmtId="167" fontId="0" fillId="25" borderId="18" xfId="0" applyNumberFormat="1" applyFill="1" applyBorder="1" applyAlignment="1">
      <alignment horizontal="center" vertical="center"/>
    </xf>
    <xf numFmtId="167" fontId="0" fillId="25" borderId="20" xfId="0" applyNumberFormat="1" applyFill="1" applyBorder="1" applyAlignment="1">
      <alignment horizontal="center" vertical="center"/>
    </xf>
    <xf numFmtId="0" fontId="7" fillId="20" borderId="17" xfId="0" applyFont="1" applyFill="1" applyBorder="1" applyAlignment="1">
      <alignment horizontal="center" vertical="center"/>
    </xf>
    <xf numFmtId="0" fontId="7" fillId="20" borderId="18" xfId="0" applyFont="1" applyFill="1" applyBorder="1" applyAlignment="1">
      <alignment horizontal="center" vertical="center"/>
    </xf>
    <xf numFmtId="167" fontId="0" fillId="25" borderId="17" xfId="0" applyNumberFormat="1" applyFill="1" applyBorder="1" applyAlignment="1">
      <alignment horizontal="center" vertical="center"/>
    </xf>
    <xf numFmtId="167" fontId="0" fillId="25" borderId="19" xfId="0" applyNumberFormat="1" applyFill="1" applyBorder="1" applyAlignment="1">
      <alignment horizontal="center" vertical="center"/>
    </xf>
    <xf numFmtId="0" fontId="7" fillId="24" borderId="17" xfId="0" applyFont="1" applyFill="1" applyBorder="1" applyAlignment="1">
      <alignment horizontal="center" vertical="center"/>
    </xf>
    <xf numFmtId="167" fontId="0" fillId="27" borderId="17" xfId="0" applyNumberFormat="1" applyFill="1" applyBorder="1" applyAlignment="1">
      <alignment horizontal="center" vertical="center"/>
    </xf>
    <xf numFmtId="167" fontId="0" fillId="27" borderId="18" xfId="0" applyNumberFormat="1" applyFill="1" applyBorder="1" applyAlignment="1">
      <alignment horizontal="center" vertical="center"/>
    </xf>
    <xf numFmtId="167" fontId="0" fillId="27" borderId="19" xfId="0" applyNumberFormat="1" applyFill="1" applyBorder="1" applyAlignment="1">
      <alignment horizontal="center" vertical="center"/>
    </xf>
    <xf numFmtId="167" fontId="0" fillId="27" borderId="20" xfId="0" applyNumberFormat="1" applyFill="1" applyBorder="1" applyAlignment="1">
      <alignment horizontal="center" vertical="center"/>
    </xf>
    <xf numFmtId="0" fontId="7" fillId="17" borderId="17" xfId="0" applyFont="1" applyFill="1" applyBorder="1" applyAlignment="1">
      <alignment horizontal="center" vertical="center"/>
    </xf>
    <xf numFmtId="0" fontId="7" fillId="17" borderId="18" xfId="0" applyFont="1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9" borderId="5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2" fontId="0" fillId="19" borderId="18" xfId="0" applyNumberFormat="1" applyFill="1" applyBorder="1" applyAlignment="1">
      <alignment horizontal="center"/>
    </xf>
    <xf numFmtId="10" fontId="0" fillId="19" borderId="17" xfId="1" applyNumberFormat="1" applyFont="1" applyFill="1" applyBorder="1" applyAlignment="1">
      <alignment horizontal="center"/>
    </xf>
    <xf numFmtId="10" fontId="0" fillId="19" borderId="19" xfId="1" applyNumberFormat="1" applyFont="1" applyFill="1" applyBorder="1" applyAlignment="1">
      <alignment horizontal="center"/>
    </xf>
    <xf numFmtId="2" fontId="0" fillId="19" borderId="20" xfId="0" applyNumberFormat="1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 vertical="center" textRotation="90" wrapText="1"/>
    </xf>
    <xf numFmtId="0" fontId="11" fillId="6" borderId="5" xfId="0" applyFont="1" applyFill="1" applyBorder="1" applyAlignment="1">
      <alignment horizontal="center" vertical="center" textRotation="90" wrapText="1"/>
    </xf>
    <xf numFmtId="0" fontId="11" fillId="6" borderId="3" xfId="0" applyFont="1" applyFill="1" applyBorder="1" applyAlignment="1">
      <alignment horizontal="center" vertical="center" textRotation="90" wrapText="1"/>
    </xf>
    <xf numFmtId="0" fontId="9" fillId="6" borderId="0" xfId="0" applyFont="1" applyFill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12" fillId="6" borderId="8" xfId="0" applyFont="1" applyFill="1" applyBorder="1" applyAlignment="1">
      <alignment horizontal="center" wrapText="1"/>
    </xf>
    <xf numFmtId="0" fontId="12" fillId="6" borderId="9" xfId="0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7" fillId="26" borderId="16" xfId="0" applyFont="1" applyFill="1" applyBorder="1" applyAlignment="1">
      <alignment horizontal="center" vertical="center"/>
    </xf>
    <xf numFmtId="0" fontId="7" fillId="26" borderId="18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horizontal="center" vertical="center"/>
    </xf>
    <xf numFmtId="0" fontId="14" fillId="19" borderId="12" xfId="0" applyFont="1" applyFill="1" applyBorder="1" applyAlignment="1">
      <alignment horizontal="center" vertical="center"/>
    </xf>
    <xf numFmtId="0" fontId="14" fillId="19" borderId="14" xfId="0" applyFont="1" applyFill="1" applyBorder="1" applyAlignment="1">
      <alignment horizontal="center" vertical="center"/>
    </xf>
    <xf numFmtId="0" fontId="7" fillId="26" borderId="15" xfId="0" applyFont="1" applyFill="1" applyBorder="1" applyAlignment="1">
      <alignment horizontal="center" vertical="center"/>
    </xf>
    <xf numFmtId="0" fontId="7" fillId="26" borderId="17" xfId="0" applyFont="1" applyFill="1" applyBorder="1" applyAlignment="1">
      <alignment horizontal="center" vertical="center"/>
    </xf>
    <xf numFmtId="0" fontId="14" fillId="19" borderId="13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 textRotation="255"/>
    </xf>
    <xf numFmtId="0" fontId="8" fillId="0" borderId="17" xfId="0" applyFont="1" applyBorder="1" applyAlignment="1">
      <alignment horizontal="center" vertical="center" textRotation="255"/>
    </xf>
    <xf numFmtId="0" fontId="8" fillId="0" borderId="19" xfId="0" applyFont="1" applyBorder="1" applyAlignment="1">
      <alignment horizontal="center" vertical="center" textRotation="255"/>
    </xf>
    <xf numFmtId="0" fontId="7" fillId="22" borderId="4" xfId="0" applyFont="1" applyFill="1" applyBorder="1" applyAlignment="1">
      <alignment horizontal="center" vertical="center"/>
    </xf>
    <xf numFmtId="0" fontId="7" fillId="22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16" xfId="0" applyFont="1" applyFill="1" applyBorder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Porcentagem" xfId="1" builtinId="5"/>
  </cellStyles>
  <dxfs count="60">
    <dxf>
      <numFmt numFmtId="0" formatCode="General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color theme="2"/>
      </font>
      <fill>
        <patternFill>
          <bgColor theme="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404040"/>
        </patternFill>
      </fill>
    </dxf>
    <dxf>
      <fill>
        <patternFill patternType="none">
          <bgColor auto="1"/>
        </patternFill>
      </fill>
    </dxf>
  </dxfs>
  <tableStyles count="2" defaultTableStyle="TableStyleMedium9" defaultPivotStyle="PivotStyleLight16">
    <tableStyle name="Estilo de Segmentação de Dados 1" pivot="0" table="0" count="1" xr9:uid="{6E79CCCA-4538-43E4-A80C-248EF96BB625}">
      <tableStyleElement type="wholeTable" dxfId="59"/>
    </tableStyle>
    <tableStyle name="ESTILO1 MRC" pivot="0" table="0" count="8" xr9:uid="{66B9A0F3-C6A8-4C54-B598-F9A23DC81AB2}">
      <tableStyleElement type="wholeTable" dxfId="58"/>
    </tableStyle>
  </tableStyles>
  <colors>
    <mruColors>
      <color rgb="FFEAEAEA"/>
      <color rgb="FF000066"/>
      <color rgb="FF749A16"/>
      <color rgb="FFCCFF99"/>
      <color rgb="FFBBEBEA"/>
      <color rgb="FF37AF98"/>
      <color rgb="FF84D8C8"/>
      <color rgb="FF404040"/>
    </mruColors>
  </colors>
  <extLst>
    <ext xmlns:x14="http://schemas.microsoft.com/office/spreadsheetml/2009/9/main" uri="{46F421CA-312F-682f-3DD2-61675219B42D}">
      <x14:dxfs count="7">
        <dxf>
          <font>
            <b/>
            <i val="0"/>
            <color theme="0" tint="-4.9989318521683403E-2"/>
          </font>
        </dxf>
        <dxf>
          <font>
            <b/>
            <i val="0"/>
            <color theme="0" tint="-4.9989318521683403E-2"/>
          </font>
        </dxf>
        <dxf>
          <font>
            <b/>
            <i val="0"/>
            <color theme="0" tint="-4.9989318521683403E-2"/>
          </font>
        </dxf>
        <dxf>
          <font>
            <b/>
            <i val="0"/>
            <color theme="0"/>
          </font>
        </dxf>
        <dxf>
          <font>
            <b/>
            <i val="0"/>
            <color theme="0" tint="-4.9989318521683403E-2"/>
          </font>
          <fill>
            <patternFill>
              <bgColor theme="3"/>
            </patternFill>
          </fill>
        </dxf>
        <dxf>
          <font>
            <b/>
            <i val="0"/>
            <color theme="0" tint="-4.9989318521683403E-2"/>
          </font>
        </dxf>
        <dxf>
          <font>
            <b/>
            <i val="0"/>
            <color theme="0" tint="-4.9989318521683403E-2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/>
        <x14:slicerStyle name="ESTILO1 MRC">
          <x14:slicerStyleElements>
            <x14:slicerStyleElement type="unselectedItemWithData" dxfId="6"/>
            <x14:slicerStyleElement type="unselectedItemWithNoData" dxfId="5"/>
            <x14:slicerStyleElement type="selectedItemWithData" dxfId="4"/>
            <x14:slicerStyleElement type="selectedItemWithNo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fmlaLink="AJ16" lockText="1"/>
</file>

<file path=xl/ctrlProps/ctrlProp2.xml><?xml version="1.0" encoding="utf-8"?>
<formControlPr xmlns="http://schemas.microsoft.com/office/spreadsheetml/2009/9/main" objectType="CheckBox" fmlaLink="$C$12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209550</xdr:colOff>
          <xdr:row>15</xdr:row>
          <xdr:rowOff>123825</xdr:rowOff>
        </xdr:from>
        <xdr:to>
          <xdr:col>35</xdr:col>
          <xdr:colOff>504825</xdr:colOff>
          <xdr:row>16</xdr:row>
          <xdr:rowOff>152400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10</xdr:row>
          <xdr:rowOff>180975</xdr:rowOff>
        </xdr:from>
        <xdr:to>
          <xdr:col>2</xdr:col>
          <xdr:colOff>533400</xdr:colOff>
          <xdr:row>12</xdr:row>
          <xdr:rowOff>19050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CADO_EMPREGOS_2022" displayName="CADO_EMPREGOS_2022" ref="A1:AT162" totalsRowShown="0" headerRowDxfId="55" dataDxfId="54">
  <autoFilter ref="A1:AT162" xr:uid="{00000000-000C-0000-FFFF-FFFF01000000}"/>
  <tableColumns count="46">
    <tableColumn id="2" xr3:uid="{00000000-0010-0000-0100-000002000000}" name="DATA" dataDxfId="53"/>
    <tableColumn id="3" xr3:uid="{00000000-0010-0000-0100-000003000000}" name="DEP(Z)" dataDxfId="52"/>
    <tableColumn id="4" xr3:uid="{00000000-0010-0000-0100-000004000000}" name="MISSÃO" dataDxfId="51"/>
    <tableColumn id="5" xr3:uid="{00000000-0010-0000-0100-000005000000}" name="TRIG 1P" dataDxfId="50"/>
    <tableColumn id="7" xr3:uid="{00000000-0010-0000-0100-000007000000}" name="ANV" dataDxfId="49"/>
    <tableColumn id="8" xr3:uid="{00000000-0010-0000-0100-000008000000}" name="ESQUADRILHA" dataDxfId="48"/>
    <tableColumn id="9" xr3:uid="{00000000-0010-0000-0100-000009000000}" name="POSIÇÃO" dataDxfId="47"/>
    <tableColumn id="10" xr3:uid="{00000000-0010-0000-0100-00000A000000}" name="MODALIDADE" dataDxfId="46"/>
    <tableColumn id="11" xr3:uid="{00000000-0010-0000-0100-00000B000000}" name="R/S" dataDxfId="45"/>
    <tableColumn id="31" xr3:uid="{00000000-0010-0000-0100-00001F000000}" name="ARMAMENTO" dataDxfId="44"/>
    <tableColumn id="30" xr3:uid="{7EBC3F36-0997-4E65-81F1-707C8487D40B}" name="CONTAGEM BEX" dataDxfId="43"/>
    <tableColumn id="34" xr3:uid="{00000000-0010-0000-0100-000022000000}" name="CANTOU MERGULHO E RECEBEU COTEJAMENTO" dataDxfId="42"/>
    <tableColumn id="46" xr3:uid="{00000000-0010-0000-0100-00002E000000}" name="BARO/RALT" dataDxfId="41"/>
    <tableColumn id="50" xr3:uid="{8D598D13-38DB-4ED8-83E7-3789AE341DAA}" name="ABORTIVA" dataDxfId="40"/>
    <tableColumn id="13" xr3:uid="{00000000-0010-0000-0100-00000D000000}" name="PASSE DE TREINAMENTO OU QUALIF" dataDxfId="39"/>
    <tableColumn id="14" xr3:uid="{00000000-0010-0000-0100-00000E000000}" name="LANÇAMENTO" dataDxfId="38"/>
    <tableColumn id="32" xr3:uid="{00000000-0010-0000-0100-000020000000}" name="RECEPÇÃO" dataDxfId="37"/>
    <tableColumn id="17" xr3:uid="{00000000-0010-0000-0100-000011000000}" name="BAND PRINCIPAL" dataDxfId="36"/>
    <tableColumn id="18" xr3:uid="{00000000-0010-0000-0100-000012000000}" name="BAND AUXILIAR" dataDxfId="35"/>
    <tableColumn id="19" xr3:uid="{00000000-0010-0000-0100-000013000000}" name="DISTÂNCIA REAL (M)" dataDxfId="34"/>
    <tableColumn id="20" xr3:uid="{00000000-0010-0000-0100-000014000000}" name="DIREÇÃO (H)" dataDxfId="33"/>
    <tableColumn id="33" xr3:uid="{00000000-0010-0000-0100-000021000000}" name="CARTUCHOS EMPREGADOS" dataDxfId="32"/>
    <tableColumn id="21" xr3:uid="{00000000-0010-0000-0100-000015000000}" name="ACERTOS" dataDxfId="31"/>
    <tableColumn id="55" xr3:uid="{BB85EC83-3FAF-4275-9A2D-848148324503}" name="PA" dataDxfId="30"/>
    <tableColumn id="22" xr3:uid="{00000000-0010-0000-0100-000016000000}" name="ÂNGULO DE MERGULHO" dataDxfId="29"/>
    <tableColumn id="23" xr3:uid="{00000000-0010-0000-0100-000017000000}" name="VELOCIDADE" dataDxfId="28"/>
    <tableColumn id="24" xr3:uid="{00000000-0010-0000-0100-000018000000}" name="SLANT RANGE INICIAL" dataDxfId="27"/>
    <tableColumn id="25" xr3:uid="{00000000-0010-0000-0100-000019000000}" name="SLANT RANGE FINAL" dataDxfId="26"/>
    <tableColumn id="29" xr3:uid="{00000000-0010-0000-0100-00001D000000}" name="ALTURA DE RECUPERAÇÃO (FT)" dataDxfId="25"/>
    <tableColumn id="58" xr3:uid="{C408F6CB-91E2-451E-9EE6-B74158E1F52F}" name="RECUPERAÇÃO PREVISTA" dataDxfId="24"/>
    <tableColumn id="37" xr3:uid="{00000000-0010-0000-0100-000025000000}" name="EIXO PREVISTO" dataDxfId="23"/>
    <tableColumn id="35" xr3:uid="{00000000-0010-0000-0100-000023000000}" name="EIXO EMPREGADO" dataDxfId="22"/>
    <tableColumn id="36" xr3:uid="{00000000-0010-0000-0100-000024000000}" name="TVB" dataDxfId="21"/>
    <tableColumn id="48" xr3:uid="{00000000-0010-0000-0100-000030000000}" name="NOTA FINAL" dataDxfId="20">
      <calculatedColumnFormula>IF(CADO_EMPREGOS_2022[[#This Row],[ABORTIVA]]="METEORO","",IF(COUNTA(CADO_EMPREGOS_2022[[#This Row],[TRANSGRESSÕES]])&gt;0,0,CADO_EMPREGOS_2022[[#This Row],[NOTA COM PENALIDADES (FOULS)]]))</calculatedColumnFormula>
    </tableColumn>
    <tableColumn id="49" xr3:uid="{00000000-0010-0000-0100-000031000000}" name="TRANSGRESSÕES" dataDxfId="19"/>
    <tableColumn id="44" xr3:uid="{00000000-0010-0000-0100-00002C000000}" name="NOTA COM PENALIDADES (FOULS)" dataDxfId="18">
      <calculatedColumnFormula>IFERROR(IF(CADO_EMPREGOS_2022[[#This Row],[NOTA SEM FOULS]]=0,0,IF(COUNTIF(CADO_EMPREGOS_2022[[#This Row],[FOUL TVB]:[FOUL DE EIXO]],1)&gt;0,0,CADO_EMPREGOS_2022[[#This Row],[NOTA SEM FOULS]])),"")</calculatedColumnFormula>
    </tableColumn>
    <tableColumn id="26" xr3:uid="{00000000-0010-0000-0100-00001A000000}" name="NOTA SEM FOULS" dataDxfId="17">
      <calculatedColumnFormula>IF(CADO_EMPREGOS_2022[[#This Row],[MODALIDADE]]="TT",CADO_EMPREGOS_2022[[#This Row],[NOTA ACERTOS]],IF(COUNTA(CADO_EMPREGOS_2022[[#This Row],[MODALIDADE]])=0,"",CADO_EMPREGOS_2022[[#This Row],[NOTA DISTÂNCIA]]))</calculatedColumnFormula>
    </tableColumn>
    <tableColumn id="43" xr3:uid="{00000000-0010-0000-0100-00002B000000}" name="FOUL TVB" dataDxfId="16">
      <calculatedColumnFormula>IF(AND(CADO_EMPREGOS_2022[[#This Row],[MODALIDADE]]="BRB",CADO_EMPREGOS_2022[[#This Row],[TVB]]&lt;=3),1,0)</calculatedColumnFormula>
    </tableColumn>
    <tableColumn id="41" xr3:uid="{00000000-0010-0000-0100-000029000000}" name="FOUL ÂNGULO" dataDxfId="15">
      <calculatedColumnFormula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calculatedColumnFormula>
    </tableColumn>
    <tableColumn id="42" xr3:uid="{00000000-0010-0000-0100-00002A000000}" name="FOUL DE VELOCIDADE" dataDxfId="14">
      <calculatedColumnFormula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calculatedColumnFormula>
    </tableColumn>
    <tableColumn id="51" xr3:uid="{D222F566-3D19-4D7A-839B-9DC12FAB1205}" name="FOUL RECUPERAÇAO" dataDxfId="13">
      <calculatedColumnFormula>IFERROR(IF(CADO_EMPREGOS_2022[[#This Row],[ALTURA DE RECUPERAÇÃO (FT)]]&lt;VLOOKUP(CADO_EMPREGOS_2022[[#This Row],[MODALIDADE]],Dados!$R$3:$AB$16,10,FALSE),1,0),"")</calculatedColumnFormula>
    </tableColumn>
    <tableColumn id="52" xr3:uid="{F39CDC9F-1BAF-499E-AA12-C7A08F77DF64}" name="FOUL DISTÂNCIA DE TIRO" dataDxfId="12">
      <calculatedColumnFormula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calculatedColumnFormula>
    </tableColumn>
    <tableColumn id="57" xr3:uid="{3094B7D4-62C9-4CA1-A52A-1BCDC283E506}" name="FOUL DE EIXO" dataDxfId="11">
      <calculatedColumnFormula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calculatedColumnFormula>
    </tableColumn>
    <tableColumn id="38" xr3:uid="{00000000-0010-0000-0100-000026000000}" name="NOTA ACERTOS" dataDxfId="10">
      <calculatedColumnFormula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calculatedColumnFormula>
    </tableColumn>
    <tableColumn id="40" xr3:uid="{00000000-0010-0000-0100-000028000000}" name="NOTA DISTÂNCIA" dataDxfId="9">
      <calculatedColumnFormula array="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calculatedColumnFormula>
    </tableColumn>
    <tableColumn id="47" xr3:uid="{46C001E9-E53D-46F6-9D73-BE1C44D7F888}" name="STATUS PREENCHIMENTO" dataDxfId="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D1F6C-8D5E-4BE5-889D-B91C1AEB72A8}" name="Tabela1" displayName="Tabela1" ref="A1:F32" totalsRowShown="0" headerRowDxfId="7" dataDxfId="6">
  <autoFilter ref="A1:F32" xr:uid="{2B0D1F6C-8D5E-4BE5-889D-B91C1AEB72A8}"/>
  <sortState xmlns:xlrd2="http://schemas.microsoft.com/office/spreadsheetml/2017/richdata2" ref="A2:F32">
    <sortCondition ref="A1:A32"/>
  </sortState>
  <tableColumns count="6">
    <tableColumn id="1" xr3:uid="{42EB39F9-447E-4E3A-AE43-90AA748AC67F}" name="PILOTO" dataDxfId="5"/>
    <tableColumn id="2" xr3:uid="{2BDA408F-3880-4787-A4B6-2FFE20D284BE}" name="N° TIROS" dataDxfId="4"/>
    <tableColumn id="3" xr3:uid="{85093EE7-1905-4AB6-84A3-D6B040686827}" name="N° ACERTOS" dataDxfId="3"/>
    <tableColumn id="4" xr3:uid="{B0DA7D5D-DB99-4462-A35A-384779FFF866}" name="TEMPO (S)" dataDxfId="2"/>
    <tableColumn id="5" xr3:uid="{A2F3AF0C-1296-425B-8C95-1B8437453955}" name="%" dataDxfId="1" dataCellStyle="Porcentagem">
      <calculatedColumnFormula>Tabela1[[#This Row],[N° ACERTOS]]/Tabela1[[#This Row],[N° TIROS]]</calculatedColumnFormula>
    </tableColumn>
    <tableColumn id="6" xr3:uid="{F5105B08-AD48-406B-9EE5-10AB82AB6691}" name="NOTA" dataDxfId="0">
      <calculatedColumnFormula>ROUND(SUM(PRODUCT(Tabela1[[#This Row],[N° ACERTOS]]/Tabela1[[#This Row],[TEMPO (S)]],50.00275),-2.130067),2)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6">
    <tabColor theme="2" tint="-0.749992370372631"/>
  </sheetPr>
  <dimension ref="A1:AK101"/>
  <sheetViews>
    <sheetView showGridLines="0" topLeftCell="N1" zoomScale="85" zoomScaleNormal="85" workbookViewId="0">
      <selection activeCell="U12" sqref="U12"/>
    </sheetView>
  </sheetViews>
  <sheetFormatPr defaultRowHeight="15" x14ac:dyDescent="0.25"/>
  <cols>
    <col min="1" max="1" width="9.140625" customWidth="1"/>
    <col min="2" max="2" width="43" bestFit="1" customWidth="1"/>
    <col min="3" max="3" width="9.7109375" customWidth="1"/>
    <col min="8" max="8" width="10.7109375" bestFit="1" customWidth="1"/>
    <col min="10" max="10" width="3.7109375" customWidth="1"/>
    <col min="11" max="11" width="3" customWidth="1"/>
    <col min="13" max="16" width="11.42578125" customWidth="1"/>
    <col min="17" max="17" width="3" customWidth="1"/>
    <col min="19" max="19" width="10" bestFit="1" customWidth="1"/>
    <col min="20" max="20" width="8.85546875" bestFit="1" customWidth="1"/>
    <col min="21" max="21" width="7.140625" bestFit="1" customWidth="1"/>
    <col min="22" max="22" width="8.7109375" bestFit="1" customWidth="1"/>
    <col min="23" max="23" width="5.140625" customWidth="1"/>
    <col min="25" max="25" width="10" bestFit="1" customWidth="1"/>
    <col min="29" max="29" width="3.5703125" customWidth="1"/>
    <col min="30" max="30" width="8.5703125" bestFit="1" customWidth="1"/>
    <col min="31" max="31" width="10.42578125" bestFit="1" customWidth="1"/>
    <col min="32" max="33" width="12.28515625" bestFit="1" customWidth="1"/>
    <col min="34" max="34" width="15.5703125" bestFit="1" customWidth="1"/>
    <col min="35" max="35" width="3.28515625" customWidth="1"/>
    <col min="36" max="36" width="7.7109375" bestFit="1" customWidth="1"/>
    <col min="37" max="37" width="18.42578125" customWidth="1"/>
  </cols>
  <sheetData>
    <row r="1" spans="2:37" ht="30" customHeight="1" x14ac:dyDescent="0.25">
      <c r="B1" s="146" t="s">
        <v>17</v>
      </c>
      <c r="C1" s="146"/>
      <c r="E1" s="5" t="s">
        <v>1</v>
      </c>
      <c r="F1" s="5" t="s">
        <v>18</v>
      </c>
      <c r="G1" s="5" t="s">
        <v>35</v>
      </c>
      <c r="H1" s="11" t="s">
        <v>49</v>
      </c>
      <c r="I1" s="11" t="s">
        <v>89</v>
      </c>
      <c r="J1" s="11"/>
      <c r="L1" s="145" t="s">
        <v>47</v>
      </c>
      <c r="M1" s="145"/>
      <c r="N1" s="145"/>
      <c r="O1" s="145"/>
      <c r="P1" s="145"/>
      <c r="R1" s="6"/>
      <c r="S1" s="19" t="s">
        <v>52</v>
      </c>
      <c r="T1" s="18" t="s">
        <v>53</v>
      </c>
      <c r="U1" s="18" t="s">
        <v>54</v>
      </c>
      <c r="V1" s="18" t="s">
        <v>55</v>
      </c>
      <c r="W1" s="18" t="s">
        <v>7</v>
      </c>
      <c r="X1" s="18" t="s">
        <v>56</v>
      </c>
      <c r="Y1" s="18" t="s">
        <v>57</v>
      </c>
      <c r="Z1" s="18" t="s">
        <v>167</v>
      </c>
      <c r="AA1" s="18" t="s">
        <v>59</v>
      </c>
      <c r="AB1" s="18"/>
    </row>
    <row r="2" spans="2:37" x14ac:dyDescent="0.25">
      <c r="B2" s="32" t="s">
        <v>12</v>
      </c>
      <c r="C2" s="29">
        <v>1190</v>
      </c>
      <c r="E2" s="3" t="s">
        <v>98</v>
      </c>
      <c r="F2" s="3" t="s">
        <v>21</v>
      </c>
      <c r="G2" s="3" t="s">
        <v>36</v>
      </c>
      <c r="H2" s="3" t="s">
        <v>100</v>
      </c>
      <c r="I2" s="3" t="s">
        <v>90</v>
      </c>
      <c r="J2" s="3"/>
      <c r="L2" s="1"/>
      <c r="M2" s="8" t="s">
        <v>48</v>
      </c>
      <c r="N2" s="8" t="s">
        <v>5</v>
      </c>
      <c r="O2" s="8" t="s">
        <v>40</v>
      </c>
      <c r="P2" s="8" t="s">
        <v>41</v>
      </c>
      <c r="R2" s="1"/>
    </row>
    <row r="3" spans="2:37" x14ac:dyDescent="0.25">
      <c r="B3" s="33" t="s">
        <v>13</v>
      </c>
      <c r="C3" s="28">
        <v>836</v>
      </c>
      <c r="E3" s="4" t="s">
        <v>101</v>
      </c>
      <c r="F3" s="4" t="s">
        <v>22</v>
      </c>
      <c r="G3" s="4" t="s">
        <v>36</v>
      </c>
      <c r="H3" s="4" t="s">
        <v>100</v>
      </c>
      <c r="I3" s="4" t="s">
        <v>90</v>
      </c>
      <c r="J3" s="4"/>
      <c r="L3" s="2" t="s">
        <v>9</v>
      </c>
      <c r="M3" s="4"/>
      <c r="N3" s="4"/>
      <c r="O3" s="4"/>
      <c r="P3" s="4">
        <v>20</v>
      </c>
      <c r="R3" s="2" t="s">
        <v>9</v>
      </c>
      <c r="S3" s="4">
        <v>225</v>
      </c>
      <c r="T3" s="4">
        <v>275</v>
      </c>
      <c r="U3" s="4">
        <v>-15</v>
      </c>
      <c r="V3" s="4">
        <v>-30</v>
      </c>
      <c r="W3" s="4">
        <v>30</v>
      </c>
      <c r="X3" s="15"/>
      <c r="Y3" s="13"/>
      <c r="Z3" s="13"/>
      <c r="AA3" s="4">
        <v>3830</v>
      </c>
      <c r="AB3" s="4"/>
    </row>
    <row r="4" spans="2:37" x14ac:dyDescent="0.25">
      <c r="B4" s="32" t="s">
        <v>14</v>
      </c>
      <c r="C4" s="29">
        <v>820</v>
      </c>
      <c r="E4" s="3" t="s">
        <v>102</v>
      </c>
      <c r="F4" s="3" t="s">
        <v>22</v>
      </c>
      <c r="G4" s="3" t="s">
        <v>36</v>
      </c>
      <c r="H4" s="3"/>
      <c r="I4" s="3" t="s">
        <v>90</v>
      </c>
      <c r="J4" s="3"/>
      <c r="L4" s="1" t="s">
        <v>11</v>
      </c>
      <c r="M4" s="3"/>
      <c r="N4" s="3"/>
      <c r="O4" s="3"/>
      <c r="P4" s="3">
        <v>20</v>
      </c>
      <c r="R4" s="1" t="s">
        <v>11</v>
      </c>
      <c r="S4" s="3">
        <v>225</v>
      </c>
      <c r="T4" s="3">
        <v>275</v>
      </c>
      <c r="U4" s="3">
        <v>-25</v>
      </c>
      <c r="V4" s="3">
        <v>-45</v>
      </c>
      <c r="W4" s="3">
        <v>30</v>
      </c>
      <c r="X4" s="16"/>
      <c r="Y4" s="14"/>
      <c r="Z4" s="14"/>
      <c r="AA4" s="3">
        <v>5830</v>
      </c>
      <c r="AB4" s="3"/>
    </row>
    <row r="5" spans="2:37" x14ac:dyDescent="0.25">
      <c r="B5" s="33" t="s">
        <v>16</v>
      </c>
      <c r="C5" s="30">
        <f>DEGREES(ACOS((C3^2-C4^2-C2^2)/(-2*C4*C2)))</f>
        <v>44.599415941259679</v>
      </c>
      <c r="E5" s="4" t="s">
        <v>103</v>
      </c>
      <c r="F5" s="4" t="s">
        <v>23</v>
      </c>
      <c r="G5" s="4" t="s">
        <v>36</v>
      </c>
      <c r="H5" s="4"/>
      <c r="I5" s="4" t="s">
        <v>90</v>
      </c>
      <c r="J5" s="4"/>
      <c r="L5" s="2" t="s">
        <v>26</v>
      </c>
      <c r="M5" s="4"/>
      <c r="N5" s="4"/>
      <c r="O5" s="4"/>
      <c r="P5" s="4">
        <v>20</v>
      </c>
      <c r="R5" s="2" t="s">
        <v>26</v>
      </c>
      <c r="S5" s="4">
        <v>225</v>
      </c>
      <c r="T5" s="4">
        <v>275</v>
      </c>
      <c r="U5" s="4">
        <v>-15</v>
      </c>
      <c r="V5" s="4">
        <v>-30</v>
      </c>
      <c r="W5" s="4">
        <v>30</v>
      </c>
      <c r="X5" s="15"/>
      <c r="Y5" s="13">
        <v>954</v>
      </c>
      <c r="Z5" s="13"/>
      <c r="AA5" s="4">
        <v>600</v>
      </c>
      <c r="AB5" s="4"/>
    </row>
    <row r="6" spans="2:37" x14ac:dyDescent="0.25">
      <c r="B6" s="32" t="s">
        <v>15</v>
      </c>
      <c r="C6" s="31">
        <f>DEGREES(ACOS((C4^2-C3^2-C2^2)/(-2*C3*C2)))</f>
        <v>43.527890902182342</v>
      </c>
      <c r="E6" s="3" t="s">
        <v>104</v>
      </c>
      <c r="F6" s="3" t="s">
        <v>23</v>
      </c>
      <c r="G6" s="3" t="s">
        <v>36</v>
      </c>
      <c r="H6" s="3"/>
      <c r="I6" s="3" t="s">
        <v>90</v>
      </c>
      <c r="J6" s="3"/>
      <c r="L6" s="1" t="s">
        <v>25</v>
      </c>
      <c r="M6" s="3">
        <v>-20</v>
      </c>
      <c r="N6" s="3">
        <v>-10</v>
      </c>
      <c r="O6" s="3"/>
      <c r="P6" s="3"/>
      <c r="R6" s="1" t="s">
        <v>25</v>
      </c>
      <c r="S6" s="3">
        <v>225</v>
      </c>
      <c r="T6" s="3">
        <v>275</v>
      </c>
      <c r="U6" s="3">
        <v>-5</v>
      </c>
      <c r="V6" s="3">
        <v>-20</v>
      </c>
      <c r="W6" s="3">
        <v>20</v>
      </c>
      <c r="X6" s="16"/>
      <c r="Y6" s="14">
        <v>500</v>
      </c>
      <c r="Z6" s="14">
        <v>1500</v>
      </c>
      <c r="AA6" s="3">
        <v>200</v>
      </c>
      <c r="AB6" s="3"/>
    </row>
    <row r="7" spans="2:37" x14ac:dyDescent="0.25">
      <c r="B7" s="33" t="s">
        <v>67</v>
      </c>
      <c r="C7" s="30">
        <f>(C2*TAN(RADIANS(C5))*TAN(RADIANS(C6)))/(TAN(RADIANS(C5))+TAN(RADIANS(C6)))</f>
        <v>575.75955169054566</v>
      </c>
      <c r="E7" s="4" t="s">
        <v>105</v>
      </c>
      <c r="F7" s="4" t="s">
        <v>23</v>
      </c>
      <c r="G7" s="4" t="s">
        <v>36</v>
      </c>
      <c r="H7" s="4" t="s">
        <v>132</v>
      </c>
      <c r="I7" s="4" t="s">
        <v>90</v>
      </c>
      <c r="J7" s="4"/>
      <c r="L7" s="2" t="s">
        <v>3</v>
      </c>
      <c r="M7" s="4">
        <v>-20</v>
      </c>
      <c r="N7" s="4">
        <v>-10</v>
      </c>
      <c r="O7" s="4"/>
      <c r="P7" s="4"/>
      <c r="R7" s="2" t="s">
        <v>3</v>
      </c>
      <c r="S7" s="4">
        <v>215</v>
      </c>
      <c r="T7" s="4">
        <v>265</v>
      </c>
      <c r="U7" s="4">
        <v>90</v>
      </c>
      <c r="V7" s="4">
        <v>5</v>
      </c>
      <c r="W7" s="4"/>
      <c r="X7" s="15"/>
      <c r="Y7" s="13">
        <v>200</v>
      </c>
      <c r="Z7" s="13"/>
      <c r="AA7" s="4"/>
      <c r="AB7" s="4"/>
    </row>
    <row r="8" spans="2:37" x14ac:dyDescent="0.25">
      <c r="B8" s="32" t="s">
        <v>66</v>
      </c>
      <c r="C8" s="31">
        <f>C7/TAN(RADIANS(C5))</f>
        <v>583.86722689075623</v>
      </c>
      <c r="E8" s="3" t="s">
        <v>106</v>
      </c>
      <c r="F8" s="3" t="s">
        <v>24</v>
      </c>
      <c r="G8" s="3" t="s">
        <v>36</v>
      </c>
      <c r="H8" s="3" t="s">
        <v>133</v>
      </c>
      <c r="I8" s="3" t="s">
        <v>90</v>
      </c>
      <c r="J8" s="3"/>
      <c r="L8" s="1" t="s">
        <v>27</v>
      </c>
      <c r="M8" s="3"/>
      <c r="N8" s="3">
        <v>-10</v>
      </c>
      <c r="O8" s="3">
        <v>-20</v>
      </c>
      <c r="P8" s="3"/>
      <c r="R8" s="1" t="s">
        <v>27</v>
      </c>
      <c r="S8" s="3">
        <v>225</v>
      </c>
      <c r="T8" s="3">
        <v>275</v>
      </c>
      <c r="U8" s="3"/>
      <c r="V8" s="3">
        <v>-5</v>
      </c>
      <c r="W8" s="3">
        <v>30</v>
      </c>
      <c r="X8" s="16"/>
      <c r="Y8" s="14"/>
      <c r="Z8" s="14"/>
      <c r="AA8" s="3">
        <v>200</v>
      </c>
      <c r="AB8" s="3"/>
    </row>
    <row r="9" spans="2:37" x14ac:dyDescent="0.25">
      <c r="B9" s="33" t="s">
        <v>19</v>
      </c>
      <c r="C9" s="30">
        <v>135</v>
      </c>
      <c r="E9" s="4" t="s">
        <v>99</v>
      </c>
      <c r="F9" s="4" t="s">
        <v>24</v>
      </c>
      <c r="G9" s="4" t="s">
        <v>36</v>
      </c>
      <c r="H9" s="4" t="s">
        <v>133</v>
      </c>
      <c r="I9" s="4" t="s">
        <v>90</v>
      </c>
      <c r="J9" s="4"/>
      <c r="L9" s="2" t="s">
        <v>38</v>
      </c>
      <c r="M9" s="4"/>
      <c r="N9" s="4"/>
      <c r="O9" s="4"/>
      <c r="P9" s="4">
        <v>20</v>
      </c>
      <c r="R9" s="2" t="s">
        <v>38</v>
      </c>
      <c r="S9" s="4">
        <v>160</v>
      </c>
      <c r="T9" s="4">
        <v>200</v>
      </c>
      <c r="U9" s="4"/>
      <c r="V9" s="4"/>
      <c r="W9" s="4"/>
      <c r="X9" s="15"/>
      <c r="Y9" s="13"/>
      <c r="Z9" s="13"/>
      <c r="AA9" s="4"/>
      <c r="AB9" s="4"/>
    </row>
    <row r="10" spans="2:37" x14ac:dyDescent="0.25">
      <c r="E10" s="3" t="s">
        <v>107</v>
      </c>
      <c r="F10" s="3" t="s">
        <v>24</v>
      </c>
      <c r="G10" s="3" t="s">
        <v>36</v>
      </c>
      <c r="H10" s="3" t="s">
        <v>134</v>
      </c>
      <c r="I10" s="3" t="s">
        <v>90</v>
      </c>
      <c r="J10" s="3"/>
      <c r="L10" s="1"/>
      <c r="M10" s="3"/>
      <c r="N10" s="3"/>
      <c r="O10" s="3"/>
      <c r="P10" s="3"/>
      <c r="R10" s="1" t="s">
        <v>58</v>
      </c>
      <c r="S10" s="3">
        <v>225</v>
      </c>
      <c r="T10" s="3">
        <v>275</v>
      </c>
      <c r="U10" s="3">
        <v>-30</v>
      </c>
      <c r="V10" s="3">
        <v>-40</v>
      </c>
      <c r="W10" s="3">
        <v>30</v>
      </c>
      <c r="X10" s="16"/>
      <c r="Y10" s="14"/>
      <c r="Z10" s="14"/>
      <c r="AA10" s="3">
        <v>10330</v>
      </c>
      <c r="AB10" s="3"/>
    </row>
    <row r="11" spans="2:37" x14ac:dyDescent="0.25">
      <c r="B11" s="146" t="s">
        <v>97</v>
      </c>
      <c r="C11" s="146"/>
      <c r="E11" s="4" t="s">
        <v>108</v>
      </c>
      <c r="F11" s="4" t="s">
        <v>24</v>
      </c>
      <c r="G11" s="4" t="s">
        <v>36</v>
      </c>
      <c r="H11" s="4"/>
      <c r="I11" s="4" t="s">
        <v>90</v>
      </c>
      <c r="J11" s="4"/>
      <c r="L11" s="2"/>
      <c r="M11" s="4"/>
      <c r="N11" s="4"/>
      <c r="O11" s="4"/>
      <c r="P11" s="4"/>
      <c r="R11" s="2" t="s">
        <v>158</v>
      </c>
      <c r="S11" s="4">
        <v>225</v>
      </c>
      <c r="T11" s="4">
        <v>275</v>
      </c>
      <c r="U11" s="4">
        <v>-15</v>
      </c>
      <c r="V11" s="4">
        <v>-30</v>
      </c>
      <c r="W11" s="4">
        <v>30</v>
      </c>
      <c r="X11" s="15">
        <v>4.8</v>
      </c>
      <c r="Y11" s="13"/>
      <c r="Z11" s="13"/>
      <c r="AA11" s="4">
        <v>1300</v>
      </c>
      <c r="AB11" s="4"/>
    </row>
    <row r="12" spans="2:37" x14ac:dyDescent="0.25">
      <c r="B12" s="2" t="s">
        <v>94</v>
      </c>
      <c r="C12" s="27" t="b">
        <v>0</v>
      </c>
      <c r="E12" s="3" t="s">
        <v>109</v>
      </c>
      <c r="F12" s="3" t="s">
        <v>24</v>
      </c>
      <c r="G12" s="3" t="s">
        <v>36</v>
      </c>
      <c r="H12" s="3"/>
      <c r="I12" s="3" t="s">
        <v>90</v>
      </c>
      <c r="J12" s="3"/>
      <c r="L12" s="1"/>
      <c r="M12" s="3"/>
      <c r="N12" s="3"/>
      <c r="O12" s="3"/>
      <c r="P12" s="3"/>
      <c r="R12" s="1"/>
      <c r="S12" s="3"/>
      <c r="T12" s="3"/>
      <c r="U12" s="3"/>
      <c r="V12" s="3"/>
      <c r="W12" s="3"/>
      <c r="X12" s="16"/>
      <c r="Y12" s="14"/>
      <c r="Z12" s="14"/>
      <c r="AA12" s="3"/>
      <c r="AB12" s="3"/>
    </row>
    <row r="13" spans="2:37" x14ac:dyDescent="0.25">
      <c r="B13" s="1" t="s">
        <v>95</v>
      </c>
      <c r="C13" s="28">
        <v>3</v>
      </c>
      <c r="E13" s="4" t="s">
        <v>110</v>
      </c>
      <c r="F13" s="4" t="s">
        <v>24</v>
      </c>
      <c r="G13" s="4" t="s">
        <v>36</v>
      </c>
      <c r="H13" s="4"/>
      <c r="I13" s="4" t="s">
        <v>90</v>
      </c>
      <c r="J13" s="4"/>
      <c r="L13" s="2"/>
      <c r="M13" s="4"/>
      <c r="N13" s="4"/>
      <c r="O13" s="4"/>
      <c r="P13" s="4"/>
      <c r="R13" s="2"/>
      <c r="S13" s="4"/>
      <c r="T13" s="4"/>
      <c r="U13" s="4"/>
      <c r="V13" s="4"/>
      <c r="W13" s="4"/>
      <c r="X13" s="15"/>
      <c r="Y13" s="13"/>
      <c r="Z13" s="13"/>
      <c r="AA13" s="4"/>
      <c r="AB13" s="4"/>
    </row>
    <row r="14" spans="2:37" x14ac:dyDescent="0.25">
      <c r="B14" s="2" t="s">
        <v>96</v>
      </c>
      <c r="C14" s="29">
        <v>1</v>
      </c>
      <c r="E14" s="3" t="s">
        <v>111</v>
      </c>
      <c r="F14" s="3" t="s">
        <v>24</v>
      </c>
      <c r="G14" s="3" t="s">
        <v>36</v>
      </c>
      <c r="H14" s="3"/>
      <c r="I14" s="3" t="s">
        <v>90</v>
      </c>
      <c r="J14" s="3"/>
      <c r="L14" s="1"/>
      <c r="M14" s="3"/>
      <c r="N14" s="3"/>
      <c r="O14" s="3"/>
      <c r="P14" s="3"/>
      <c r="R14" s="1"/>
      <c r="S14" s="3"/>
      <c r="T14" s="3"/>
      <c r="U14" s="3"/>
      <c r="V14" s="3"/>
      <c r="W14" s="3"/>
      <c r="X14" s="16"/>
      <c r="Y14" s="14"/>
      <c r="Z14" s="14"/>
      <c r="AA14" s="3"/>
      <c r="AB14" s="3"/>
    </row>
    <row r="15" spans="2:37" x14ac:dyDescent="0.25">
      <c r="E15" s="4" t="s">
        <v>112</v>
      </c>
      <c r="F15" s="4" t="s">
        <v>24</v>
      </c>
      <c r="G15" s="4" t="s">
        <v>36</v>
      </c>
      <c r="H15" s="4"/>
      <c r="I15" s="4" t="s">
        <v>90</v>
      </c>
      <c r="J15" s="4"/>
      <c r="L15" s="2"/>
      <c r="M15" s="4"/>
      <c r="N15" s="4"/>
      <c r="O15" s="4"/>
      <c r="P15" s="4"/>
      <c r="R15" s="2"/>
      <c r="S15" s="4"/>
      <c r="T15" s="4"/>
      <c r="U15" s="4"/>
      <c r="V15" s="4"/>
      <c r="W15" s="4"/>
      <c r="X15" s="15"/>
      <c r="Y15" s="13"/>
      <c r="Z15" s="13"/>
      <c r="AA15" s="4"/>
      <c r="AB15" s="4"/>
    </row>
    <row r="16" spans="2:37" x14ac:dyDescent="0.25">
      <c r="E16" s="3" t="s">
        <v>113</v>
      </c>
      <c r="F16" s="3" t="s">
        <v>24</v>
      </c>
      <c r="G16" s="3" t="s">
        <v>36</v>
      </c>
      <c r="H16" s="3" t="s">
        <v>133</v>
      </c>
      <c r="I16" s="3" t="s">
        <v>90</v>
      </c>
      <c r="J16" s="3"/>
      <c r="L16" s="1"/>
      <c r="M16" s="3"/>
      <c r="N16" s="3"/>
      <c r="O16" s="3"/>
      <c r="P16" s="3"/>
      <c r="R16" s="1"/>
      <c r="S16" s="3"/>
      <c r="T16" s="3"/>
      <c r="U16" s="3"/>
      <c r="V16" s="3"/>
      <c r="W16" s="3"/>
      <c r="X16" s="16"/>
      <c r="Y16" s="14"/>
      <c r="Z16" s="14"/>
      <c r="AA16" s="3"/>
      <c r="AB16" s="3"/>
      <c r="AJ16" s="150" t="b">
        <v>0</v>
      </c>
      <c r="AK16" s="148" t="s">
        <v>92</v>
      </c>
    </row>
    <row r="17" spans="1:37" x14ac:dyDescent="0.25">
      <c r="B17" s="5" t="s">
        <v>62</v>
      </c>
      <c r="C17" s="5" t="s">
        <v>63</v>
      </c>
      <c r="E17" s="4" t="s">
        <v>114</v>
      </c>
      <c r="F17" s="4" t="s">
        <v>24</v>
      </c>
      <c r="G17" s="4" t="s">
        <v>36</v>
      </c>
      <c r="H17" s="4"/>
      <c r="I17" s="4" t="s">
        <v>90</v>
      </c>
      <c r="J17" s="4"/>
      <c r="AJ17" s="151"/>
      <c r="AK17" s="149"/>
    </row>
    <row r="18" spans="1:37" x14ac:dyDescent="0.25">
      <c r="A18" s="142" t="s">
        <v>50</v>
      </c>
      <c r="B18" s="1" t="s">
        <v>38</v>
      </c>
      <c r="C18" s="1" t="s">
        <v>28</v>
      </c>
      <c r="E18" s="3" t="s">
        <v>115</v>
      </c>
      <c r="F18" s="3" t="s">
        <v>24</v>
      </c>
      <c r="G18" s="3" t="s">
        <v>36</v>
      </c>
      <c r="H18" s="3" t="s">
        <v>133</v>
      </c>
      <c r="I18" s="3" t="s">
        <v>90</v>
      </c>
      <c r="J18" s="3"/>
      <c r="L18" s="145" t="s">
        <v>79</v>
      </c>
      <c r="M18" s="145"/>
      <c r="N18" s="145"/>
      <c r="O18" s="145"/>
      <c r="P18" s="145"/>
      <c r="R18" s="145" t="s">
        <v>75</v>
      </c>
      <c r="S18" s="145"/>
      <c r="T18" s="145"/>
      <c r="U18" s="145"/>
      <c r="V18" s="145"/>
      <c r="X18" s="145" t="s">
        <v>43</v>
      </c>
      <c r="Y18" s="145"/>
      <c r="Z18" s="145"/>
      <c r="AA18" s="145"/>
      <c r="AB18" s="145"/>
      <c r="AD18" s="145" t="s">
        <v>83</v>
      </c>
      <c r="AE18" s="145"/>
      <c r="AF18" s="145"/>
      <c r="AG18" s="145"/>
      <c r="AH18" s="145"/>
      <c r="AJ18" s="153" t="s">
        <v>64</v>
      </c>
      <c r="AK18" s="154"/>
    </row>
    <row r="19" spans="1:37" x14ac:dyDescent="0.25">
      <c r="A19" s="143"/>
      <c r="B19" s="2" t="s">
        <v>9</v>
      </c>
      <c r="C19" s="2" t="s">
        <v>28</v>
      </c>
      <c r="E19" s="4" t="s">
        <v>116</v>
      </c>
      <c r="F19" s="4" t="s">
        <v>93</v>
      </c>
      <c r="G19" s="4" t="s">
        <v>36</v>
      </c>
      <c r="H19" s="4"/>
      <c r="I19" s="4" t="s">
        <v>90</v>
      </c>
      <c r="J19" s="4"/>
      <c r="L19" s="1"/>
      <c r="M19" s="8" t="s">
        <v>30</v>
      </c>
      <c r="N19" s="8" t="s">
        <v>5</v>
      </c>
      <c r="O19" s="8" t="s">
        <v>40</v>
      </c>
      <c r="P19" s="8" t="s">
        <v>41</v>
      </c>
      <c r="R19" s="1"/>
      <c r="S19" s="8" t="s">
        <v>30</v>
      </c>
      <c r="T19" s="8" t="s">
        <v>5</v>
      </c>
      <c r="U19" s="8" t="s">
        <v>40</v>
      </c>
      <c r="V19" s="8" t="s">
        <v>46</v>
      </c>
      <c r="X19" s="1"/>
      <c r="Y19" s="8" t="s">
        <v>30</v>
      </c>
      <c r="Z19" s="8" t="s">
        <v>5</v>
      </c>
      <c r="AA19" s="8" t="s">
        <v>40</v>
      </c>
      <c r="AB19" s="8" t="s">
        <v>41</v>
      </c>
      <c r="AD19" s="1"/>
      <c r="AE19" s="8" t="s">
        <v>30</v>
      </c>
      <c r="AF19" s="8" t="s">
        <v>5</v>
      </c>
      <c r="AG19" s="8" t="s">
        <v>40</v>
      </c>
      <c r="AH19" s="8" t="s">
        <v>41</v>
      </c>
      <c r="AJ19" s="25"/>
      <c r="AK19" s="26" t="s">
        <v>51</v>
      </c>
    </row>
    <row r="20" spans="1:37" x14ac:dyDescent="0.25">
      <c r="A20" s="143"/>
      <c r="B20" s="1" t="s">
        <v>11</v>
      </c>
      <c r="C20" s="1" t="s">
        <v>28</v>
      </c>
      <c r="E20" s="3" t="s">
        <v>117</v>
      </c>
      <c r="F20" s="3" t="s">
        <v>93</v>
      </c>
      <c r="G20" s="3" t="s">
        <v>36</v>
      </c>
      <c r="H20" s="3"/>
      <c r="I20" s="3" t="s">
        <v>90</v>
      </c>
      <c r="J20" s="3"/>
      <c r="L20" s="2" t="s">
        <v>9</v>
      </c>
      <c r="M20" s="2" t="str">
        <f>IF(AND(ISNUMBER(M3),ISNUMBER(Y20)),Y20*((100+M3)/100),"")</f>
        <v/>
      </c>
      <c r="N20" s="2" t="str">
        <f>IF(AND(ISNUMBER(N3),ISNUMBER(Z20)),Z20*((100+N3)/100),"")</f>
        <v/>
      </c>
      <c r="O20" s="2" t="str">
        <f>IF(AND(ISNUMBER(O3),ISNUMBER(AA20)),AA20*((100+O3)/100),"")</f>
        <v/>
      </c>
      <c r="P20" s="2" t="str">
        <f>IF(AND(ISNUMBER(P3),ISNUMBER(AH20)),AH20*((100+P3)/100),"")</f>
        <v/>
      </c>
      <c r="R20" s="2" t="s">
        <v>9</v>
      </c>
      <c r="S20" s="2"/>
      <c r="T20" s="2"/>
      <c r="U20" s="2"/>
      <c r="V20" s="2" t="e">
        <f>MAX(#REF!,IF($AJ$16=TRUE,AK20,0))</f>
        <v>#REF!</v>
      </c>
      <c r="X20" s="2" t="s">
        <v>9</v>
      </c>
      <c r="Y20" s="2"/>
      <c r="Z20" s="2"/>
      <c r="AA20" s="2"/>
      <c r="AB20" s="2" t="e">
        <f>#REF!</f>
        <v>#REF!</v>
      </c>
      <c r="AD20" s="2" t="s">
        <v>9</v>
      </c>
      <c r="AE20" s="2"/>
      <c r="AF20" s="2"/>
      <c r="AG20" s="2"/>
      <c r="AH20" s="2" t="e">
        <f>#REF!</f>
        <v>#REF!</v>
      </c>
      <c r="AJ20" s="2" t="s">
        <v>9</v>
      </c>
      <c r="AK20" s="2" t="e">
        <f>#REF!</f>
        <v>#REF!</v>
      </c>
    </row>
    <row r="21" spans="1:37" x14ac:dyDescent="0.25">
      <c r="A21" s="143"/>
      <c r="B21" s="2" t="s">
        <v>26</v>
      </c>
      <c r="C21" s="2" t="s">
        <v>28</v>
      </c>
      <c r="E21" s="4" t="s">
        <v>118</v>
      </c>
      <c r="F21" s="4" t="s">
        <v>93</v>
      </c>
      <c r="G21" s="4" t="s">
        <v>36</v>
      </c>
      <c r="H21" s="4"/>
      <c r="I21" s="4" t="s">
        <v>90</v>
      </c>
      <c r="J21" s="4"/>
      <c r="L21" s="1" t="s">
        <v>11</v>
      </c>
      <c r="M21" s="1" t="str">
        <f t="shared" ref="M21:M33" si="0">IF(AND(ISNUMBER(M4),ISNUMBER(Y21)),Y21*((100+M4)/100),"")</f>
        <v/>
      </c>
      <c r="N21" s="1" t="str">
        <f>IF(AND(ISNUMBER(N4),ISNUMBER(Z21)),Z21*((100+N4)/100),"")</f>
        <v/>
      </c>
      <c r="O21" s="1" t="str">
        <f>IF(AND(ISNUMBER(O4),ISNUMBER(AA21)),AA21*((100+O4)/100),"")</f>
        <v/>
      </c>
      <c r="P21" s="1" t="str">
        <f>IF(AND(ISNUMBER(P4),ISNUMBER(AH21)),AH21*((100+P4)/100),"")</f>
        <v/>
      </c>
      <c r="R21" s="1" t="s">
        <v>11</v>
      </c>
      <c r="S21" s="1"/>
      <c r="T21" s="1"/>
      <c r="U21" s="1"/>
      <c r="V21" s="1" t="e">
        <f>MAX(#REF!,IF($AJ$16=TRUE,AK21,0))</f>
        <v>#REF!</v>
      </c>
      <c r="X21" s="1" t="s">
        <v>11</v>
      </c>
      <c r="Y21" s="1"/>
      <c r="Z21" s="1"/>
      <c r="AA21" s="1"/>
      <c r="AB21" s="1" t="e">
        <f>#REF!</f>
        <v>#REF!</v>
      </c>
      <c r="AD21" s="1" t="s">
        <v>11</v>
      </c>
      <c r="AE21" s="1"/>
      <c r="AF21" s="1"/>
      <c r="AG21" s="1"/>
      <c r="AH21" s="1" t="e">
        <f>#REF!</f>
        <v>#REF!</v>
      </c>
      <c r="AJ21" s="1" t="s">
        <v>11</v>
      </c>
      <c r="AK21" s="1" t="e">
        <f>#REF!</f>
        <v>#REF!</v>
      </c>
    </row>
    <row r="22" spans="1:37" x14ac:dyDescent="0.25">
      <c r="A22" s="143"/>
      <c r="B22" s="1" t="s">
        <v>25</v>
      </c>
      <c r="C22" s="1" t="s">
        <v>29</v>
      </c>
      <c r="E22" s="3" t="s">
        <v>119</v>
      </c>
      <c r="F22" s="3" t="s">
        <v>93</v>
      </c>
      <c r="G22" s="3" t="s">
        <v>36</v>
      </c>
      <c r="H22" s="3"/>
      <c r="I22" s="3" t="s">
        <v>90</v>
      </c>
      <c r="J22" s="3"/>
      <c r="L22" s="2" t="s">
        <v>26</v>
      </c>
      <c r="M22" s="2" t="str">
        <f t="shared" si="0"/>
        <v/>
      </c>
      <c r="N22" s="2" t="str">
        <f>IF(AND(ISNUMBER(N5),ISNUMBER(Z22)),Z22*((100+N5)/100),"")</f>
        <v/>
      </c>
      <c r="O22" s="2" t="str">
        <f>IF(AND(ISNUMBER(O5),ISNUMBER(AA22)),AA22*((100+O5)/100),"")</f>
        <v/>
      </c>
      <c r="P22" s="2" t="str">
        <f>IF(AND(ISNUMBER(P5),ISNUMBER(AH22)),AH22*((100+P5)/100),"")</f>
        <v/>
      </c>
      <c r="R22" s="2" t="s">
        <v>26</v>
      </c>
      <c r="S22" s="2"/>
      <c r="T22" s="2"/>
      <c r="U22" s="2"/>
      <c r="V22" s="2" t="e">
        <f>MAX(#REF!,IF($AJ$16=TRUE,AK22,0))</f>
        <v>#REF!</v>
      </c>
      <c r="X22" s="2" t="s">
        <v>26</v>
      </c>
      <c r="Y22" s="2"/>
      <c r="Z22" s="2"/>
      <c r="AA22" s="2"/>
      <c r="AB22" s="2" t="e">
        <f>#REF!</f>
        <v>#REF!</v>
      </c>
      <c r="AD22" s="2" t="s">
        <v>26</v>
      </c>
      <c r="AE22" s="2"/>
      <c r="AF22" s="2"/>
      <c r="AG22" s="2"/>
      <c r="AH22" s="2" t="e">
        <f>#REF!</f>
        <v>#REF!</v>
      </c>
      <c r="AJ22" s="2" t="s">
        <v>26</v>
      </c>
      <c r="AK22" s="2" t="e">
        <f>#REF!</f>
        <v>#REF!</v>
      </c>
    </row>
    <row r="23" spans="1:37" x14ac:dyDescent="0.25">
      <c r="A23" s="143"/>
      <c r="B23" s="2" t="s">
        <v>42</v>
      </c>
      <c r="C23" s="2" t="s">
        <v>29</v>
      </c>
      <c r="E23" s="4" t="s">
        <v>120</v>
      </c>
      <c r="F23" s="4" t="s">
        <v>93</v>
      </c>
      <c r="G23" s="4" t="s">
        <v>36</v>
      </c>
      <c r="H23" s="4" t="s">
        <v>133</v>
      </c>
      <c r="I23" s="4" t="s">
        <v>90</v>
      </c>
      <c r="J23" s="4"/>
      <c r="L23" s="1" t="s">
        <v>25</v>
      </c>
      <c r="M23" s="1" t="str">
        <f>IF(AND(ISNUMBER(M6),ISNUMBER(AE23)),AE23*((100+M6)/100),"")</f>
        <v/>
      </c>
      <c r="N23" s="1" t="str">
        <f>IF(AND(ISNUMBER(N6),ISNUMBER(AF23)),AF23*((100+N6)/100),"")</f>
        <v/>
      </c>
      <c r="O23" s="1" t="str">
        <f>IF(AND(ISNUMBER(O6),ISNUMBER(AA23)),AA23*((100+O6)/100),"")</f>
        <v/>
      </c>
      <c r="P23" s="1" t="str">
        <f>IF(AND(ISNUMBER(P6),ISNUMBER(AB23)),AB23*((100+P6)/100),"")</f>
        <v/>
      </c>
      <c r="R23" s="1" t="s">
        <v>25</v>
      </c>
      <c r="S23" s="1">
        <v>0</v>
      </c>
      <c r="T23" s="1">
        <v>0</v>
      </c>
      <c r="U23" s="1"/>
      <c r="V23" s="1"/>
      <c r="X23" s="1" t="s">
        <v>25</v>
      </c>
      <c r="Y23" s="17" t="e">
        <f>#REF!</f>
        <v>#REF!</v>
      </c>
      <c r="Z23" s="1" t="e">
        <f>#REF!</f>
        <v>#REF!</v>
      </c>
      <c r="AA23" s="1"/>
      <c r="AB23" s="1"/>
      <c r="AD23" s="1" t="s">
        <v>25</v>
      </c>
      <c r="AE23" s="17" t="e">
        <f>#REF!</f>
        <v>#REF!</v>
      </c>
      <c r="AF23" s="1" t="e">
        <f>#REF!</f>
        <v>#REF!</v>
      </c>
      <c r="AG23" s="1"/>
      <c r="AH23" s="1"/>
      <c r="AJ23" s="17" t="s">
        <v>25</v>
      </c>
      <c r="AK23" s="17"/>
    </row>
    <row r="24" spans="1:37" x14ac:dyDescent="0.25">
      <c r="A24" s="143"/>
      <c r="B24" s="1" t="s">
        <v>27</v>
      </c>
      <c r="C24" s="1" t="s">
        <v>31</v>
      </c>
      <c r="E24" s="3" t="s">
        <v>121</v>
      </c>
      <c r="F24" s="3" t="s">
        <v>93</v>
      </c>
      <c r="G24" s="3" t="s">
        <v>36</v>
      </c>
      <c r="H24" s="3"/>
      <c r="I24" s="3" t="s">
        <v>90</v>
      </c>
      <c r="J24" s="3"/>
      <c r="L24" s="2" t="s">
        <v>3</v>
      </c>
      <c r="M24" s="2" t="str">
        <f t="shared" si="0"/>
        <v/>
      </c>
      <c r="N24" s="2" t="str">
        <f>IF(AND(ISNUMBER(N7),ISNUMBER(Z24)),Z24*((100+N7)/100),"")</f>
        <v/>
      </c>
      <c r="O24" s="2" t="str">
        <f>IF(AND(ISNUMBER(O7),ISNUMBER(AA24)),AA24*((100+O7)/100),"")</f>
        <v/>
      </c>
      <c r="P24" s="2" t="str">
        <f>IF(AND(ISNUMBER(P7),ISNUMBER(AB24)),AB24*((100+P7)/100),"")</f>
        <v/>
      </c>
      <c r="R24" s="2" t="s">
        <v>3</v>
      </c>
      <c r="S24" s="2">
        <v>0</v>
      </c>
      <c r="T24" s="2">
        <v>0</v>
      </c>
      <c r="U24" s="2"/>
      <c r="V24" s="2"/>
      <c r="X24" s="2" t="s">
        <v>3</v>
      </c>
      <c r="Y24" s="24" t="e">
        <f>#REF!</f>
        <v>#REF!</v>
      </c>
      <c r="Z24" s="2" t="e">
        <f>#REF!</f>
        <v>#REF!</v>
      </c>
      <c r="AA24" s="2"/>
      <c r="AB24" s="2"/>
      <c r="AD24" s="2" t="s">
        <v>3</v>
      </c>
      <c r="AE24" s="24" t="e">
        <f>#REF!</f>
        <v>#REF!</v>
      </c>
      <c r="AF24" s="2" t="e">
        <f>#REF!</f>
        <v>#REF!</v>
      </c>
      <c r="AG24" s="2"/>
      <c r="AH24" s="2"/>
      <c r="AJ24" s="2" t="s">
        <v>3</v>
      </c>
      <c r="AK24" s="2"/>
    </row>
    <row r="25" spans="1:37" x14ac:dyDescent="0.25">
      <c r="A25" s="143"/>
      <c r="B25" s="2" t="s">
        <v>3</v>
      </c>
      <c r="C25" s="2" t="s">
        <v>87</v>
      </c>
      <c r="E25" s="4" t="s">
        <v>122</v>
      </c>
      <c r="F25" s="4" t="s">
        <v>93</v>
      </c>
      <c r="G25" s="4" t="s">
        <v>36</v>
      </c>
      <c r="H25" s="4" t="s">
        <v>133</v>
      </c>
      <c r="I25" s="4" t="s">
        <v>90</v>
      </c>
      <c r="J25" s="4"/>
      <c r="L25" s="1" t="s">
        <v>27</v>
      </c>
      <c r="M25" s="1" t="str">
        <f t="shared" si="0"/>
        <v/>
      </c>
      <c r="N25" s="1" t="str">
        <f>IF(AND(ISNUMBER(N8),ISNUMBER(AF25)),AF25*((100+N8)/100),"")</f>
        <v/>
      </c>
      <c r="O25" s="1" t="str">
        <f>IF(AND(ISNUMBER(O8),ISNUMBER(AG25)),AG25*((100+O8)/100),"")</f>
        <v/>
      </c>
      <c r="P25" s="1" t="str">
        <f>IF(AND(ISNUMBER(P8),ISNUMBER(AB25)),AB25*((100+P8)/100),"")</f>
        <v/>
      </c>
      <c r="R25" s="1" t="s">
        <v>27</v>
      </c>
      <c r="S25" s="1"/>
      <c r="T25" s="1">
        <v>0</v>
      </c>
      <c r="U25" s="1">
        <v>0</v>
      </c>
      <c r="V25" s="1"/>
      <c r="X25" s="1" t="s">
        <v>27</v>
      </c>
      <c r="Y25" s="1"/>
      <c r="Z25" s="1" t="e">
        <f>#REF!</f>
        <v>#REF!</v>
      </c>
      <c r="AA25" s="1" t="e">
        <f>#REF!</f>
        <v>#REF!</v>
      </c>
      <c r="AB25" s="1"/>
      <c r="AD25" s="1" t="s">
        <v>27</v>
      </c>
      <c r="AE25" s="1"/>
      <c r="AF25" s="1" t="e">
        <f>#REF!</f>
        <v>#REF!</v>
      </c>
      <c r="AG25" s="1" t="e">
        <f>#REF!</f>
        <v>#REF!</v>
      </c>
      <c r="AH25" s="1"/>
      <c r="AJ25" s="1" t="s">
        <v>27</v>
      </c>
      <c r="AK25" s="1"/>
    </row>
    <row r="26" spans="1:37" x14ac:dyDescent="0.25">
      <c r="A26" s="143"/>
      <c r="B26" s="1" t="s">
        <v>58</v>
      </c>
      <c r="C26" s="1" t="s">
        <v>28</v>
      </c>
      <c r="E26" s="3" t="s">
        <v>123</v>
      </c>
      <c r="F26" s="3" t="s">
        <v>93</v>
      </c>
      <c r="G26" s="3" t="s">
        <v>36</v>
      </c>
      <c r="H26" s="3" t="s">
        <v>133</v>
      </c>
      <c r="I26" s="3" t="s">
        <v>90</v>
      </c>
      <c r="J26" s="3"/>
      <c r="L26" s="2" t="s">
        <v>38</v>
      </c>
      <c r="M26" s="2" t="str">
        <f t="shared" si="0"/>
        <v/>
      </c>
      <c r="N26" s="2" t="str">
        <f t="shared" ref="N26:O33" si="1">IF(AND(ISNUMBER(N9),ISNUMBER(Z26)),Z26*((100+N9)/100),"")</f>
        <v/>
      </c>
      <c r="O26" s="2" t="str">
        <f t="shared" si="1"/>
        <v/>
      </c>
      <c r="P26" s="2" t="str">
        <f>IF(AND(ISNUMBER(P9),ISNUMBER(AH26)),AH26*((100+P9)/100),"")</f>
        <v/>
      </c>
      <c r="R26" s="2" t="s">
        <v>38</v>
      </c>
      <c r="S26" s="2"/>
      <c r="T26" s="2"/>
      <c r="U26" s="2"/>
      <c r="V26" s="2" t="e">
        <f>MAX(#REF!,IF($AJ$16=TRUE,AK26,0))</f>
        <v>#REF!</v>
      </c>
      <c r="X26" s="2" t="s">
        <v>38</v>
      </c>
      <c r="Y26" s="2"/>
      <c r="Z26" s="2"/>
      <c r="AA26" s="2"/>
      <c r="AB26" s="2" t="e">
        <f>#REF!</f>
        <v>#REF!</v>
      </c>
      <c r="AD26" s="2" t="s">
        <v>38</v>
      </c>
      <c r="AE26" s="2"/>
      <c r="AF26" s="2"/>
      <c r="AG26" s="2"/>
      <c r="AH26" s="2" t="e">
        <f>#REF!</f>
        <v>#REF!</v>
      </c>
      <c r="AJ26" s="2" t="s">
        <v>38</v>
      </c>
      <c r="AK26" s="2" t="e">
        <f>#REF!</f>
        <v>#REF!</v>
      </c>
    </row>
    <row r="27" spans="1:37" x14ac:dyDescent="0.25">
      <c r="A27" s="143"/>
      <c r="B27" s="2" t="s">
        <v>158</v>
      </c>
      <c r="C27" s="2" t="s">
        <v>28</v>
      </c>
      <c r="E27" s="4" t="s">
        <v>124</v>
      </c>
      <c r="F27" s="4" t="s">
        <v>93</v>
      </c>
      <c r="G27" s="4" t="s">
        <v>36</v>
      </c>
      <c r="H27" s="4"/>
      <c r="I27" s="4" t="s">
        <v>90</v>
      </c>
      <c r="J27" s="4"/>
      <c r="L27" s="1"/>
      <c r="M27" s="1" t="str">
        <f t="shared" si="0"/>
        <v/>
      </c>
      <c r="N27" s="1" t="str">
        <f t="shared" si="1"/>
        <v/>
      </c>
      <c r="O27" s="1" t="str">
        <f t="shared" si="1"/>
        <v/>
      </c>
      <c r="P27" s="1" t="str">
        <f t="shared" ref="P27:P33" si="2">IF(AND(ISNUMBER(P10),ISNUMBER(AB27)),AB27*((100+P10)/100),"")</f>
        <v/>
      </c>
      <c r="R27" s="1"/>
      <c r="S27" s="1"/>
      <c r="T27" s="1"/>
      <c r="U27" s="1"/>
      <c r="V27" s="1"/>
      <c r="X27" s="1"/>
      <c r="Y27" s="1"/>
      <c r="Z27" s="1"/>
      <c r="AA27" s="1"/>
      <c r="AB27" s="1"/>
      <c r="AD27" s="1"/>
      <c r="AE27" s="1"/>
      <c r="AF27" s="1"/>
      <c r="AG27" s="1"/>
      <c r="AH27" s="1"/>
      <c r="AJ27" s="1"/>
      <c r="AK27" s="1"/>
    </row>
    <row r="28" spans="1:37" x14ac:dyDescent="0.25">
      <c r="A28" s="143"/>
      <c r="B28" s="1"/>
      <c r="C28" s="1"/>
      <c r="E28" s="3" t="s">
        <v>125</v>
      </c>
      <c r="F28" s="3" t="s">
        <v>93</v>
      </c>
      <c r="G28" s="3" t="s">
        <v>36</v>
      </c>
      <c r="H28" s="3"/>
      <c r="I28" s="3" t="s">
        <v>90</v>
      </c>
      <c r="J28" s="3"/>
      <c r="L28" s="2"/>
      <c r="M28" s="2" t="str">
        <f t="shared" si="0"/>
        <v/>
      </c>
      <c r="N28" s="2" t="str">
        <f t="shared" si="1"/>
        <v/>
      </c>
      <c r="O28" s="2" t="str">
        <f t="shared" si="1"/>
        <v/>
      </c>
      <c r="P28" s="2" t="str">
        <f t="shared" si="2"/>
        <v/>
      </c>
      <c r="R28" s="2"/>
      <c r="S28" s="2"/>
      <c r="T28" s="2"/>
      <c r="U28" s="2"/>
      <c r="V28" s="2"/>
      <c r="X28" s="2"/>
      <c r="Y28" s="2"/>
      <c r="Z28" s="2"/>
      <c r="AA28" s="2"/>
      <c r="AB28" s="2"/>
      <c r="AD28" s="2"/>
      <c r="AE28" s="2"/>
      <c r="AF28" s="2"/>
      <c r="AG28" s="2"/>
      <c r="AH28" s="2"/>
      <c r="AJ28" s="2"/>
      <c r="AK28" s="2"/>
    </row>
    <row r="29" spans="1:37" x14ac:dyDescent="0.25">
      <c r="A29" s="143"/>
      <c r="B29" s="2"/>
      <c r="C29" s="2"/>
      <c r="E29" s="4" t="s">
        <v>126</v>
      </c>
      <c r="F29" s="4" t="s">
        <v>93</v>
      </c>
      <c r="G29" s="4" t="s">
        <v>36</v>
      </c>
      <c r="H29" s="4"/>
      <c r="I29" s="4" t="s">
        <v>90</v>
      </c>
      <c r="J29" s="4"/>
      <c r="L29" s="1"/>
      <c r="M29" s="1" t="str">
        <f t="shared" si="0"/>
        <v/>
      </c>
      <c r="N29" s="1" t="str">
        <f t="shared" si="1"/>
        <v/>
      </c>
      <c r="O29" s="1" t="str">
        <f t="shared" si="1"/>
        <v/>
      </c>
      <c r="P29" s="1" t="str">
        <f t="shared" si="2"/>
        <v/>
      </c>
      <c r="R29" s="1"/>
      <c r="S29" s="1"/>
      <c r="T29" s="1"/>
      <c r="U29" s="1"/>
      <c r="V29" s="1"/>
      <c r="X29" s="1"/>
      <c r="Y29" s="1"/>
      <c r="Z29" s="1"/>
      <c r="AA29" s="1"/>
      <c r="AB29" s="1"/>
      <c r="AD29" s="1"/>
      <c r="AE29" s="1"/>
      <c r="AF29" s="1"/>
      <c r="AG29" s="1"/>
      <c r="AH29" s="1"/>
      <c r="AJ29" s="1"/>
      <c r="AK29" s="1"/>
    </row>
    <row r="30" spans="1:37" x14ac:dyDescent="0.25">
      <c r="A30" s="143"/>
      <c r="B30" s="1"/>
      <c r="C30" s="1"/>
      <c r="E30" s="3" t="s">
        <v>127</v>
      </c>
      <c r="F30" s="3" t="s">
        <v>93</v>
      </c>
      <c r="G30" s="3" t="s">
        <v>36</v>
      </c>
      <c r="H30" s="3" t="s">
        <v>133</v>
      </c>
      <c r="I30" s="3" t="s">
        <v>91</v>
      </c>
      <c r="J30" s="3"/>
      <c r="L30" s="2"/>
      <c r="M30" s="2" t="str">
        <f t="shared" si="0"/>
        <v/>
      </c>
      <c r="N30" s="2" t="str">
        <f t="shared" si="1"/>
        <v/>
      </c>
      <c r="O30" s="2" t="str">
        <f t="shared" si="1"/>
        <v/>
      </c>
      <c r="P30" s="2" t="str">
        <f t="shared" si="2"/>
        <v/>
      </c>
      <c r="R30" s="2"/>
      <c r="S30" s="2"/>
      <c r="T30" s="2"/>
      <c r="U30" s="2"/>
      <c r="V30" s="2"/>
      <c r="X30" s="2"/>
      <c r="Y30" s="2"/>
      <c r="Z30" s="2"/>
      <c r="AA30" s="2"/>
      <c r="AB30" s="2"/>
      <c r="AD30" s="2"/>
      <c r="AE30" s="2"/>
      <c r="AF30" s="2"/>
      <c r="AG30" s="2"/>
      <c r="AH30" s="2"/>
      <c r="AJ30" s="2"/>
      <c r="AK30" s="2"/>
    </row>
    <row r="31" spans="1:37" x14ac:dyDescent="0.25">
      <c r="A31" s="143"/>
      <c r="B31" s="2"/>
      <c r="C31" s="2"/>
      <c r="E31" s="4" t="s">
        <v>128</v>
      </c>
      <c r="F31" s="3" t="s">
        <v>93</v>
      </c>
      <c r="G31" s="4" t="s">
        <v>36</v>
      </c>
      <c r="H31" s="4"/>
      <c r="I31" s="4" t="s">
        <v>91</v>
      </c>
      <c r="J31" s="4"/>
      <c r="L31" s="1"/>
      <c r="M31" s="1" t="str">
        <f t="shared" si="0"/>
        <v/>
      </c>
      <c r="N31" s="1" t="str">
        <f t="shared" si="1"/>
        <v/>
      </c>
      <c r="O31" s="1" t="str">
        <f t="shared" si="1"/>
        <v/>
      </c>
      <c r="P31" s="1" t="str">
        <f t="shared" si="2"/>
        <v/>
      </c>
      <c r="R31" s="1"/>
      <c r="S31" s="1"/>
      <c r="T31" s="1"/>
      <c r="U31" s="1"/>
      <c r="V31" s="1"/>
      <c r="X31" s="1"/>
      <c r="Y31" s="1"/>
      <c r="Z31" s="1"/>
      <c r="AA31" s="1"/>
      <c r="AB31" s="1"/>
      <c r="AD31" s="1"/>
      <c r="AE31" s="1"/>
      <c r="AF31" s="1"/>
      <c r="AG31" s="1"/>
      <c r="AH31" s="1"/>
      <c r="AJ31" s="1"/>
      <c r="AK31" s="1"/>
    </row>
    <row r="32" spans="1:37" x14ac:dyDescent="0.25">
      <c r="A32" s="143"/>
      <c r="B32" s="1"/>
      <c r="C32" s="1"/>
      <c r="E32" s="3" t="s">
        <v>129</v>
      </c>
      <c r="F32" s="3" t="s">
        <v>93</v>
      </c>
      <c r="G32" s="3" t="s">
        <v>36</v>
      </c>
      <c r="H32" s="3"/>
      <c r="I32" s="3" t="s">
        <v>91</v>
      </c>
      <c r="J32" s="3"/>
      <c r="L32" s="2"/>
      <c r="M32" s="2" t="str">
        <f t="shared" si="0"/>
        <v/>
      </c>
      <c r="N32" s="2" t="str">
        <f t="shared" si="1"/>
        <v/>
      </c>
      <c r="O32" s="2" t="str">
        <f t="shared" si="1"/>
        <v/>
      </c>
      <c r="P32" s="2" t="str">
        <f t="shared" si="2"/>
        <v/>
      </c>
      <c r="R32" s="2"/>
      <c r="S32" s="2"/>
      <c r="T32" s="2"/>
      <c r="U32" s="2"/>
      <c r="V32" s="2"/>
      <c r="X32" s="2"/>
      <c r="Y32" s="2"/>
      <c r="Z32" s="2"/>
      <c r="AA32" s="2"/>
      <c r="AB32" s="2"/>
      <c r="AD32" s="2"/>
      <c r="AE32" s="2"/>
      <c r="AF32" s="2"/>
      <c r="AG32" s="2"/>
      <c r="AH32" s="2"/>
      <c r="AJ32" s="2"/>
      <c r="AK32" s="2"/>
    </row>
    <row r="33" spans="1:37" x14ac:dyDescent="0.25">
      <c r="A33" s="143"/>
      <c r="B33" s="2"/>
      <c r="C33" s="2"/>
      <c r="E33" s="4" t="s">
        <v>130</v>
      </c>
      <c r="F33" s="3" t="s">
        <v>93</v>
      </c>
      <c r="G33" s="4" t="s">
        <v>36</v>
      </c>
      <c r="H33" s="4"/>
      <c r="I33" s="4" t="s">
        <v>91</v>
      </c>
      <c r="J33" s="4"/>
      <c r="L33" s="1"/>
      <c r="M33" s="1" t="str">
        <f t="shared" si="0"/>
        <v/>
      </c>
      <c r="N33" s="1" t="str">
        <f t="shared" si="1"/>
        <v/>
      </c>
      <c r="O33" s="1" t="str">
        <f t="shared" si="1"/>
        <v/>
      </c>
      <c r="P33" s="1" t="str">
        <f t="shared" si="2"/>
        <v/>
      </c>
      <c r="R33" s="1"/>
      <c r="S33" s="1"/>
      <c r="T33" s="1"/>
      <c r="U33" s="1"/>
      <c r="V33" s="1"/>
      <c r="X33" s="1"/>
      <c r="Y33" s="1"/>
      <c r="Z33" s="1"/>
      <c r="AA33" s="1"/>
      <c r="AB33" s="1"/>
      <c r="AD33" s="1"/>
      <c r="AE33" s="1"/>
      <c r="AF33" s="1"/>
      <c r="AG33" s="1"/>
      <c r="AH33" s="1"/>
      <c r="AJ33" s="1"/>
      <c r="AK33" s="1"/>
    </row>
    <row r="34" spans="1:37" x14ac:dyDescent="0.25">
      <c r="A34" s="143"/>
      <c r="B34" s="1"/>
      <c r="C34" s="1"/>
      <c r="E34" s="3" t="s">
        <v>131</v>
      </c>
      <c r="F34" s="3" t="s">
        <v>23</v>
      </c>
      <c r="G34" s="3" t="s">
        <v>36</v>
      </c>
      <c r="H34" s="3"/>
      <c r="I34" s="3" t="s">
        <v>91</v>
      </c>
      <c r="J34" s="3"/>
    </row>
    <row r="35" spans="1:37" x14ac:dyDescent="0.25">
      <c r="A35" s="143"/>
      <c r="B35" s="2"/>
      <c r="C35" s="2"/>
      <c r="E35" s="4" t="s">
        <v>145</v>
      </c>
      <c r="F35" s="3"/>
      <c r="G35" s="4"/>
      <c r="H35" s="4"/>
      <c r="I35" s="4"/>
      <c r="J35" s="4"/>
      <c r="L35" s="145" t="s">
        <v>80</v>
      </c>
      <c r="M35" s="145"/>
      <c r="N35" s="145"/>
      <c r="O35" s="145"/>
      <c r="P35" s="145"/>
      <c r="R35" s="145" t="s">
        <v>76</v>
      </c>
      <c r="S35" s="145"/>
      <c r="T35" s="145"/>
      <c r="U35" s="145"/>
      <c r="V35" s="145"/>
      <c r="X35" s="145" t="s">
        <v>45</v>
      </c>
      <c r="Y35" s="145"/>
      <c r="Z35" s="145"/>
      <c r="AA35" s="145"/>
      <c r="AB35" s="145"/>
      <c r="AD35" s="145" t="s">
        <v>84</v>
      </c>
      <c r="AE35" s="145"/>
      <c r="AF35" s="145"/>
      <c r="AG35" s="145"/>
      <c r="AH35" s="145"/>
      <c r="AJ35" s="147" t="s">
        <v>70</v>
      </c>
      <c r="AK35" s="147"/>
    </row>
    <row r="36" spans="1:37" x14ac:dyDescent="0.25">
      <c r="A36" s="143"/>
      <c r="B36" s="1"/>
      <c r="C36" s="1"/>
      <c r="E36" s="3"/>
      <c r="F36" s="3"/>
      <c r="G36" s="3"/>
      <c r="H36" s="3"/>
      <c r="I36" s="3"/>
      <c r="J36" s="3"/>
      <c r="L36" s="1"/>
      <c r="M36" s="8" t="s">
        <v>30</v>
      </c>
      <c r="N36" s="8" t="s">
        <v>39</v>
      </c>
      <c r="O36" s="8" t="s">
        <v>40</v>
      </c>
      <c r="P36" s="8" t="s">
        <v>41</v>
      </c>
      <c r="R36" s="1"/>
      <c r="S36" s="8" t="s">
        <v>30</v>
      </c>
      <c r="T36" s="8" t="s">
        <v>39</v>
      </c>
      <c r="U36" s="8" t="s">
        <v>40</v>
      </c>
      <c r="V36" s="8" t="s">
        <v>46</v>
      </c>
      <c r="X36" s="1"/>
      <c r="Y36" s="8" t="s">
        <v>30</v>
      </c>
      <c r="Z36" s="8" t="s">
        <v>39</v>
      </c>
      <c r="AA36" s="8" t="s">
        <v>40</v>
      </c>
      <c r="AB36" s="8" t="s">
        <v>41</v>
      </c>
      <c r="AD36" s="1"/>
      <c r="AE36" s="8" t="s">
        <v>30</v>
      </c>
      <c r="AF36" s="8" t="s">
        <v>39</v>
      </c>
      <c r="AG36" s="8" t="s">
        <v>40</v>
      </c>
      <c r="AH36" s="8" t="s">
        <v>41</v>
      </c>
      <c r="AJ36" s="1"/>
      <c r="AK36" s="8" t="s">
        <v>51</v>
      </c>
    </row>
    <row r="37" spans="1:37" x14ac:dyDescent="0.25">
      <c r="A37" s="143"/>
      <c r="B37" s="2"/>
      <c r="C37" s="2"/>
      <c r="E37" s="4"/>
      <c r="F37" s="3"/>
      <c r="G37" s="3"/>
      <c r="H37" s="3"/>
      <c r="I37" s="3"/>
      <c r="J37" s="4"/>
      <c r="L37" s="2" t="s">
        <v>9</v>
      </c>
      <c r="M37" s="2" t="str">
        <f>IF(AND(ISNUMBER(M3),ISNUMBER(Y37)),Y37*((100+M3)/100),"")</f>
        <v/>
      </c>
      <c r="N37" s="2" t="str">
        <f>IF(AND(ISNUMBER(N3),ISNUMBER(Z37)),Z37*((100+N3)/100),"")</f>
        <v/>
      </c>
      <c r="O37" s="2" t="str">
        <f>IF(AND(ISNUMBER(O3),ISNUMBER(AA37)),AA37*((100+O3)/100),"")</f>
        <v/>
      </c>
      <c r="P37" s="2" t="str">
        <f>IF(AND(ISNUMBER(P3),ISNUMBER(AH37)),AH37*((100+P3)/100),"")</f>
        <v/>
      </c>
      <c r="R37" s="2" t="s">
        <v>9</v>
      </c>
      <c r="S37" s="2"/>
      <c r="T37" s="2"/>
      <c r="U37" s="2"/>
      <c r="V37" s="2" t="e">
        <f>MAX(#REF!,IF($AJ$16=TRUE,AK37,0))</f>
        <v>#REF!</v>
      </c>
      <c r="X37" s="2" t="s">
        <v>9</v>
      </c>
      <c r="Y37" s="2"/>
      <c r="Z37" s="2"/>
      <c r="AA37" s="2"/>
      <c r="AB37" s="2" t="e">
        <f>#REF!</f>
        <v>#REF!</v>
      </c>
      <c r="AD37" s="2" t="s">
        <v>9</v>
      </c>
      <c r="AE37" s="2"/>
      <c r="AF37" s="2"/>
      <c r="AG37" s="2"/>
      <c r="AH37" s="2" t="e">
        <f>#REF!</f>
        <v>#REF!</v>
      </c>
      <c r="AJ37" s="2" t="s">
        <v>9</v>
      </c>
      <c r="AK37" s="2" t="e">
        <f>#REF!</f>
        <v>#REF!</v>
      </c>
    </row>
    <row r="38" spans="1:37" x14ac:dyDescent="0.25">
      <c r="A38" s="144"/>
      <c r="B38" s="1"/>
      <c r="C38" s="1"/>
      <c r="E38" s="3"/>
      <c r="F38" s="3"/>
      <c r="G38" s="3"/>
      <c r="H38" s="3"/>
      <c r="I38" s="3"/>
      <c r="J38" s="3"/>
      <c r="L38" s="1" t="s">
        <v>11</v>
      </c>
      <c r="M38" s="1" t="str">
        <f t="shared" ref="M38:M50" si="3">IF(AND(ISNUMBER(M4),ISNUMBER(Y38)),Y38*((100+M4)/100),"")</f>
        <v/>
      </c>
      <c r="N38" s="1" t="str">
        <f>IF(AND(ISNUMBER(N4),ISNUMBER(Z38)),Z38*((100+N4)/100),"")</f>
        <v/>
      </c>
      <c r="O38" s="1" t="str">
        <f>IF(AND(ISNUMBER(O4),ISNUMBER(AA38)),AA38*((100+O4)/100),"")</f>
        <v/>
      </c>
      <c r="P38" s="1" t="str">
        <f>IF(AND(ISNUMBER(P4),ISNUMBER(AH38)),AH38*((100+P4)/100),"")</f>
        <v/>
      </c>
      <c r="R38" s="1" t="s">
        <v>11</v>
      </c>
      <c r="S38" s="1"/>
      <c r="T38" s="1"/>
      <c r="U38" s="1"/>
      <c r="V38" s="1" t="e">
        <f>MAX(#REF!,IF($AJ$16=TRUE,AK38,0))</f>
        <v>#REF!</v>
      </c>
      <c r="X38" s="1" t="s">
        <v>11</v>
      </c>
      <c r="Y38" s="1"/>
      <c r="Z38" s="1"/>
      <c r="AA38" s="1"/>
      <c r="AB38" s="1" t="e">
        <f>#REF!</f>
        <v>#REF!</v>
      </c>
      <c r="AD38" s="1" t="s">
        <v>11</v>
      </c>
      <c r="AE38" s="1"/>
      <c r="AF38" s="1"/>
      <c r="AG38" s="1"/>
      <c r="AH38" s="1" t="e">
        <f>#REF!</f>
        <v>#REF!</v>
      </c>
      <c r="AJ38" s="1" t="s">
        <v>11</v>
      </c>
      <c r="AK38" s="1" t="e">
        <f>#REF!</f>
        <v>#REF!</v>
      </c>
    </row>
    <row r="39" spans="1:37" x14ac:dyDescent="0.25">
      <c r="E39" s="4"/>
      <c r="F39" s="3"/>
      <c r="G39" s="3"/>
      <c r="H39" s="3"/>
      <c r="I39" s="3"/>
      <c r="J39" s="4"/>
      <c r="L39" s="2" t="s">
        <v>26</v>
      </c>
      <c r="M39" s="2" t="str">
        <f t="shared" si="3"/>
        <v/>
      </c>
      <c r="N39" s="2" t="str">
        <f>IF(AND(ISNUMBER(N5),ISNUMBER(Z39)),Z39*((100+N5)/100),"")</f>
        <v/>
      </c>
      <c r="O39" s="2" t="str">
        <f>IF(AND(ISNUMBER(O5),ISNUMBER(AA39)),AA39*((100+O5)/100),"")</f>
        <v/>
      </c>
      <c r="P39" s="2" t="str">
        <f>IF(AND(ISNUMBER(P5),ISNUMBER(AH39)),AH39*((100+P5)/100),"")</f>
        <v/>
      </c>
      <c r="R39" s="2" t="s">
        <v>26</v>
      </c>
      <c r="S39" s="2"/>
      <c r="T39" s="2"/>
      <c r="U39" s="2"/>
      <c r="V39" s="2" t="e">
        <f>MAX(#REF!,IF($AJ$16=TRUE,AK39,0))</f>
        <v>#REF!</v>
      </c>
      <c r="X39" s="2" t="s">
        <v>26</v>
      </c>
      <c r="Y39" s="2"/>
      <c r="Z39" s="2"/>
      <c r="AA39" s="2"/>
      <c r="AB39" s="2" t="e">
        <f>#REF!</f>
        <v>#REF!</v>
      </c>
      <c r="AD39" s="2" t="s">
        <v>26</v>
      </c>
      <c r="AE39" s="2"/>
      <c r="AF39" s="2"/>
      <c r="AG39" s="2"/>
      <c r="AH39" s="2" t="e">
        <f>#REF!</f>
        <v>#REF!</v>
      </c>
      <c r="AJ39" s="2" t="s">
        <v>26</v>
      </c>
      <c r="AK39" s="2" t="e">
        <f>#REF!</f>
        <v>#REF!</v>
      </c>
    </row>
    <row r="40" spans="1:37" x14ac:dyDescent="0.25">
      <c r="E40" s="3"/>
      <c r="F40" s="3"/>
      <c r="G40" s="3"/>
      <c r="H40" s="3"/>
      <c r="I40" s="3"/>
      <c r="J40" s="3"/>
      <c r="L40" s="1" t="s">
        <v>25</v>
      </c>
      <c r="M40" s="1" t="str">
        <f>IF(AND(ISNUMBER(M6),ISNUMBER(AE40)),AE40*((100+M6)/100),"")</f>
        <v/>
      </c>
      <c r="N40" s="1" t="str">
        <f>IF(AND(ISNUMBER(N6),ISNUMBER(AF40)),AF40*((100+N6)/100),"")</f>
        <v/>
      </c>
      <c r="O40" s="1" t="str">
        <f>IF(AND(ISNUMBER(O6),ISNUMBER(AA40)),AA40*((100+O6)/100),"")</f>
        <v/>
      </c>
      <c r="P40" s="1" t="str">
        <f>IF(AND(ISNUMBER(P6),ISNUMBER(AB40)),AB40*((100+P6)/100),"")</f>
        <v/>
      </c>
      <c r="R40" s="1" t="s">
        <v>25</v>
      </c>
      <c r="S40" s="1">
        <v>0</v>
      </c>
      <c r="T40" s="1">
        <v>0</v>
      </c>
      <c r="U40" s="1"/>
      <c r="V40" s="1"/>
      <c r="X40" s="1" t="s">
        <v>25</v>
      </c>
      <c r="Y40" s="17" t="e">
        <f>#REF!</f>
        <v>#REF!</v>
      </c>
      <c r="Z40" s="1" t="e">
        <f>#REF!</f>
        <v>#REF!</v>
      </c>
      <c r="AA40" s="1"/>
      <c r="AB40" s="1"/>
      <c r="AD40" s="1" t="s">
        <v>25</v>
      </c>
      <c r="AE40" s="17" t="e">
        <f>#REF!</f>
        <v>#REF!</v>
      </c>
      <c r="AF40" s="1" t="e">
        <f>#REF!</f>
        <v>#REF!</v>
      </c>
      <c r="AG40" s="1"/>
      <c r="AH40" s="1"/>
      <c r="AJ40" s="17" t="s">
        <v>25</v>
      </c>
      <c r="AK40" s="17"/>
    </row>
    <row r="41" spans="1:37" x14ac:dyDescent="0.25">
      <c r="E41" s="4"/>
      <c r="F41" s="4"/>
      <c r="G41" s="4"/>
      <c r="H41" s="4"/>
      <c r="I41" s="4"/>
      <c r="J41" s="4"/>
      <c r="L41" s="2" t="s">
        <v>3</v>
      </c>
      <c r="M41" s="2" t="str">
        <f t="shared" si="3"/>
        <v/>
      </c>
      <c r="N41" s="2" t="str">
        <f>IF(AND(ISNUMBER(N7),ISNUMBER(Z41)),Z41*((100+N7)/100),"")</f>
        <v/>
      </c>
      <c r="O41" s="2" t="str">
        <f>IF(AND(ISNUMBER(O7),ISNUMBER(AA41)),AA41*((100+O7)/100),"")</f>
        <v/>
      </c>
      <c r="P41" s="2" t="str">
        <f>IF(AND(ISNUMBER(P7),ISNUMBER(AB41)),AB41*((100+P7)/100),"")</f>
        <v/>
      </c>
      <c r="R41" s="2" t="s">
        <v>3</v>
      </c>
      <c r="S41" s="2">
        <v>0</v>
      </c>
      <c r="T41" s="2">
        <v>0</v>
      </c>
      <c r="U41" s="2"/>
      <c r="V41" s="2"/>
      <c r="X41" s="2" t="s">
        <v>3</v>
      </c>
      <c r="Y41" s="24" t="e">
        <f>#REF!</f>
        <v>#REF!</v>
      </c>
      <c r="Z41" s="2" t="e">
        <f>#REF!</f>
        <v>#REF!</v>
      </c>
      <c r="AA41" s="2"/>
      <c r="AB41" s="2"/>
      <c r="AD41" s="2" t="s">
        <v>3</v>
      </c>
      <c r="AE41" s="24" t="e">
        <f>#REF!</f>
        <v>#REF!</v>
      </c>
      <c r="AF41" s="2" t="e">
        <f>#REF!</f>
        <v>#REF!</v>
      </c>
      <c r="AG41" s="2"/>
      <c r="AH41" s="2"/>
      <c r="AJ41" s="2" t="s">
        <v>3</v>
      </c>
      <c r="AK41" s="2"/>
    </row>
    <row r="42" spans="1:37" x14ac:dyDescent="0.25">
      <c r="B42" s="2" t="s">
        <v>32</v>
      </c>
      <c r="C42" s="12">
        <v>0.22916666666666666</v>
      </c>
      <c r="D42" s="9">
        <v>0.41597222222222219</v>
      </c>
      <c r="E42" s="3"/>
      <c r="F42" s="3"/>
      <c r="G42" s="3"/>
      <c r="H42" s="3"/>
      <c r="I42" s="3"/>
      <c r="J42" s="3"/>
      <c r="L42" s="1" t="s">
        <v>27</v>
      </c>
      <c r="M42" s="1" t="str">
        <f t="shared" si="3"/>
        <v/>
      </c>
      <c r="N42" s="1" t="str">
        <f>IF(AND(ISNUMBER(N8),ISNUMBER(AF42)),AF42*((100+N8)/100),"")</f>
        <v/>
      </c>
      <c r="O42" s="1" t="str">
        <f>IF(AND(ISNUMBER(O8),ISNUMBER(AG42)),AG42*((100+O8)/100),"")</f>
        <v/>
      </c>
      <c r="P42" s="1" t="str">
        <f>IF(AND(ISNUMBER(P8),ISNUMBER(AB42)),AB42*((100+P8)/100),"")</f>
        <v/>
      </c>
      <c r="R42" s="1" t="s">
        <v>27</v>
      </c>
      <c r="S42" s="1"/>
      <c r="T42" s="1">
        <v>0</v>
      </c>
      <c r="U42" s="1">
        <v>0</v>
      </c>
      <c r="V42" s="1"/>
      <c r="X42" s="1" t="s">
        <v>27</v>
      </c>
      <c r="Y42" s="1"/>
      <c r="Z42" s="1" t="e">
        <f>#REF!</f>
        <v>#REF!</v>
      </c>
      <c r="AA42" s="1" t="e">
        <f>#REF!</f>
        <v>#REF!</v>
      </c>
      <c r="AB42" s="1"/>
      <c r="AD42" s="1" t="s">
        <v>27</v>
      </c>
      <c r="AE42" s="1"/>
      <c r="AF42" s="1" t="e">
        <f>#REF!</f>
        <v>#REF!</v>
      </c>
      <c r="AG42" s="1" t="e">
        <f>#REF!</f>
        <v>#REF!</v>
      </c>
      <c r="AH42" s="1"/>
      <c r="AJ42" s="1" t="s">
        <v>27</v>
      </c>
      <c r="AK42" s="1"/>
    </row>
    <row r="43" spans="1:37" x14ac:dyDescent="0.25">
      <c r="B43" s="1" t="s">
        <v>33</v>
      </c>
      <c r="C43" s="10">
        <v>0.41666666666666669</v>
      </c>
      <c r="D43" s="10">
        <v>0.62430555555555556</v>
      </c>
      <c r="E43" s="4"/>
      <c r="F43" s="4"/>
      <c r="G43" s="4"/>
      <c r="H43" s="4"/>
      <c r="I43" s="4"/>
      <c r="J43" s="4"/>
      <c r="L43" s="2" t="s">
        <v>38</v>
      </c>
      <c r="M43" s="2" t="str">
        <f t="shared" si="3"/>
        <v/>
      </c>
      <c r="N43" s="2" t="str">
        <f t="shared" ref="N43:O50" si="4">IF(AND(ISNUMBER(N9),ISNUMBER(Z43)),Z43*((100+N9)/100),"")</f>
        <v/>
      </c>
      <c r="O43" s="2" t="str">
        <f t="shared" si="4"/>
        <v/>
      </c>
      <c r="P43" s="2" t="str">
        <f>IF(AND(ISNUMBER(P9),ISNUMBER(AH43)),AH43*((100+P9)/100),"")</f>
        <v/>
      </c>
      <c r="R43" s="2" t="s">
        <v>38</v>
      </c>
      <c r="S43" s="2"/>
      <c r="T43" s="2"/>
      <c r="U43" s="2"/>
      <c r="V43" s="2" t="e">
        <f>MAX(#REF!,IF($AJ$16=TRUE,AK43,0))</f>
        <v>#REF!</v>
      </c>
      <c r="X43" s="2" t="s">
        <v>38</v>
      </c>
      <c r="Y43" s="2"/>
      <c r="Z43" s="2"/>
      <c r="AA43" s="2"/>
      <c r="AB43" s="2" t="e">
        <f>#REF!</f>
        <v>#REF!</v>
      </c>
      <c r="AD43" s="2" t="s">
        <v>38</v>
      </c>
      <c r="AE43" s="2"/>
      <c r="AF43" s="2"/>
      <c r="AG43" s="2"/>
      <c r="AH43" s="2" t="e">
        <f>#REF!</f>
        <v>#REF!</v>
      </c>
      <c r="AJ43" s="2" t="s">
        <v>38</v>
      </c>
      <c r="AK43" s="2" t="e">
        <f>#REF!</f>
        <v>#REF!</v>
      </c>
    </row>
    <row r="44" spans="1:37" x14ac:dyDescent="0.25">
      <c r="B44" s="2" t="s">
        <v>34</v>
      </c>
      <c r="C44" s="9">
        <v>0.625</v>
      </c>
      <c r="D44" s="9">
        <v>0.83333333333333337</v>
      </c>
      <c r="E44" s="3"/>
      <c r="F44" s="3"/>
      <c r="G44" s="3"/>
      <c r="H44" s="3"/>
      <c r="I44" s="3"/>
      <c r="J44" s="3"/>
      <c r="L44" s="1"/>
      <c r="M44" s="1" t="str">
        <f t="shared" si="3"/>
        <v/>
      </c>
      <c r="N44" s="1" t="str">
        <f t="shared" si="4"/>
        <v/>
      </c>
      <c r="O44" s="1" t="str">
        <f t="shared" si="4"/>
        <v/>
      </c>
      <c r="P44" s="1" t="str">
        <f t="shared" ref="P44:P50" si="5">IF(AND(ISNUMBER(P10),ISNUMBER(AB44)),AB44*((100+P10)/100),"")</f>
        <v/>
      </c>
      <c r="R44" s="1"/>
      <c r="S44" s="1"/>
      <c r="T44" s="1"/>
      <c r="U44" s="1"/>
      <c r="V44" s="1"/>
      <c r="X44" s="1"/>
      <c r="Y44" s="1"/>
      <c r="Z44" s="1"/>
      <c r="AA44" s="1"/>
      <c r="AB44" s="1"/>
      <c r="AD44" s="1"/>
      <c r="AE44" s="1"/>
      <c r="AF44" s="1"/>
      <c r="AG44" s="1"/>
      <c r="AH44" s="1"/>
      <c r="AJ44" s="1"/>
      <c r="AK44" s="1"/>
    </row>
    <row r="45" spans="1:37" x14ac:dyDescent="0.25">
      <c r="E45" s="4"/>
      <c r="F45" s="4"/>
      <c r="G45" s="4"/>
      <c r="H45" s="4"/>
      <c r="I45" s="4"/>
      <c r="J45" s="4"/>
      <c r="L45" s="2"/>
      <c r="M45" s="2" t="str">
        <f t="shared" si="3"/>
        <v/>
      </c>
      <c r="N45" s="2" t="str">
        <f t="shared" si="4"/>
        <v/>
      </c>
      <c r="O45" s="2" t="str">
        <f t="shared" si="4"/>
        <v/>
      </c>
      <c r="P45" s="2" t="str">
        <f t="shared" si="5"/>
        <v/>
      </c>
      <c r="R45" s="2"/>
      <c r="S45" s="2"/>
      <c r="T45" s="2"/>
      <c r="U45" s="2"/>
      <c r="V45" s="2"/>
      <c r="X45" s="2"/>
      <c r="Y45" s="2"/>
      <c r="Z45" s="2"/>
      <c r="AA45" s="2"/>
      <c r="AB45" s="2"/>
      <c r="AD45" s="2"/>
      <c r="AE45" s="2"/>
      <c r="AF45" s="2"/>
      <c r="AG45" s="2"/>
      <c r="AH45" s="2"/>
      <c r="AJ45" s="2"/>
      <c r="AK45" s="2"/>
    </row>
    <row r="46" spans="1:37" x14ac:dyDescent="0.25">
      <c r="E46" s="3"/>
      <c r="F46" s="3"/>
      <c r="G46" s="3"/>
      <c r="H46" s="3"/>
      <c r="I46" s="3"/>
      <c r="J46" s="3"/>
      <c r="L46" s="1"/>
      <c r="M46" s="1" t="str">
        <f t="shared" si="3"/>
        <v/>
      </c>
      <c r="N46" s="1" t="str">
        <f t="shared" si="4"/>
        <v/>
      </c>
      <c r="O46" s="1" t="str">
        <f t="shared" si="4"/>
        <v/>
      </c>
      <c r="P46" s="1" t="str">
        <f t="shared" si="5"/>
        <v/>
      </c>
      <c r="R46" s="1"/>
      <c r="S46" s="1"/>
      <c r="T46" s="1"/>
      <c r="U46" s="1"/>
      <c r="V46" s="1"/>
      <c r="X46" s="1"/>
      <c r="Y46" s="1"/>
      <c r="Z46" s="1"/>
      <c r="AA46" s="1"/>
      <c r="AB46" s="1"/>
      <c r="AD46" s="1"/>
      <c r="AE46" s="1"/>
      <c r="AF46" s="1"/>
      <c r="AG46" s="1"/>
      <c r="AH46" s="1"/>
      <c r="AJ46" s="1"/>
      <c r="AK46" s="1"/>
    </row>
    <row r="47" spans="1:37" x14ac:dyDescent="0.25">
      <c r="B47" s="7" t="s">
        <v>37</v>
      </c>
      <c r="C47" s="8">
        <v>3</v>
      </c>
      <c r="E47" s="4"/>
      <c r="F47" s="4"/>
      <c r="G47" s="4"/>
      <c r="H47" s="4"/>
      <c r="I47" s="4"/>
      <c r="J47" s="4"/>
      <c r="L47" s="2"/>
      <c r="M47" s="2" t="str">
        <f t="shared" si="3"/>
        <v/>
      </c>
      <c r="N47" s="2" t="str">
        <f t="shared" si="4"/>
        <v/>
      </c>
      <c r="O47" s="2" t="str">
        <f t="shared" si="4"/>
        <v/>
      </c>
      <c r="P47" s="2" t="str">
        <f t="shared" si="5"/>
        <v/>
      </c>
      <c r="R47" s="2"/>
      <c r="S47" s="2"/>
      <c r="T47" s="2"/>
      <c r="U47" s="2"/>
      <c r="V47" s="2"/>
      <c r="X47" s="2"/>
      <c r="Y47" s="2"/>
      <c r="Z47" s="2"/>
      <c r="AA47" s="2"/>
      <c r="AB47" s="2"/>
      <c r="AD47" s="2"/>
      <c r="AE47" s="2"/>
      <c r="AF47" s="2"/>
      <c r="AG47" s="2"/>
      <c r="AH47" s="2"/>
      <c r="AJ47" s="2"/>
      <c r="AK47" s="2"/>
    </row>
    <row r="48" spans="1:37" x14ac:dyDescent="0.25">
      <c r="E48" s="3"/>
      <c r="F48" s="3"/>
      <c r="G48" s="3"/>
      <c r="H48" s="3"/>
      <c r="I48" s="3"/>
      <c r="J48" s="3"/>
      <c r="L48" s="1"/>
      <c r="M48" s="1" t="str">
        <f t="shared" si="3"/>
        <v/>
      </c>
      <c r="N48" s="1" t="str">
        <f t="shared" si="4"/>
        <v/>
      </c>
      <c r="O48" s="1" t="str">
        <f t="shared" si="4"/>
        <v/>
      </c>
      <c r="P48" s="1" t="str">
        <f t="shared" si="5"/>
        <v/>
      </c>
      <c r="R48" s="1"/>
      <c r="S48" s="1"/>
      <c r="T48" s="1"/>
      <c r="U48" s="1"/>
      <c r="V48" s="1"/>
      <c r="X48" s="1"/>
      <c r="Y48" s="1"/>
      <c r="Z48" s="1"/>
      <c r="AA48" s="1"/>
      <c r="AB48" s="1"/>
      <c r="AD48" s="1"/>
      <c r="AE48" s="1"/>
      <c r="AF48" s="1"/>
      <c r="AG48" s="1"/>
      <c r="AH48" s="1"/>
      <c r="AJ48" s="1"/>
      <c r="AK48" s="1"/>
    </row>
    <row r="49" spans="2:37" x14ac:dyDescent="0.25">
      <c r="B49" s="7" t="s">
        <v>65</v>
      </c>
      <c r="C49" s="23" t="s">
        <v>25</v>
      </c>
      <c r="D49" s="22">
        <v>0.5</v>
      </c>
      <c r="E49" s="4"/>
      <c r="F49" s="4"/>
      <c r="G49" s="4"/>
      <c r="H49" s="4"/>
      <c r="I49" s="4"/>
      <c r="J49" s="4"/>
      <c r="L49" s="2"/>
      <c r="M49" s="2" t="str">
        <f t="shared" si="3"/>
        <v/>
      </c>
      <c r="N49" s="2" t="str">
        <f t="shared" si="4"/>
        <v/>
      </c>
      <c r="O49" s="2" t="str">
        <f t="shared" si="4"/>
        <v/>
      </c>
      <c r="P49" s="2" t="str">
        <f t="shared" si="5"/>
        <v/>
      </c>
      <c r="R49" s="2"/>
      <c r="S49" s="2"/>
      <c r="T49" s="2"/>
      <c r="U49" s="2"/>
      <c r="V49" s="2"/>
      <c r="X49" s="2"/>
      <c r="Y49" s="2"/>
      <c r="Z49" s="2"/>
      <c r="AA49" s="2"/>
      <c r="AB49" s="2"/>
      <c r="AD49" s="2"/>
      <c r="AE49" s="2"/>
      <c r="AF49" s="2"/>
      <c r="AG49" s="2"/>
      <c r="AH49" s="2"/>
      <c r="AJ49" s="2"/>
      <c r="AK49" s="2"/>
    </row>
    <row r="50" spans="2:37" x14ac:dyDescent="0.25">
      <c r="C50" s="21" t="s">
        <v>3</v>
      </c>
      <c r="D50" s="20">
        <v>0.5</v>
      </c>
      <c r="E50" s="3"/>
      <c r="F50" s="3"/>
      <c r="G50" s="3"/>
      <c r="H50" s="3"/>
      <c r="I50" s="3"/>
      <c r="J50" s="3"/>
      <c r="L50" s="1"/>
      <c r="M50" s="1" t="str">
        <f t="shared" si="3"/>
        <v/>
      </c>
      <c r="N50" s="1" t="str">
        <f t="shared" si="4"/>
        <v/>
      </c>
      <c r="O50" s="1" t="str">
        <f t="shared" si="4"/>
        <v/>
      </c>
      <c r="P50" s="1" t="str">
        <f t="shared" si="5"/>
        <v/>
      </c>
      <c r="R50" s="1"/>
      <c r="S50" s="1"/>
      <c r="T50" s="1"/>
      <c r="U50" s="1"/>
      <c r="V50" s="1"/>
      <c r="X50" s="1"/>
      <c r="Y50" s="1"/>
      <c r="Z50" s="1"/>
      <c r="AA50" s="1"/>
      <c r="AB50" s="1"/>
      <c r="AD50" s="1"/>
      <c r="AE50" s="1"/>
      <c r="AF50" s="1"/>
      <c r="AG50" s="1"/>
      <c r="AH50" s="1"/>
      <c r="AJ50" s="1"/>
      <c r="AK50" s="1"/>
    </row>
    <row r="51" spans="2:37" x14ac:dyDescent="0.25">
      <c r="C51" s="23"/>
      <c r="D51" s="22"/>
      <c r="E51" s="4"/>
      <c r="F51" s="4"/>
      <c r="G51" s="4"/>
      <c r="H51" s="4"/>
      <c r="I51" s="4"/>
      <c r="J51" s="4"/>
    </row>
    <row r="52" spans="2:37" x14ac:dyDescent="0.25">
      <c r="C52" s="21"/>
      <c r="D52" s="20"/>
      <c r="E52" s="3"/>
      <c r="F52" s="3"/>
      <c r="G52" s="3"/>
      <c r="H52" s="3"/>
      <c r="I52" s="3"/>
      <c r="J52" s="3"/>
      <c r="L52" s="145" t="s">
        <v>81</v>
      </c>
      <c r="M52" s="145"/>
      <c r="N52" s="145"/>
      <c r="O52" s="145"/>
      <c r="P52" s="145"/>
      <c r="R52" s="145" t="s">
        <v>77</v>
      </c>
      <c r="S52" s="145"/>
      <c r="T52" s="145"/>
      <c r="U52" s="145"/>
      <c r="V52" s="145"/>
      <c r="X52" s="145" t="s">
        <v>69</v>
      </c>
      <c r="Y52" s="145"/>
      <c r="Z52" s="145"/>
      <c r="AA52" s="145"/>
      <c r="AB52" s="145"/>
      <c r="AD52" s="145" t="s">
        <v>85</v>
      </c>
      <c r="AE52" s="145"/>
      <c r="AF52" s="145"/>
      <c r="AG52" s="145"/>
      <c r="AH52" s="145"/>
      <c r="AJ52" s="147" t="s">
        <v>71</v>
      </c>
      <c r="AK52" s="147"/>
    </row>
    <row r="53" spans="2:37" x14ac:dyDescent="0.25">
      <c r="C53" s="23"/>
      <c r="D53" s="22"/>
      <c r="E53" s="4"/>
      <c r="F53" s="4"/>
      <c r="G53" s="4"/>
      <c r="H53" s="4"/>
      <c r="I53" s="4"/>
      <c r="J53" s="4"/>
      <c r="L53" s="1"/>
      <c r="M53" s="8" t="s">
        <v>30</v>
      </c>
      <c r="N53" s="8" t="s">
        <v>39</v>
      </c>
      <c r="O53" s="8" t="s">
        <v>40</v>
      </c>
      <c r="P53" s="8" t="s">
        <v>41</v>
      </c>
      <c r="R53" s="1"/>
      <c r="S53" s="8" t="s">
        <v>30</v>
      </c>
      <c r="T53" s="8" t="s">
        <v>39</v>
      </c>
      <c r="U53" s="8" t="s">
        <v>40</v>
      </c>
      <c r="V53" s="8" t="s">
        <v>46</v>
      </c>
      <c r="X53" s="1"/>
      <c r="Y53" s="8" t="s">
        <v>30</v>
      </c>
      <c r="Z53" s="8" t="s">
        <v>39</v>
      </c>
      <c r="AA53" s="8" t="s">
        <v>40</v>
      </c>
      <c r="AB53" s="8" t="s">
        <v>41</v>
      </c>
      <c r="AD53" s="1"/>
      <c r="AE53" s="8" t="s">
        <v>30</v>
      </c>
      <c r="AF53" s="8" t="s">
        <v>39</v>
      </c>
      <c r="AG53" s="8" t="s">
        <v>40</v>
      </c>
      <c r="AH53" s="8" t="s">
        <v>41</v>
      </c>
      <c r="AJ53" s="1"/>
      <c r="AK53" s="8" t="s">
        <v>51</v>
      </c>
    </row>
    <row r="54" spans="2:37" x14ac:dyDescent="0.25">
      <c r="E54" s="3"/>
      <c r="F54" s="3"/>
      <c r="G54" s="3"/>
      <c r="H54" s="3"/>
      <c r="I54" s="3"/>
      <c r="J54" s="3"/>
      <c r="L54" s="2" t="s">
        <v>9</v>
      </c>
      <c r="M54" s="2" t="str">
        <f>IF(AND(ISNUMBER(M3),ISNUMBER(Y54)),Y54*((100+M3)/100),"")</f>
        <v/>
      </c>
      <c r="N54" s="2" t="str">
        <f>IF(AND(ISNUMBER(N3),ISNUMBER(Z54)),Z54*((100+N3)/100),"")</f>
        <v/>
      </c>
      <c r="O54" s="2" t="str">
        <f>IF(AND(ISNUMBER(O3),ISNUMBER(AA54)),AA54*((100+O3)/100),"")</f>
        <v/>
      </c>
      <c r="P54" s="2" t="str">
        <f>IF(AND(ISNUMBER(P3),ISNUMBER(AH54)),AH54*((100+P3)/100),"")</f>
        <v/>
      </c>
      <c r="R54" s="2" t="s">
        <v>9</v>
      </c>
      <c r="S54" s="2"/>
      <c r="T54" s="2"/>
      <c r="U54" s="2"/>
      <c r="V54" s="2" t="e">
        <f>MAX(#REF!,IF($AJ$16=TRUE,AK54,0))</f>
        <v>#REF!</v>
      </c>
      <c r="X54" s="2" t="s">
        <v>9</v>
      </c>
      <c r="Y54" s="2"/>
      <c r="Z54" s="2"/>
      <c r="AA54" s="2"/>
      <c r="AB54" s="2" t="e">
        <f>#REF!</f>
        <v>#REF!</v>
      </c>
      <c r="AD54" s="2" t="s">
        <v>9</v>
      </c>
      <c r="AE54" s="2"/>
      <c r="AF54" s="2"/>
      <c r="AG54" s="2"/>
      <c r="AH54" s="2" t="e">
        <f>#REF!</f>
        <v>#REF!</v>
      </c>
      <c r="AJ54" s="2" t="s">
        <v>9</v>
      </c>
      <c r="AK54" s="2" t="e">
        <f>#REF!</f>
        <v>#REF!</v>
      </c>
    </row>
    <row r="55" spans="2:37" x14ac:dyDescent="0.25">
      <c r="B55" s="7" t="s">
        <v>88</v>
      </c>
      <c r="C55" s="23" t="s">
        <v>3</v>
      </c>
      <c r="D55" s="22">
        <v>0.3</v>
      </c>
      <c r="E55" s="4"/>
      <c r="F55" s="4"/>
      <c r="G55" s="4"/>
      <c r="H55" s="4"/>
      <c r="I55" s="4"/>
      <c r="J55" s="4"/>
      <c r="L55" s="1" t="s">
        <v>11</v>
      </c>
      <c r="M55" s="1" t="str">
        <f t="shared" ref="M55:M60" si="6">IF(AND(ISNUMBER(M4),ISNUMBER(Y55)),Y55*((100+M4)/100),"")</f>
        <v/>
      </c>
      <c r="N55" s="1" t="str">
        <f>IF(AND(ISNUMBER(N4),ISNUMBER(Z55)),Z55*((100+N4)/100),"")</f>
        <v/>
      </c>
      <c r="O55" s="1" t="str">
        <f>IF(AND(ISNUMBER(O4),ISNUMBER(AA55)),AA55*((100+O4)/100),"")</f>
        <v/>
      </c>
      <c r="P55" s="1" t="str">
        <f>IF(AND(ISNUMBER(P4),ISNUMBER(AH55)),AH55*((100+P4)/100),"")</f>
        <v/>
      </c>
      <c r="R55" s="1" t="s">
        <v>11</v>
      </c>
      <c r="S55" s="1"/>
      <c r="T55" s="1"/>
      <c r="U55" s="1"/>
      <c r="V55" s="1" t="e">
        <f>MAX(#REF!,IF($AJ$16=TRUE,AK55,0))</f>
        <v>#REF!</v>
      </c>
      <c r="X55" s="1" t="s">
        <v>11</v>
      </c>
      <c r="Y55" s="1"/>
      <c r="Z55" s="1"/>
      <c r="AA55" s="1"/>
      <c r="AB55" s="1" t="e">
        <f>#REF!</f>
        <v>#REF!</v>
      </c>
      <c r="AD55" s="1" t="s">
        <v>11</v>
      </c>
      <c r="AE55" s="1"/>
      <c r="AF55" s="1"/>
      <c r="AG55" s="1"/>
      <c r="AH55" s="1" t="e">
        <f>#REF!</f>
        <v>#REF!</v>
      </c>
      <c r="AJ55" s="1" t="s">
        <v>11</v>
      </c>
      <c r="AK55" s="1" t="e">
        <f>#REF!</f>
        <v>#REF!</v>
      </c>
    </row>
    <row r="56" spans="2:37" x14ac:dyDescent="0.25">
      <c r="C56" s="21"/>
      <c r="D56" s="20"/>
      <c r="E56" s="3"/>
      <c r="F56" s="3"/>
      <c r="G56" s="3"/>
      <c r="H56" s="3"/>
      <c r="I56" s="3"/>
      <c r="J56" s="3"/>
      <c r="L56" s="2" t="s">
        <v>26</v>
      </c>
      <c r="M56" s="2" t="str">
        <f t="shared" si="6"/>
        <v/>
      </c>
      <c r="N56" s="2" t="str">
        <f>IF(AND(ISNUMBER(N5),ISNUMBER(Z56)),Z56*((100+N5)/100),"")</f>
        <v/>
      </c>
      <c r="O56" s="2" t="str">
        <f>IF(AND(ISNUMBER(O5),ISNUMBER(AA56)),AA56*((100+O5)/100),"")</f>
        <v/>
      </c>
      <c r="P56" s="2" t="str">
        <f>IF(AND(ISNUMBER(P5),ISNUMBER(AH56)),AH56*((100+P5)/100),"")</f>
        <v/>
      </c>
      <c r="R56" s="2" t="s">
        <v>26</v>
      </c>
      <c r="S56" s="2"/>
      <c r="T56" s="2"/>
      <c r="U56" s="2"/>
      <c r="V56" s="2" t="e">
        <f>MAX(#REF!,IF($AJ$16=TRUE,AK56,0))</f>
        <v>#REF!</v>
      </c>
      <c r="X56" s="2" t="s">
        <v>26</v>
      </c>
      <c r="Y56" s="2"/>
      <c r="Z56" s="2"/>
      <c r="AA56" s="2"/>
      <c r="AB56" s="2" t="e">
        <f>#REF!</f>
        <v>#REF!</v>
      </c>
      <c r="AD56" s="2" t="s">
        <v>26</v>
      </c>
      <c r="AE56" s="2"/>
      <c r="AF56" s="2"/>
      <c r="AG56" s="2"/>
      <c r="AH56" s="2" t="e">
        <f>#REF!</f>
        <v>#REF!</v>
      </c>
      <c r="AJ56" s="2" t="s">
        <v>26</v>
      </c>
      <c r="AK56" s="2" t="e">
        <f>#REF!</f>
        <v>#REF!</v>
      </c>
    </row>
    <row r="57" spans="2:37" x14ac:dyDescent="0.25">
      <c r="C57" s="23"/>
      <c r="D57" s="22"/>
      <c r="E57" s="4"/>
      <c r="F57" s="4"/>
      <c r="G57" s="4"/>
      <c r="H57" s="4"/>
      <c r="I57" s="4"/>
      <c r="J57" s="4"/>
      <c r="L57" s="1" t="s">
        <v>25</v>
      </c>
      <c r="M57" s="1" t="str">
        <f>IF(AND(ISNUMBER(M6),ISNUMBER(AE57)),AE57*((100+M6)/100),"")</f>
        <v/>
      </c>
      <c r="N57" s="1" t="str">
        <f>IF(AND(ISNUMBER(N6),ISNUMBER(AF57)),AF57*((100+N6)/100),"")</f>
        <v/>
      </c>
      <c r="O57" s="1" t="str">
        <f>IF(AND(ISNUMBER(O6),ISNUMBER(AA57)),AA57*((100+O6)/100),"")</f>
        <v/>
      </c>
      <c r="P57" s="1" t="str">
        <f>IF(AND(ISNUMBER(P6),ISNUMBER(AB57)),AB57*((100+P6)/100),"")</f>
        <v/>
      </c>
      <c r="R57" s="1" t="s">
        <v>25</v>
      </c>
      <c r="S57" s="1">
        <v>0</v>
      </c>
      <c r="T57" s="1">
        <v>0</v>
      </c>
      <c r="U57" s="1"/>
      <c r="V57" s="1"/>
      <c r="X57" s="1" t="s">
        <v>25</v>
      </c>
      <c r="Y57" s="17" t="e">
        <f>#REF!</f>
        <v>#REF!</v>
      </c>
      <c r="Z57" s="1" t="e">
        <f>#REF!</f>
        <v>#REF!</v>
      </c>
      <c r="AA57" s="1"/>
      <c r="AB57" s="1"/>
      <c r="AD57" s="1" t="s">
        <v>25</v>
      </c>
      <c r="AE57" s="17" t="e">
        <f>#REF!</f>
        <v>#REF!</v>
      </c>
      <c r="AF57" s="1" t="e">
        <f>#REF!</f>
        <v>#REF!</v>
      </c>
      <c r="AG57" s="1"/>
      <c r="AH57" s="1"/>
      <c r="AJ57" s="17" t="s">
        <v>25</v>
      </c>
      <c r="AK57" s="17"/>
    </row>
    <row r="58" spans="2:37" x14ac:dyDescent="0.25">
      <c r="C58" s="21"/>
      <c r="D58" s="20"/>
      <c r="E58" s="3"/>
      <c r="F58" s="3"/>
      <c r="G58" s="3"/>
      <c r="H58" s="3"/>
      <c r="I58" s="3"/>
      <c r="J58" s="3"/>
      <c r="L58" s="2" t="s">
        <v>3</v>
      </c>
      <c r="M58" s="2" t="str">
        <f t="shared" si="6"/>
        <v/>
      </c>
      <c r="N58" s="2" t="str">
        <f>IF(AND(ISNUMBER(N7),ISNUMBER(Z58)),Z58*((100+N7)/100),"")</f>
        <v/>
      </c>
      <c r="O58" s="2" t="str">
        <f>IF(AND(ISNUMBER(O7),ISNUMBER(AA58)),AA58*((100+O7)/100),"")</f>
        <v/>
      </c>
      <c r="P58" s="2" t="str">
        <f>IF(AND(ISNUMBER(P7),ISNUMBER(AB58)),AB58*((100+P7)/100),"")</f>
        <v/>
      </c>
      <c r="R58" s="2" t="s">
        <v>3</v>
      </c>
      <c r="S58" s="2">
        <v>0</v>
      </c>
      <c r="T58" s="2">
        <v>0</v>
      </c>
      <c r="U58" s="2"/>
      <c r="V58" s="2"/>
      <c r="X58" s="2" t="s">
        <v>3</v>
      </c>
      <c r="Y58" s="24" t="e">
        <f>#REF!</f>
        <v>#REF!</v>
      </c>
      <c r="Z58" s="2" t="e">
        <f>#REF!</f>
        <v>#REF!</v>
      </c>
      <c r="AA58" s="2"/>
      <c r="AB58" s="2"/>
      <c r="AD58" s="2" t="s">
        <v>3</v>
      </c>
      <c r="AE58" s="24" t="e">
        <f>#REF!</f>
        <v>#REF!</v>
      </c>
      <c r="AF58" s="2" t="e">
        <f>#REF!</f>
        <v>#REF!</v>
      </c>
      <c r="AG58" s="2"/>
      <c r="AH58" s="2"/>
      <c r="AJ58" s="2" t="s">
        <v>3</v>
      </c>
      <c r="AK58" s="2"/>
    </row>
    <row r="59" spans="2:37" x14ac:dyDescent="0.25">
      <c r="C59" s="23"/>
      <c r="D59" s="22"/>
      <c r="E59" s="4"/>
      <c r="F59" s="4"/>
      <c r="G59" s="4"/>
      <c r="H59" s="4"/>
      <c r="I59" s="4"/>
      <c r="J59" s="4"/>
      <c r="L59" s="1" t="s">
        <v>27</v>
      </c>
      <c r="M59" s="1" t="str">
        <f t="shared" si="6"/>
        <v/>
      </c>
      <c r="N59" s="1" t="str">
        <f>IF(AND(ISNUMBER(N8),ISNUMBER(AF59)),AF59*((100+N8)/100),"")</f>
        <v/>
      </c>
      <c r="O59" s="1" t="str">
        <f>IF(AND(ISNUMBER(O8),ISNUMBER(AG59)),AG59*((100+O8)/100),"")</f>
        <v/>
      </c>
      <c r="P59" s="1" t="str">
        <f>IF(AND(ISNUMBER(P8),ISNUMBER(AB59)),AB59*((100+P8)/100),"")</f>
        <v/>
      </c>
      <c r="R59" s="1" t="s">
        <v>27</v>
      </c>
      <c r="S59" s="1"/>
      <c r="T59" s="1">
        <v>0</v>
      </c>
      <c r="U59" s="1">
        <v>0</v>
      </c>
      <c r="V59" s="1"/>
      <c r="X59" s="1" t="s">
        <v>27</v>
      </c>
      <c r="Y59" s="1"/>
      <c r="Z59" s="1" t="e">
        <f>#REF!</f>
        <v>#REF!</v>
      </c>
      <c r="AA59" s="1" t="e">
        <f>#REF!</f>
        <v>#REF!</v>
      </c>
      <c r="AB59" s="1"/>
      <c r="AD59" s="1" t="s">
        <v>27</v>
      </c>
      <c r="AE59" s="1"/>
      <c r="AF59" s="1" t="e">
        <f>#REF!</f>
        <v>#REF!</v>
      </c>
      <c r="AG59" s="1" t="e">
        <f>#REF!</f>
        <v>#REF!</v>
      </c>
      <c r="AH59" s="1"/>
      <c r="AJ59" s="1" t="s">
        <v>27</v>
      </c>
      <c r="AK59" s="1"/>
    </row>
    <row r="60" spans="2:37" x14ac:dyDescent="0.25">
      <c r="E60" s="3"/>
      <c r="F60" s="3"/>
      <c r="G60" s="3"/>
      <c r="H60" s="3"/>
      <c r="I60" s="3"/>
      <c r="J60" s="3"/>
      <c r="L60" s="2" t="s">
        <v>38</v>
      </c>
      <c r="M60" s="2" t="str">
        <f t="shared" si="6"/>
        <v/>
      </c>
      <c r="N60" s="2" t="str">
        <f t="shared" ref="N60:O67" si="7">IF(AND(ISNUMBER(N9),ISNUMBER(Z60)),Z60*((100+N9)/100),"")</f>
        <v/>
      </c>
      <c r="O60" s="2" t="str">
        <f t="shared" si="7"/>
        <v/>
      </c>
      <c r="P60" s="2" t="str">
        <f>IF(AND(ISNUMBER(P9),ISNUMBER(AH60)),AH60*((100+P9)/100),"")</f>
        <v/>
      </c>
      <c r="R60" s="2" t="s">
        <v>38</v>
      </c>
      <c r="S60" s="2"/>
      <c r="T60" s="2"/>
      <c r="U60" s="2"/>
      <c r="V60" s="2" t="e">
        <f>MAX(#REF!,IF($AJ$16=TRUE,AK60,0))</f>
        <v>#REF!</v>
      </c>
      <c r="X60" s="2" t="s">
        <v>38</v>
      </c>
      <c r="Y60" s="2"/>
      <c r="Z60" s="2"/>
      <c r="AA60" s="2"/>
      <c r="AB60" s="2" t="e">
        <f>#REF!</f>
        <v>#REF!</v>
      </c>
      <c r="AD60" s="2" t="s">
        <v>38</v>
      </c>
      <c r="AE60" s="2"/>
      <c r="AF60" s="2"/>
      <c r="AG60" s="2"/>
      <c r="AH60" s="2" t="e">
        <f>#REF!</f>
        <v>#REF!</v>
      </c>
      <c r="AJ60" s="2" t="s">
        <v>38</v>
      </c>
      <c r="AK60" s="2" t="e">
        <f>#REF!</f>
        <v>#REF!</v>
      </c>
    </row>
    <row r="61" spans="2:37" x14ac:dyDescent="0.25">
      <c r="E61" s="4"/>
      <c r="F61" s="4"/>
      <c r="G61" s="4"/>
      <c r="H61" s="4"/>
      <c r="I61" s="4"/>
      <c r="J61" s="4"/>
      <c r="L61" s="1"/>
      <c r="M61" s="1" t="str">
        <f t="shared" ref="M61:M67" si="8">IF(AND(ISNUMBER(M10),ISNUMBER(Y61)),Y61*((100+M10)/100),"")</f>
        <v/>
      </c>
      <c r="N61" s="1" t="str">
        <f t="shared" si="7"/>
        <v/>
      </c>
      <c r="O61" s="1" t="str">
        <f t="shared" si="7"/>
        <v/>
      </c>
      <c r="P61" s="1" t="str">
        <f t="shared" ref="P61:P67" si="9">IF(AND(ISNUMBER(P10),ISNUMBER(AB61)),AB61*((100+P10)/100),"")</f>
        <v/>
      </c>
      <c r="R61" s="1"/>
      <c r="S61" s="1"/>
      <c r="T61" s="1"/>
      <c r="U61" s="1"/>
      <c r="V61" s="1"/>
      <c r="X61" s="1"/>
      <c r="Y61" s="1"/>
      <c r="Z61" s="1"/>
      <c r="AA61" s="1"/>
      <c r="AB61" s="1"/>
      <c r="AD61" s="1"/>
      <c r="AE61" s="1"/>
      <c r="AF61" s="1"/>
      <c r="AG61" s="1"/>
      <c r="AH61" s="1"/>
      <c r="AJ61" s="1"/>
      <c r="AK61" s="1"/>
    </row>
    <row r="62" spans="2:37" x14ac:dyDescent="0.25">
      <c r="E62" s="3"/>
      <c r="F62" s="3"/>
      <c r="G62" s="3"/>
      <c r="H62" s="3"/>
      <c r="I62" s="3"/>
      <c r="J62" s="3"/>
      <c r="L62" s="2"/>
      <c r="M62" s="2" t="str">
        <f t="shared" si="8"/>
        <v/>
      </c>
      <c r="N62" s="2" t="str">
        <f t="shared" si="7"/>
        <v/>
      </c>
      <c r="O62" s="2" t="str">
        <f t="shared" si="7"/>
        <v/>
      </c>
      <c r="P62" s="2" t="str">
        <f t="shared" si="9"/>
        <v/>
      </c>
      <c r="R62" s="2"/>
      <c r="S62" s="2"/>
      <c r="T62" s="2"/>
      <c r="U62" s="2"/>
      <c r="V62" s="2"/>
      <c r="X62" s="2"/>
      <c r="Y62" s="2"/>
      <c r="Z62" s="2"/>
      <c r="AA62" s="2"/>
      <c r="AB62" s="2"/>
      <c r="AD62" s="2"/>
      <c r="AE62" s="2"/>
      <c r="AF62" s="2"/>
      <c r="AG62" s="2"/>
      <c r="AH62" s="2"/>
      <c r="AJ62" s="2"/>
      <c r="AK62" s="2"/>
    </row>
    <row r="63" spans="2:37" x14ac:dyDescent="0.25">
      <c r="E63" s="4"/>
      <c r="F63" s="4"/>
      <c r="G63" s="4"/>
      <c r="H63" s="4"/>
      <c r="I63" s="4"/>
      <c r="J63" s="4"/>
      <c r="L63" s="1"/>
      <c r="M63" s="1" t="str">
        <f t="shared" si="8"/>
        <v/>
      </c>
      <c r="N63" s="1" t="str">
        <f t="shared" si="7"/>
        <v/>
      </c>
      <c r="O63" s="1" t="str">
        <f t="shared" si="7"/>
        <v/>
      </c>
      <c r="P63" s="1" t="str">
        <f t="shared" si="9"/>
        <v/>
      </c>
      <c r="R63" s="1"/>
      <c r="S63" s="1"/>
      <c r="T63" s="1"/>
      <c r="U63" s="1"/>
      <c r="V63" s="1"/>
      <c r="X63" s="1"/>
      <c r="Y63" s="1"/>
      <c r="Z63" s="1"/>
      <c r="AA63" s="1"/>
      <c r="AB63" s="1"/>
      <c r="AD63" s="1"/>
      <c r="AE63" s="1"/>
      <c r="AF63" s="1"/>
      <c r="AG63" s="1"/>
      <c r="AH63" s="1"/>
      <c r="AJ63" s="1"/>
      <c r="AK63" s="1"/>
    </row>
    <row r="64" spans="2:37" x14ac:dyDescent="0.25">
      <c r="E64" s="3"/>
      <c r="F64" s="3"/>
      <c r="G64" s="3"/>
      <c r="H64" s="3"/>
      <c r="I64" s="3"/>
      <c r="J64" s="3"/>
      <c r="L64" s="2"/>
      <c r="M64" s="2" t="str">
        <f t="shared" si="8"/>
        <v/>
      </c>
      <c r="N64" s="2" t="str">
        <f t="shared" si="7"/>
        <v/>
      </c>
      <c r="O64" s="2" t="str">
        <f t="shared" si="7"/>
        <v/>
      </c>
      <c r="P64" s="2" t="str">
        <f t="shared" si="9"/>
        <v/>
      </c>
      <c r="R64" s="2"/>
      <c r="S64" s="2"/>
      <c r="T64" s="2"/>
      <c r="U64" s="2"/>
      <c r="V64" s="2"/>
      <c r="X64" s="2"/>
      <c r="Y64" s="2"/>
      <c r="Z64" s="2"/>
      <c r="AA64" s="2"/>
      <c r="AB64" s="2"/>
      <c r="AD64" s="2"/>
      <c r="AE64" s="2"/>
      <c r="AF64" s="2"/>
      <c r="AG64" s="2"/>
      <c r="AH64" s="2"/>
      <c r="AJ64" s="2"/>
      <c r="AK64" s="2"/>
    </row>
    <row r="65" spans="5:37" x14ac:dyDescent="0.25">
      <c r="E65" s="4"/>
      <c r="F65" s="4"/>
      <c r="G65" s="4"/>
      <c r="H65" s="4"/>
      <c r="I65" s="4"/>
      <c r="J65" s="4"/>
      <c r="L65" s="1"/>
      <c r="M65" s="1" t="str">
        <f t="shared" si="8"/>
        <v/>
      </c>
      <c r="N65" s="1" t="str">
        <f t="shared" si="7"/>
        <v/>
      </c>
      <c r="O65" s="1" t="str">
        <f t="shared" si="7"/>
        <v/>
      </c>
      <c r="P65" s="1" t="str">
        <f t="shared" si="9"/>
        <v/>
      </c>
      <c r="R65" s="1"/>
      <c r="S65" s="1"/>
      <c r="T65" s="1"/>
      <c r="U65" s="1"/>
      <c r="V65" s="1"/>
      <c r="X65" s="1"/>
      <c r="Y65" s="1"/>
      <c r="Z65" s="1"/>
      <c r="AA65" s="1"/>
      <c r="AB65" s="1"/>
      <c r="AD65" s="1"/>
      <c r="AE65" s="1"/>
      <c r="AF65" s="1"/>
      <c r="AG65" s="1"/>
      <c r="AH65" s="1"/>
      <c r="AJ65" s="1"/>
      <c r="AK65" s="1"/>
    </row>
    <row r="66" spans="5:37" x14ac:dyDescent="0.25">
      <c r="E66" s="3"/>
      <c r="F66" s="3"/>
      <c r="G66" s="3"/>
      <c r="H66" s="3"/>
      <c r="I66" s="3"/>
      <c r="J66" s="3"/>
      <c r="L66" s="2"/>
      <c r="M66" s="2" t="str">
        <f t="shared" si="8"/>
        <v/>
      </c>
      <c r="N66" s="2" t="str">
        <f t="shared" si="7"/>
        <v/>
      </c>
      <c r="O66" s="2" t="str">
        <f t="shared" si="7"/>
        <v/>
      </c>
      <c r="P66" s="2" t="str">
        <f t="shared" si="9"/>
        <v/>
      </c>
      <c r="R66" s="2"/>
      <c r="S66" s="2"/>
      <c r="T66" s="2"/>
      <c r="U66" s="2"/>
      <c r="V66" s="2"/>
      <c r="X66" s="2"/>
      <c r="Y66" s="2"/>
      <c r="Z66" s="2"/>
      <c r="AA66" s="2"/>
      <c r="AB66" s="2"/>
      <c r="AD66" s="2"/>
      <c r="AE66" s="2"/>
      <c r="AF66" s="2"/>
      <c r="AG66" s="2"/>
      <c r="AH66" s="2"/>
      <c r="AJ66" s="2"/>
      <c r="AK66" s="2"/>
    </row>
    <row r="67" spans="5:37" x14ac:dyDescent="0.25">
      <c r="E67" s="4"/>
      <c r="F67" s="4"/>
      <c r="G67" s="4"/>
      <c r="H67" s="4"/>
      <c r="I67" s="4"/>
      <c r="J67" s="4"/>
      <c r="L67" s="1"/>
      <c r="M67" s="1" t="str">
        <f t="shared" si="8"/>
        <v/>
      </c>
      <c r="N67" s="1" t="str">
        <f t="shared" si="7"/>
        <v/>
      </c>
      <c r="O67" s="1" t="str">
        <f t="shared" si="7"/>
        <v/>
      </c>
      <c r="P67" s="1" t="str">
        <f t="shared" si="9"/>
        <v/>
      </c>
      <c r="R67" s="1"/>
      <c r="S67" s="1"/>
      <c r="T67" s="1"/>
      <c r="U67" s="1"/>
      <c r="V67" s="1"/>
      <c r="X67" s="1"/>
      <c r="Y67" s="1"/>
      <c r="Z67" s="1"/>
      <c r="AA67" s="1"/>
      <c r="AB67" s="1"/>
      <c r="AD67" s="1"/>
      <c r="AE67" s="1"/>
      <c r="AF67" s="1"/>
      <c r="AG67" s="1"/>
      <c r="AH67" s="1"/>
      <c r="AJ67" s="1"/>
      <c r="AK67" s="1"/>
    </row>
    <row r="68" spans="5:37" x14ac:dyDescent="0.25">
      <c r="E68" s="3"/>
      <c r="F68" s="3"/>
      <c r="G68" s="3"/>
      <c r="H68" s="3"/>
      <c r="I68" s="3"/>
      <c r="J68" s="3"/>
    </row>
    <row r="69" spans="5:37" x14ac:dyDescent="0.25">
      <c r="E69" s="4"/>
      <c r="F69" s="4"/>
      <c r="G69" s="4"/>
      <c r="H69" s="4"/>
      <c r="I69" s="4"/>
      <c r="J69" s="4"/>
      <c r="L69" s="145" t="s">
        <v>82</v>
      </c>
      <c r="M69" s="145"/>
      <c r="N69" s="145"/>
      <c r="O69" s="145"/>
      <c r="P69" s="145"/>
      <c r="R69" s="145" t="s">
        <v>78</v>
      </c>
      <c r="S69" s="145"/>
      <c r="T69" s="145"/>
      <c r="U69" s="145"/>
      <c r="V69" s="145"/>
      <c r="X69" s="145" t="s">
        <v>44</v>
      </c>
      <c r="Y69" s="145"/>
      <c r="Z69" s="145"/>
      <c r="AA69" s="145"/>
      <c r="AB69" s="145"/>
      <c r="AD69" s="145" t="s">
        <v>86</v>
      </c>
      <c r="AE69" s="145"/>
      <c r="AF69" s="145"/>
      <c r="AG69" s="145"/>
      <c r="AH69" s="145"/>
      <c r="AJ69" s="147" t="s">
        <v>72</v>
      </c>
      <c r="AK69" s="147"/>
    </row>
    <row r="70" spans="5:37" x14ac:dyDescent="0.25">
      <c r="E70" s="3"/>
      <c r="F70" s="3"/>
      <c r="G70" s="3"/>
      <c r="H70" s="3"/>
      <c r="I70" s="3"/>
      <c r="J70" s="3"/>
      <c r="L70" s="1"/>
      <c r="M70" s="8" t="s">
        <v>30</v>
      </c>
      <c r="N70" s="8" t="s">
        <v>39</v>
      </c>
      <c r="O70" s="8" t="s">
        <v>40</v>
      </c>
      <c r="P70" s="8" t="s">
        <v>41</v>
      </c>
      <c r="R70" s="1"/>
      <c r="S70" s="8" t="s">
        <v>30</v>
      </c>
      <c r="T70" s="8" t="s">
        <v>39</v>
      </c>
      <c r="U70" s="8" t="s">
        <v>40</v>
      </c>
      <c r="V70" s="8" t="s">
        <v>46</v>
      </c>
      <c r="X70" s="1"/>
      <c r="Y70" s="8" t="s">
        <v>30</v>
      </c>
      <c r="Z70" s="8" t="s">
        <v>39</v>
      </c>
      <c r="AA70" s="8" t="s">
        <v>40</v>
      </c>
      <c r="AB70" s="8" t="s">
        <v>41</v>
      </c>
      <c r="AD70" s="1"/>
      <c r="AE70" s="8" t="s">
        <v>30</v>
      </c>
      <c r="AF70" s="8" t="s">
        <v>39</v>
      </c>
      <c r="AG70" s="8" t="s">
        <v>40</v>
      </c>
      <c r="AH70" s="8" t="s">
        <v>41</v>
      </c>
      <c r="AJ70" s="1"/>
      <c r="AK70" s="8" t="s">
        <v>51</v>
      </c>
    </row>
    <row r="71" spans="5:37" x14ac:dyDescent="0.25">
      <c r="E71" s="4"/>
      <c r="F71" s="4"/>
      <c r="G71" s="4"/>
      <c r="H71" s="4"/>
      <c r="I71" s="4"/>
      <c r="J71" s="4"/>
      <c r="L71" s="2" t="s">
        <v>9</v>
      </c>
      <c r="M71" s="2" t="str">
        <f t="shared" ref="M71:M76" si="10">IF(AND(ISNUMBER(M3),ISNUMBER(Y71)),Y71*((100+M3)/100),"")</f>
        <v/>
      </c>
      <c r="N71" s="2" t="str">
        <f t="shared" ref="N71:O73" si="11">IF(AND(ISNUMBER(N3),ISNUMBER(Z71)),Z71*((100+N3)/100),"")</f>
        <v/>
      </c>
      <c r="O71" s="2" t="str">
        <f t="shared" si="11"/>
        <v/>
      </c>
      <c r="P71" s="2" t="str">
        <f>IF(AND(ISNUMBER(P3),ISNUMBER(AH71)),AH71*((100+P3)/100),"")</f>
        <v/>
      </c>
      <c r="R71" s="2" t="s">
        <v>9</v>
      </c>
      <c r="S71" s="2"/>
      <c r="T71" s="2"/>
      <c r="U71" s="2"/>
      <c r="V71" s="2" t="e">
        <f>MAX(#REF!,IF($AJ$16=TRUE,AK71,0))</f>
        <v>#REF!</v>
      </c>
      <c r="X71" s="2" t="s">
        <v>9</v>
      </c>
      <c r="Y71" s="2"/>
      <c r="Z71" s="2"/>
      <c r="AA71" s="2"/>
      <c r="AB71" s="2" t="e">
        <f>#REF!</f>
        <v>#REF!</v>
      </c>
      <c r="AD71" s="2" t="s">
        <v>9</v>
      </c>
      <c r="AE71" s="2"/>
      <c r="AF71" s="2"/>
      <c r="AG71" s="2"/>
      <c r="AH71" s="2" t="e">
        <f>#REF!</f>
        <v>#REF!</v>
      </c>
      <c r="AJ71" s="2" t="s">
        <v>9</v>
      </c>
      <c r="AK71" s="2" t="e">
        <f>#REF!</f>
        <v>#REF!</v>
      </c>
    </row>
    <row r="72" spans="5:37" x14ac:dyDescent="0.25">
      <c r="E72" s="3"/>
      <c r="F72" s="3"/>
      <c r="G72" s="3"/>
      <c r="H72" s="3"/>
      <c r="I72" s="3"/>
      <c r="J72" s="3"/>
      <c r="L72" s="1" t="s">
        <v>11</v>
      </c>
      <c r="M72" s="1" t="str">
        <f t="shared" si="10"/>
        <v/>
      </c>
      <c r="N72" s="1" t="str">
        <f t="shared" si="11"/>
        <v/>
      </c>
      <c r="O72" s="1" t="str">
        <f t="shared" si="11"/>
        <v/>
      </c>
      <c r="P72" s="1" t="str">
        <f>IF(AND(ISNUMBER(P4),ISNUMBER(AH72)),AH72*((100+P4)/100),"")</f>
        <v/>
      </c>
      <c r="R72" s="1" t="s">
        <v>11</v>
      </c>
      <c r="S72" s="1"/>
      <c r="T72" s="1"/>
      <c r="U72" s="1"/>
      <c r="V72" s="1" t="e">
        <f>MAX(#REF!,IF($AJ$16=TRUE,AK72,0))</f>
        <v>#REF!</v>
      </c>
      <c r="X72" s="1" t="s">
        <v>11</v>
      </c>
      <c r="Y72" s="1"/>
      <c r="Z72" s="1"/>
      <c r="AA72" s="1"/>
      <c r="AB72" s="1" t="e">
        <f>#REF!</f>
        <v>#REF!</v>
      </c>
      <c r="AD72" s="1" t="s">
        <v>11</v>
      </c>
      <c r="AE72" s="1"/>
      <c r="AF72" s="1"/>
      <c r="AG72" s="1"/>
      <c r="AH72" s="1" t="e">
        <f>#REF!</f>
        <v>#REF!</v>
      </c>
      <c r="AJ72" s="1" t="s">
        <v>11</v>
      </c>
      <c r="AK72" s="1" t="e">
        <f>#REF!</f>
        <v>#REF!</v>
      </c>
    </row>
    <row r="73" spans="5:37" x14ac:dyDescent="0.25">
      <c r="E73" s="4"/>
      <c r="F73" s="4"/>
      <c r="G73" s="4"/>
      <c r="H73" s="4"/>
      <c r="I73" s="4"/>
      <c r="J73" s="4"/>
      <c r="L73" s="2" t="s">
        <v>26</v>
      </c>
      <c r="M73" s="2" t="str">
        <f t="shared" si="10"/>
        <v/>
      </c>
      <c r="N73" s="2" t="str">
        <f t="shared" si="11"/>
        <v/>
      </c>
      <c r="O73" s="2" t="str">
        <f t="shared" si="11"/>
        <v/>
      </c>
      <c r="P73" s="2" t="str">
        <f>IF(AND(ISNUMBER(P5),ISNUMBER(AH73)),AH73*((100+P5)/100),"")</f>
        <v/>
      </c>
      <c r="R73" s="2" t="s">
        <v>26</v>
      </c>
      <c r="S73" s="2"/>
      <c r="T73" s="2"/>
      <c r="U73" s="2"/>
      <c r="V73" s="2" t="e">
        <f>MAX(#REF!,IF($AJ$16=TRUE,AK73,0))</f>
        <v>#REF!</v>
      </c>
      <c r="X73" s="2" t="s">
        <v>26</v>
      </c>
      <c r="Y73" s="2"/>
      <c r="Z73" s="2"/>
      <c r="AA73" s="2"/>
      <c r="AB73" s="2" t="e">
        <f>#REF!</f>
        <v>#REF!</v>
      </c>
      <c r="AD73" s="2" t="s">
        <v>26</v>
      </c>
      <c r="AE73" s="2"/>
      <c r="AF73" s="2"/>
      <c r="AG73" s="2"/>
      <c r="AH73" s="2" t="e">
        <f>#REF!</f>
        <v>#REF!</v>
      </c>
      <c r="AJ73" s="2" t="s">
        <v>26</v>
      </c>
      <c r="AK73" s="2" t="e">
        <f>#REF!</f>
        <v>#REF!</v>
      </c>
    </row>
    <row r="74" spans="5:37" x14ac:dyDescent="0.25">
      <c r="E74" s="3"/>
      <c r="F74" s="3"/>
      <c r="G74" s="3"/>
      <c r="H74" s="3"/>
      <c r="I74" s="3"/>
      <c r="J74" s="3"/>
      <c r="L74" s="1" t="s">
        <v>25</v>
      </c>
      <c r="M74" s="1" t="str">
        <f>IF(AND(ISNUMBER(M6),ISNUMBER(AE74)),AE74*((100+M6)/100),"")</f>
        <v/>
      </c>
      <c r="N74" s="1" t="str">
        <f>IF(AND(ISNUMBER(N6),ISNUMBER(AF74)),AF74*((100+N6)/100),"")</f>
        <v/>
      </c>
      <c r="O74" s="1" t="str">
        <f>IF(AND(ISNUMBER(O6),ISNUMBER(AA74)),AA74*((100+O6)/100),"")</f>
        <v/>
      </c>
      <c r="P74" s="1" t="str">
        <f>IF(AND(ISNUMBER(P6),ISNUMBER(AB74)),AB74*((100+P6)/100),"")</f>
        <v/>
      </c>
      <c r="R74" s="1" t="s">
        <v>25</v>
      </c>
      <c r="S74" s="1">
        <v>0</v>
      </c>
      <c r="T74" s="1">
        <v>0</v>
      </c>
      <c r="U74" s="1"/>
      <c r="V74" s="1"/>
      <c r="X74" s="1" t="s">
        <v>25</v>
      </c>
      <c r="Y74" s="17" t="e">
        <f>#REF!</f>
        <v>#REF!</v>
      </c>
      <c r="Z74" s="1" t="e">
        <f>#REF!</f>
        <v>#REF!</v>
      </c>
      <c r="AA74" s="1"/>
      <c r="AB74" s="1"/>
      <c r="AD74" s="1" t="s">
        <v>25</v>
      </c>
      <c r="AE74" s="17" t="e">
        <f>#REF!</f>
        <v>#REF!</v>
      </c>
      <c r="AF74" s="1" t="e">
        <f>#REF!</f>
        <v>#REF!</v>
      </c>
      <c r="AG74" s="1"/>
      <c r="AH74" s="1"/>
      <c r="AJ74" s="17" t="s">
        <v>25</v>
      </c>
      <c r="AK74" s="17"/>
    </row>
    <row r="75" spans="5:37" x14ac:dyDescent="0.25">
      <c r="E75" s="4"/>
      <c r="F75" s="4"/>
      <c r="G75" s="4"/>
      <c r="H75" s="4"/>
      <c r="I75" s="4"/>
      <c r="J75" s="4"/>
      <c r="L75" s="2" t="s">
        <v>3</v>
      </c>
      <c r="M75" s="2" t="str">
        <f t="shared" si="10"/>
        <v/>
      </c>
      <c r="N75" s="2" t="str">
        <f>IF(AND(ISNUMBER(N7),ISNUMBER(Z75)),Z75*((100+N7)/100),"")</f>
        <v/>
      </c>
      <c r="O75" s="2" t="str">
        <f>IF(AND(ISNUMBER(O7),ISNUMBER(AA75)),AA75*((100+O7)/100),"")</f>
        <v/>
      </c>
      <c r="P75" s="2" t="str">
        <f>IF(AND(ISNUMBER(P7),ISNUMBER(AB75)),AB75*((100+P7)/100),"")</f>
        <v/>
      </c>
      <c r="R75" s="2" t="s">
        <v>3</v>
      </c>
      <c r="S75" s="2">
        <v>0</v>
      </c>
      <c r="T75" s="2">
        <v>0</v>
      </c>
      <c r="U75" s="2"/>
      <c r="V75" s="2"/>
      <c r="X75" s="2" t="s">
        <v>3</v>
      </c>
      <c r="Y75" s="24" t="e">
        <f>#REF!</f>
        <v>#REF!</v>
      </c>
      <c r="Z75" s="2" t="e">
        <f>#REF!</f>
        <v>#REF!</v>
      </c>
      <c r="AA75" s="2"/>
      <c r="AB75" s="2"/>
      <c r="AD75" s="2" t="s">
        <v>3</v>
      </c>
      <c r="AE75" s="24" t="e">
        <f>#REF!</f>
        <v>#REF!</v>
      </c>
      <c r="AF75" s="2" t="e">
        <f>#REF!</f>
        <v>#REF!</v>
      </c>
      <c r="AG75" s="2"/>
      <c r="AH75" s="2"/>
      <c r="AJ75" s="2" t="s">
        <v>3</v>
      </c>
      <c r="AK75" s="2"/>
    </row>
    <row r="76" spans="5:37" x14ac:dyDescent="0.25">
      <c r="E76" s="3"/>
      <c r="F76" s="3"/>
      <c r="G76" s="3"/>
      <c r="H76" s="3"/>
      <c r="I76" s="3"/>
      <c r="J76" s="3"/>
      <c r="L76" s="1" t="s">
        <v>27</v>
      </c>
      <c r="M76" s="1" t="str">
        <f t="shared" si="10"/>
        <v/>
      </c>
      <c r="N76" s="1" t="str">
        <f>IF(AND(ISNUMBER(N8),ISNUMBER(AF76)),AF76*((100+N8)/100),"")</f>
        <v/>
      </c>
      <c r="O76" s="1" t="str">
        <f>IF(AND(ISNUMBER(O8),ISNUMBER(AG76)),AG76*((100+O8)/100),"")</f>
        <v/>
      </c>
      <c r="P76" s="1" t="str">
        <f>IF(AND(ISNUMBER(P8),ISNUMBER(AB76)),AB76*((100+P8)/100),"")</f>
        <v/>
      </c>
      <c r="R76" s="1" t="s">
        <v>27</v>
      </c>
      <c r="S76" s="1"/>
      <c r="T76" s="1">
        <v>0</v>
      </c>
      <c r="U76" s="1">
        <v>0</v>
      </c>
      <c r="V76" s="1"/>
      <c r="X76" s="1" t="s">
        <v>27</v>
      </c>
      <c r="Y76" s="1"/>
      <c r="Z76" s="1" t="e">
        <f>#REF!</f>
        <v>#REF!</v>
      </c>
      <c r="AA76" s="1" t="e">
        <f>#REF!</f>
        <v>#REF!</v>
      </c>
      <c r="AB76" s="1"/>
      <c r="AD76" s="1" t="s">
        <v>27</v>
      </c>
      <c r="AE76" s="1"/>
      <c r="AF76" s="1" t="e">
        <f>#REF!</f>
        <v>#REF!</v>
      </c>
      <c r="AG76" s="1" t="e">
        <f>#REF!</f>
        <v>#REF!</v>
      </c>
      <c r="AH76" s="1"/>
      <c r="AJ76" s="1" t="s">
        <v>27</v>
      </c>
      <c r="AK76" s="1"/>
    </row>
    <row r="77" spans="5:37" x14ac:dyDescent="0.25">
      <c r="E77" s="4"/>
      <c r="F77" s="4"/>
      <c r="G77" s="4"/>
      <c r="H77" s="4"/>
      <c r="I77" s="4"/>
      <c r="J77" s="4"/>
      <c r="L77" s="2" t="s">
        <v>38</v>
      </c>
      <c r="M77" s="2" t="str">
        <f t="shared" ref="M77:M84" si="12">IF(AND(ISNUMBER(M9),ISNUMBER(Y77)),Y77*((100+M9)/100),"")</f>
        <v/>
      </c>
      <c r="N77" s="2" t="str">
        <f t="shared" ref="N77:O84" si="13">IF(AND(ISNUMBER(N9),ISNUMBER(Z77)),Z77*((100+N9)/100),"")</f>
        <v/>
      </c>
      <c r="O77" s="2" t="str">
        <f t="shared" si="13"/>
        <v/>
      </c>
      <c r="P77" s="2" t="str">
        <f>IF(AND(ISNUMBER(P9),ISNUMBER(AH77)),AH77*((100+P9)/100),"")</f>
        <v/>
      </c>
      <c r="R77" s="2" t="s">
        <v>38</v>
      </c>
      <c r="S77" s="2"/>
      <c r="T77" s="2"/>
      <c r="U77" s="2"/>
      <c r="V77" s="2" t="e">
        <f>MAX(#REF!,IF($AJ$16=TRUE,AK77,0))</f>
        <v>#REF!</v>
      </c>
      <c r="X77" s="2" t="s">
        <v>38</v>
      </c>
      <c r="Y77" s="2"/>
      <c r="Z77" s="2"/>
      <c r="AA77" s="2"/>
      <c r="AB77" s="2" t="e">
        <f>#REF!</f>
        <v>#REF!</v>
      </c>
      <c r="AD77" s="2" t="s">
        <v>38</v>
      </c>
      <c r="AE77" s="2"/>
      <c r="AF77" s="2"/>
      <c r="AG77" s="2"/>
      <c r="AH77" s="2" t="e">
        <f>#REF!</f>
        <v>#REF!</v>
      </c>
      <c r="AJ77" s="2" t="s">
        <v>38</v>
      </c>
      <c r="AK77" s="2" t="e">
        <f>#REF!</f>
        <v>#REF!</v>
      </c>
    </row>
    <row r="78" spans="5:37" x14ac:dyDescent="0.25">
      <c r="E78" s="3"/>
      <c r="F78" s="3"/>
      <c r="G78" s="3"/>
      <c r="H78" s="3"/>
      <c r="I78" s="3"/>
      <c r="J78" s="3"/>
      <c r="L78" s="1"/>
      <c r="M78" s="1" t="str">
        <f t="shared" si="12"/>
        <v/>
      </c>
      <c r="N78" s="1" t="str">
        <f t="shared" si="13"/>
        <v/>
      </c>
      <c r="O78" s="1" t="str">
        <f t="shared" si="13"/>
        <v/>
      </c>
      <c r="P78" s="1" t="str">
        <f t="shared" ref="P78:P84" si="14">IF(AND(ISNUMBER(P10),ISNUMBER(AB78)),AB78*((100+P10)/100),"")</f>
        <v/>
      </c>
      <c r="R78" s="1"/>
      <c r="S78" s="1"/>
      <c r="T78" s="1"/>
      <c r="U78" s="1"/>
      <c r="V78" s="1"/>
      <c r="X78" s="1"/>
      <c r="Y78" s="1"/>
      <c r="Z78" s="1"/>
      <c r="AA78" s="1"/>
      <c r="AB78" s="1"/>
      <c r="AD78" s="1"/>
      <c r="AE78" s="1"/>
      <c r="AF78" s="1"/>
      <c r="AG78" s="1"/>
      <c r="AH78" s="1"/>
      <c r="AJ78" s="1"/>
      <c r="AK78" s="1"/>
    </row>
    <row r="79" spans="5:37" x14ac:dyDescent="0.25">
      <c r="L79" s="2"/>
      <c r="M79" s="2" t="str">
        <f t="shared" si="12"/>
        <v/>
      </c>
      <c r="N79" s="2" t="str">
        <f t="shared" si="13"/>
        <v/>
      </c>
      <c r="O79" s="2" t="str">
        <f t="shared" si="13"/>
        <v/>
      </c>
      <c r="P79" s="2" t="str">
        <f t="shared" si="14"/>
        <v/>
      </c>
      <c r="R79" s="2"/>
      <c r="S79" s="2"/>
      <c r="T79" s="2"/>
      <c r="U79" s="2"/>
      <c r="V79" s="2"/>
      <c r="X79" s="2"/>
      <c r="Y79" s="2"/>
      <c r="Z79" s="2"/>
      <c r="AA79" s="2"/>
      <c r="AB79" s="2"/>
      <c r="AD79" s="2"/>
      <c r="AE79" s="2"/>
      <c r="AF79" s="2"/>
      <c r="AG79" s="2"/>
      <c r="AH79" s="2"/>
      <c r="AJ79" s="2"/>
      <c r="AK79" s="2"/>
    </row>
    <row r="80" spans="5:37" x14ac:dyDescent="0.25">
      <c r="L80" s="1"/>
      <c r="M80" s="1" t="str">
        <f t="shared" si="12"/>
        <v/>
      </c>
      <c r="N80" s="1" t="str">
        <f t="shared" si="13"/>
        <v/>
      </c>
      <c r="O80" s="1" t="str">
        <f t="shared" si="13"/>
        <v/>
      </c>
      <c r="P80" s="1" t="str">
        <f t="shared" si="14"/>
        <v/>
      </c>
      <c r="R80" s="1"/>
      <c r="S80" s="1"/>
      <c r="T80" s="1"/>
      <c r="U80" s="1"/>
      <c r="V80" s="1"/>
      <c r="X80" s="1"/>
      <c r="Y80" s="1"/>
      <c r="Z80" s="1"/>
      <c r="AA80" s="1"/>
      <c r="AB80" s="1"/>
      <c r="AD80" s="1"/>
      <c r="AE80" s="1"/>
      <c r="AF80" s="1"/>
      <c r="AG80" s="1"/>
      <c r="AH80" s="1"/>
      <c r="AJ80" s="1"/>
      <c r="AK80" s="1"/>
    </row>
    <row r="81" spans="12:37" x14ac:dyDescent="0.25">
      <c r="L81" s="2"/>
      <c r="M81" s="2" t="str">
        <f t="shared" si="12"/>
        <v/>
      </c>
      <c r="N81" s="2" t="str">
        <f t="shared" si="13"/>
        <v/>
      </c>
      <c r="O81" s="2" t="str">
        <f t="shared" si="13"/>
        <v/>
      </c>
      <c r="P81" s="2" t="str">
        <f t="shared" si="14"/>
        <v/>
      </c>
      <c r="R81" s="2"/>
      <c r="S81" s="2"/>
      <c r="T81" s="2"/>
      <c r="U81" s="2"/>
      <c r="V81" s="2"/>
      <c r="X81" s="2"/>
      <c r="Y81" s="2"/>
      <c r="Z81" s="2"/>
      <c r="AA81" s="2"/>
      <c r="AB81" s="2"/>
      <c r="AD81" s="2"/>
      <c r="AE81" s="2"/>
      <c r="AF81" s="2"/>
      <c r="AG81" s="2"/>
      <c r="AH81" s="2"/>
      <c r="AJ81" s="2"/>
      <c r="AK81" s="2"/>
    </row>
    <row r="82" spans="12:37" x14ac:dyDescent="0.25">
      <c r="L82" s="1"/>
      <c r="M82" s="1" t="str">
        <f t="shared" si="12"/>
        <v/>
      </c>
      <c r="N82" s="1" t="str">
        <f t="shared" si="13"/>
        <v/>
      </c>
      <c r="O82" s="1" t="str">
        <f t="shared" si="13"/>
        <v/>
      </c>
      <c r="P82" s="1" t="str">
        <f t="shared" si="14"/>
        <v/>
      </c>
      <c r="R82" s="1"/>
      <c r="S82" s="1"/>
      <c r="T82" s="1"/>
      <c r="U82" s="1"/>
      <c r="V82" s="1"/>
      <c r="X82" s="1"/>
      <c r="Y82" s="1"/>
      <c r="Z82" s="1"/>
      <c r="AA82" s="1"/>
      <c r="AB82" s="1"/>
      <c r="AD82" s="1"/>
      <c r="AE82" s="1"/>
      <c r="AF82" s="1"/>
      <c r="AG82" s="1"/>
      <c r="AH82" s="1"/>
      <c r="AJ82" s="1"/>
      <c r="AK82" s="1"/>
    </row>
    <row r="83" spans="12:37" x14ac:dyDescent="0.25">
      <c r="L83" s="2"/>
      <c r="M83" s="2" t="str">
        <f t="shared" si="12"/>
        <v/>
      </c>
      <c r="N83" s="2" t="str">
        <f t="shared" si="13"/>
        <v/>
      </c>
      <c r="O83" s="2" t="str">
        <f t="shared" si="13"/>
        <v/>
      </c>
      <c r="P83" s="2" t="str">
        <f t="shared" si="14"/>
        <v/>
      </c>
      <c r="R83" s="2"/>
      <c r="S83" s="2"/>
      <c r="T83" s="2"/>
      <c r="U83" s="2"/>
      <c r="V83" s="2"/>
      <c r="X83" s="2"/>
      <c r="Y83" s="2"/>
      <c r="Z83" s="2"/>
      <c r="AA83" s="2"/>
      <c r="AB83" s="2"/>
      <c r="AD83" s="2"/>
      <c r="AE83" s="2"/>
      <c r="AF83" s="2"/>
      <c r="AG83" s="2"/>
      <c r="AH83" s="2"/>
      <c r="AJ83" s="2"/>
      <c r="AK83" s="2"/>
    </row>
    <row r="84" spans="12:37" x14ac:dyDescent="0.25">
      <c r="L84" s="1"/>
      <c r="M84" s="1" t="str">
        <f t="shared" si="12"/>
        <v/>
      </c>
      <c r="N84" s="1" t="str">
        <f t="shared" si="13"/>
        <v/>
      </c>
      <c r="O84" s="1" t="str">
        <f t="shared" si="13"/>
        <v/>
      </c>
      <c r="P84" s="1" t="str">
        <f t="shared" si="14"/>
        <v/>
      </c>
      <c r="R84" s="1"/>
      <c r="S84" s="1"/>
      <c r="T84" s="1"/>
      <c r="U84" s="1"/>
      <c r="V84" s="1"/>
      <c r="X84" s="1"/>
      <c r="Y84" s="1"/>
      <c r="Z84" s="1"/>
      <c r="AA84" s="1"/>
      <c r="AB84" s="1"/>
      <c r="AD84" s="1"/>
      <c r="AE84" s="1"/>
      <c r="AF84" s="1"/>
      <c r="AG84" s="1"/>
      <c r="AH84" s="1"/>
      <c r="AJ84" s="1"/>
      <c r="AK84" s="1"/>
    </row>
    <row r="86" spans="12:37" x14ac:dyDescent="0.25">
      <c r="M86" s="152" t="s">
        <v>73</v>
      </c>
      <c r="N86" s="152"/>
      <c r="O86" s="152" t="s">
        <v>74</v>
      </c>
      <c r="P86" s="152"/>
    </row>
    <row r="87" spans="12:37" x14ac:dyDescent="0.25">
      <c r="M87" s="8" t="s">
        <v>60</v>
      </c>
      <c r="N87" s="8" t="s">
        <v>61</v>
      </c>
      <c r="O87" s="8" t="s">
        <v>60</v>
      </c>
      <c r="P87" s="8" t="s">
        <v>61</v>
      </c>
    </row>
    <row r="88" spans="12:37" x14ac:dyDescent="0.25">
      <c r="L88" s="2" t="s">
        <v>9</v>
      </c>
      <c r="M88" s="4">
        <v>100</v>
      </c>
      <c r="N88" s="4">
        <v>6</v>
      </c>
      <c r="O88" s="4">
        <v>100</v>
      </c>
      <c r="P88" s="4">
        <v>12</v>
      </c>
    </row>
    <row r="89" spans="12:37" x14ac:dyDescent="0.25">
      <c r="L89" s="1" t="s">
        <v>11</v>
      </c>
      <c r="M89" s="3">
        <v>100</v>
      </c>
      <c r="N89" s="3">
        <v>6</v>
      </c>
      <c r="O89" s="3">
        <v>100</v>
      </c>
      <c r="P89" s="3">
        <v>12</v>
      </c>
    </row>
    <row r="90" spans="12:37" x14ac:dyDescent="0.25">
      <c r="L90" s="2" t="s">
        <v>26</v>
      </c>
      <c r="M90" s="4">
        <v>100</v>
      </c>
      <c r="N90" s="4">
        <v>6</v>
      </c>
      <c r="O90" s="4">
        <v>100</v>
      </c>
      <c r="P90" s="4">
        <v>12</v>
      </c>
    </row>
    <row r="91" spans="12:37" x14ac:dyDescent="0.25">
      <c r="L91" s="1" t="s">
        <v>25</v>
      </c>
      <c r="M91" s="3"/>
      <c r="N91" s="3"/>
      <c r="O91" s="3"/>
      <c r="P91" s="3"/>
    </row>
    <row r="92" spans="12:37" x14ac:dyDescent="0.25">
      <c r="L92" s="2" t="s">
        <v>3</v>
      </c>
      <c r="M92" s="4"/>
      <c r="N92" s="4"/>
      <c r="O92" s="4"/>
      <c r="P92" s="4"/>
    </row>
    <row r="93" spans="12:37" x14ac:dyDescent="0.25">
      <c r="L93" s="1" t="s">
        <v>27</v>
      </c>
      <c r="M93" s="3">
        <v>0</v>
      </c>
      <c r="N93" s="3">
        <v>0</v>
      </c>
      <c r="O93" s="3">
        <v>0</v>
      </c>
      <c r="P93" s="3">
        <v>0</v>
      </c>
    </row>
    <row r="94" spans="12:37" x14ac:dyDescent="0.25">
      <c r="L94" s="2" t="s">
        <v>38</v>
      </c>
      <c r="M94" s="4">
        <v>100</v>
      </c>
      <c r="N94" s="4">
        <v>6</v>
      </c>
      <c r="O94" s="4">
        <v>100</v>
      </c>
      <c r="P94" s="4">
        <v>12</v>
      </c>
    </row>
    <row r="95" spans="12:37" x14ac:dyDescent="0.25">
      <c r="L95" s="1"/>
      <c r="M95" s="3"/>
      <c r="N95" s="3"/>
      <c r="O95" s="3"/>
      <c r="P95" s="3"/>
    </row>
    <row r="96" spans="12:37" x14ac:dyDescent="0.25">
      <c r="L96" s="2"/>
      <c r="M96" s="4"/>
      <c r="N96" s="4"/>
      <c r="O96" s="4"/>
      <c r="P96" s="4"/>
    </row>
    <row r="97" spans="12:16" x14ac:dyDescent="0.25">
      <c r="L97" s="1"/>
      <c r="M97" s="3"/>
      <c r="N97" s="3"/>
      <c r="O97" s="3"/>
      <c r="P97" s="3"/>
    </row>
    <row r="98" spans="12:16" x14ac:dyDescent="0.25">
      <c r="L98" s="2"/>
      <c r="M98" s="4"/>
      <c r="N98" s="4"/>
      <c r="O98" s="4"/>
      <c r="P98" s="4"/>
    </row>
    <row r="99" spans="12:16" x14ac:dyDescent="0.25">
      <c r="L99" s="1"/>
      <c r="M99" s="3"/>
      <c r="N99" s="3"/>
      <c r="O99" s="3"/>
      <c r="P99" s="3"/>
    </row>
    <row r="100" spans="12:16" x14ac:dyDescent="0.25">
      <c r="L100" s="2"/>
      <c r="M100" s="4"/>
      <c r="N100" s="4"/>
      <c r="O100" s="4"/>
      <c r="P100" s="4"/>
    </row>
    <row r="101" spans="12:16" x14ac:dyDescent="0.25">
      <c r="L101" s="1"/>
      <c r="M101" s="3"/>
      <c r="N101" s="3"/>
      <c r="O101" s="3"/>
      <c r="P101" s="3"/>
    </row>
  </sheetData>
  <sheetProtection selectLockedCells="1"/>
  <mergeCells count="28">
    <mergeCell ref="O86:P86"/>
    <mergeCell ref="M86:N86"/>
    <mergeCell ref="AJ52:AK52"/>
    <mergeCell ref="AJ69:AK69"/>
    <mergeCell ref="AJ18:AK18"/>
    <mergeCell ref="AD18:AH18"/>
    <mergeCell ref="AD35:AH35"/>
    <mergeCell ref="AD52:AH52"/>
    <mergeCell ref="AD69:AH69"/>
    <mergeCell ref="X52:AB52"/>
    <mergeCell ref="B1:C1"/>
    <mergeCell ref="L1:P1"/>
    <mergeCell ref="L18:P18"/>
    <mergeCell ref="L35:P35"/>
    <mergeCell ref="AJ35:AK35"/>
    <mergeCell ref="AK16:AK17"/>
    <mergeCell ref="AJ16:AJ17"/>
    <mergeCell ref="B11:C11"/>
    <mergeCell ref="A18:A38"/>
    <mergeCell ref="L69:P69"/>
    <mergeCell ref="X18:AB18"/>
    <mergeCell ref="X35:AB35"/>
    <mergeCell ref="X69:AB69"/>
    <mergeCell ref="R18:V18"/>
    <mergeCell ref="R35:V35"/>
    <mergeCell ref="R69:V69"/>
    <mergeCell ref="L52:P52"/>
    <mergeCell ref="R52:V52"/>
  </mergeCells>
  <conditionalFormatting sqref="C13">
    <cfRule type="expression" dxfId="57" priority="2">
      <formula>IF($C$12=FALSE,1,0)</formula>
    </cfRule>
  </conditionalFormatting>
  <conditionalFormatting sqref="C14">
    <cfRule type="expression" dxfId="56" priority="1">
      <formula>IF($C$12=FALSE,1,0)</formula>
    </cfRule>
  </conditionalFormatting>
  <dataValidations count="9">
    <dataValidation type="list" allowBlank="1" showInputMessage="1" showErrorMessage="1" sqref="L88:L101 C55:C59 R71:R84 X71:X84 AJ20:AJ33 R3:R16 X37:X50 R37:R50 X20:X33 R20:R33 L37:L50 L20:L33 L3:L16 L54:L67 R54:R67 X54:X67 AJ37:AJ50 AJ54:AJ67 AJ71:AJ84 AD71:AD84 AD37:AD50 AD20:AD33 AD54:AD67 L71:L84 C49:C53" xr:uid="{00000000-0002-0000-0200-000000000000}">
      <formula1>Modos</formula1>
    </dataValidation>
    <dataValidation type="list" allowBlank="1" showInputMessage="1" showErrorMessage="1" prompt="Considerar o posto após promoção, caso esta ocorra no corrente ano." sqref="F2:F40" xr:uid="{00000000-0002-0000-0200-000001000000}">
      <formula1>"CEL,TCEL,MAJ,CAP,1T,2T"</formula1>
    </dataValidation>
    <dataValidation allowBlank="1" showInputMessage="1" showErrorMessage="1" prompt="Especifique aqui o valor da pena (de acordo com o Manual da Taça Eficiência)." sqref="C47" xr:uid="{00000000-0002-0000-0200-000002000000}"/>
    <dataValidation type="list" allowBlank="1" showInputMessage="1" showErrorMessage="1" sqref="C18:C38" xr:uid="{00000000-0002-0000-0200-000003000000}">
      <formula1>"ROLETA,BACARÁ,PÔQUER,BIRUTA"</formula1>
    </dataValidation>
    <dataValidation type="list" allowBlank="1" showInputMessage="1" showErrorMessage="1" sqref="G2:G78" xr:uid="{00000000-0002-0000-0200-000004000000}">
      <formula1>"INST,EST"</formula1>
    </dataValidation>
    <dataValidation type="list" allowBlank="1" showInputMessage="1" showErrorMessage="1" sqref="H41:H78" xr:uid="{00000000-0002-0000-0200-000005000000}">
      <formula1>"TRUNFOS,COPAS,ESPADAS,OUROS,PAUS"</formula1>
    </dataValidation>
    <dataValidation type="list" allowBlank="1" showInputMessage="1" showErrorMessage="1" sqref="J2:J78" xr:uid="{00000000-0002-0000-0200-000006000000}">
      <formula1>"®,♣,♠,♥,♦"</formula1>
    </dataValidation>
    <dataValidation type="list" allowBlank="1" showInputMessage="1" showErrorMessage="1" sqref="I2:I78" xr:uid="{00000000-0002-0000-0200-000007000000}">
      <formula1>"INT,EXT"</formula1>
    </dataValidation>
    <dataValidation type="list" allowBlank="1" showInputMessage="1" showErrorMessage="1" sqref="H2:H40" xr:uid="{00000000-0002-0000-0200-000008000000}">
      <formula1>"VERMELHO,AMARELO,CINZA,NEGRO"</formula1>
    </dataValidation>
  </dataValidations>
  <pageMargins left="0.511811024" right="0.511811024" top="0.78740157499999996" bottom="0.78740157499999996" header="0.31496062000000002" footer="0.31496062000000002"/>
  <pageSetup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35</xdr:col>
                    <xdr:colOff>209550</xdr:colOff>
                    <xdr:row>15</xdr:row>
                    <xdr:rowOff>123825</xdr:rowOff>
                  </from>
                  <to>
                    <xdr:col>35</xdr:col>
                    <xdr:colOff>504825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locked="0" defaultSize="0" autoFill="0" autoLine="0" autoPict="0">
                <anchor moveWithCells="1">
                  <from>
                    <xdr:col>2</xdr:col>
                    <xdr:colOff>238125</xdr:colOff>
                    <xdr:row>10</xdr:row>
                    <xdr:rowOff>180975</xdr:rowOff>
                  </from>
                  <to>
                    <xdr:col>2</xdr:col>
                    <xdr:colOff>533400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AT204"/>
  <sheetViews>
    <sheetView tabSelected="1" topLeftCell="S1" zoomScaleNormal="100" workbookViewId="0">
      <pane ySplit="1" topLeftCell="A9" activePane="bottomLeft" state="frozen"/>
      <selection activeCell="B1" sqref="B1"/>
      <selection pane="bottomLeft" activeCell="X1" sqref="X1"/>
    </sheetView>
  </sheetViews>
  <sheetFormatPr defaultRowHeight="15" x14ac:dyDescent="0.25"/>
  <cols>
    <col min="1" max="1" width="11" customWidth="1"/>
    <col min="2" max="2" width="9.5703125" bestFit="1" customWidth="1"/>
    <col min="3" max="3" width="14.28515625" customWidth="1"/>
    <col min="4" max="4" width="12.7109375" bestFit="1" customWidth="1"/>
    <col min="5" max="5" width="10.140625" customWidth="1"/>
    <col min="6" max="6" width="18.42578125" bestFit="1" customWidth="1"/>
    <col min="7" max="7" width="14" customWidth="1"/>
    <col min="8" max="8" width="18.140625" bestFit="1" customWidth="1"/>
    <col min="9" max="9" width="9.140625" customWidth="1"/>
    <col min="10" max="11" width="18.140625" customWidth="1"/>
    <col min="12" max="12" width="28.5703125" customWidth="1"/>
    <col min="13" max="14" width="13" customWidth="1"/>
    <col min="15" max="15" width="24.85546875" customWidth="1"/>
    <col min="16" max="16" width="18.7109375" bestFit="1" customWidth="1"/>
    <col min="17" max="17" width="31.85546875" bestFit="1" customWidth="1"/>
    <col min="18" max="18" width="21" style="38" bestFit="1" customWidth="1"/>
    <col min="19" max="19" width="19.85546875" style="38" bestFit="1" customWidth="1"/>
    <col min="20" max="20" width="19" bestFit="1" customWidth="1"/>
    <col min="21" max="21" width="16.85546875" bestFit="1" customWidth="1"/>
    <col min="22" max="22" width="18.28515625" bestFit="1" customWidth="1"/>
    <col min="23" max="23" width="14" bestFit="1" customWidth="1"/>
    <col min="24" max="24" width="14" customWidth="1"/>
    <col min="25" max="25" width="16.42578125" bestFit="1" customWidth="1"/>
    <col min="26" max="26" width="17.140625" bestFit="1" customWidth="1"/>
    <col min="27" max="27" width="18.28515625" style="40" bestFit="1" customWidth="1"/>
    <col min="28" max="28" width="18.28515625" bestFit="1" customWidth="1"/>
    <col min="29" max="29" width="22.85546875" bestFit="1" customWidth="1"/>
    <col min="30" max="30" width="22.85546875" customWidth="1"/>
    <col min="31" max="31" width="18.85546875" bestFit="1" customWidth="1"/>
    <col min="32" max="32" width="17.28515625" bestFit="1" customWidth="1"/>
    <col min="33" max="33" width="9.5703125" bestFit="1" customWidth="1"/>
    <col min="34" max="34" width="13.5703125" customWidth="1"/>
    <col min="35" max="35" width="29.5703125" customWidth="1"/>
    <col min="36" max="36" width="25.140625" customWidth="1"/>
    <col min="37" max="37" width="20.28515625" customWidth="1"/>
    <col min="38" max="38" width="15.85546875" customWidth="1"/>
    <col min="39" max="39" width="11.7109375" customWidth="1"/>
    <col min="40" max="43" width="14.42578125" customWidth="1"/>
    <col min="44" max="44" width="26.85546875" customWidth="1"/>
    <col min="45" max="45" width="28.140625" customWidth="1"/>
    <col min="46" max="46" width="34.5703125" bestFit="1" customWidth="1"/>
  </cols>
  <sheetData>
    <row r="1" spans="1:46" s="41" customFormat="1" ht="32.25" customHeight="1" x14ac:dyDescent="0.25">
      <c r="A1" s="45" t="s">
        <v>0</v>
      </c>
      <c r="B1" s="45" t="s">
        <v>168</v>
      </c>
      <c r="C1" s="45" t="s">
        <v>20</v>
      </c>
      <c r="D1" s="45" t="s">
        <v>136</v>
      </c>
      <c r="E1" s="45" t="s">
        <v>2</v>
      </c>
      <c r="F1" s="45" t="s">
        <v>137</v>
      </c>
      <c r="G1" s="45" t="s">
        <v>4</v>
      </c>
      <c r="H1" s="41" t="s">
        <v>8</v>
      </c>
      <c r="I1" s="41" t="s">
        <v>68</v>
      </c>
      <c r="J1" s="41" t="s">
        <v>146</v>
      </c>
      <c r="K1" s="41" t="s">
        <v>170</v>
      </c>
      <c r="L1" s="42" t="s">
        <v>153</v>
      </c>
      <c r="M1" s="42" t="s">
        <v>164</v>
      </c>
      <c r="N1" s="42" t="s">
        <v>178</v>
      </c>
      <c r="O1" s="42" t="s">
        <v>138</v>
      </c>
      <c r="P1" s="41" t="s">
        <v>147</v>
      </c>
      <c r="Q1" s="41" t="s">
        <v>148</v>
      </c>
      <c r="R1" s="43" t="s">
        <v>139</v>
      </c>
      <c r="S1" s="43" t="s">
        <v>140</v>
      </c>
      <c r="T1" s="42" t="s">
        <v>171</v>
      </c>
      <c r="U1" s="41" t="s">
        <v>150</v>
      </c>
      <c r="V1" s="42" t="s">
        <v>151</v>
      </c>
      <c r="W1" s="41" t="s">
        <v>135</v>
      </c>
      <c r="X1" s="44" t="s">
        <v>5</v>
      </c>
      <c r="Y1" s="42" t="s">
        <v>141</v>
      </c>
      <c r="Z1" s="41" t="s">
        <v>142</v>
      </c>
      <c r="AA1" s="42" t="s">
        <v>143</v>
      </c>
      <c r="AB1" s="42" t="s">
        <v>144</v>
      </c>
      <c r="AC1" s="42" t="s">
        <v>152</v>
      </c>
      <c r="AD1" s="46" t="s">
        <v>186</v>
      </c>
      <c r="AE1" s="42" t="s">
        <v>10</v>
      </c>
      <c r="AF1" s="42" t="s">
        <v>155</v>
      </c>
      <c r="AG1" s="42" t="s">
        <v>6</v>
      </c>
      <c r="AH1" s="47" t="s">
        <v>162</v>
      </c>
      <c r="AI1" s="46" t="s">
        <v>166</v>
      </c>
      <c r="AJ1" s="46" t="s">
        <v>165</v>
      </c>
      <c r="AK1" s="44" t="s">
        <v>157</v>
      </c>
      <c r="AL1" s="44" t="s">
        <v>161</v>
      </c>
      <c r="AM1" s="46" t="s">
        <v>159</v>
      </c>
      <c r="AN1" s="46" t="s">
        <v>160</v>
      </c>
      <c r="AO1" s="46" t="s">
        <v>181</v>
      </c>
      <c r="AP1" s="46" t="s">
        <v>182</v>
      </c>
      <c r="AQ1" s="46" t="s">
        <v>185</v>
      </c>
      <c r="AR1" s="44" t="s">
        <v>154</v>
      </c>
      <c r="AS1" s="44" t="s">
        <v>156</v>
      </c>
      <c r="AT1" s="41" t="s">
        <v>173</v>
      </c>
    </row>
    <row r="2" spans="1:46" x14ac:dyDescent="0.25">
      <c r="A2" s="35">
        <v>44693</v>
      </c>
      <c r="B2" s="36">
        <v>0.36805555555555558</v>
      </c>
      <c r="C2" s="34" t="s">
        <v>183</v>
      </c>
      <c r="D2" s="34" t="s">
        <v>123</v>
      </c>
      <c r="E2" s="34">
        <v>5921</v>
      </c>
      <c r="F2" s="34" t="s">
        <v>100</v>
      </c>
      <c r="G2" s="34">
        <v>3</v>
      </c>
      <c r="H2" s="34" t="s">
        <v>158</v>
      </c>
      <c r="I2" s="34" t="s">
        <v>175</v>
      </c>
      <c r="J2" s="34" t="s">
        <v>176</v>
      </c>
      <c r="K2" s="34">
        <v>1</v>
      </c>
      <c r="L2" s="34" t="s">
        <v>149</v>
      </c>
      <c r="M2" s="34" t="s">
        <v>163</v>
      </c>
      <c r="N2" s="34" t="s">
        <v>179</v>
      </c>
      <c r="O2" s="34" t="s">
        <v>184</v>
      </c>
      <c r="P2" s="34" t="s">
        <v>177</v>
      </c>
      <c r="Q2" s="34" t="s">
        <v>180</v>
      </c>
      <c r="R2" s="37">
        <v>13</v>
      </c>
      <c r="S2" s="37">
        <v>-15</v>
      </c>
      <c r="T2" s="34">
        <v>16</v>
      </c>
      <c r="U2" s="34">
        <v>11.9</v>
      </c>
      <c r="V2" s="34" t="s">
        <v>145</v>
      </c>
      <c r="W2" s="34" t="s">
        <v>145</v>
      </c>
      <c r="X2" s="34" t="s">
        <v>145</v>
      </c>
      <c r="Y2" s="37">
        <v>-20.100000000000001</v>
      </c>
      <c r="Z2" s="34">
        <v>236</v>
      </c>
      <c r="AA2" s="39" t="s">
        <v>145</v>
      </c>
      <c r="AB2" s="34" t="s">
        <v>145</v>
      </c>
      <c r="AC2" s="34">
        <v>2550</v>
      </c>
      <c r="AD2" s="34">
        <v>1300</v>
      </c>
      <c r="AE2" s="34">
        <v>135</v>
      </c>
      <c r="AF2" s="34">
        <v>131</v>
      </c>
      <c r="AG2" s="34">
        <v>7</v>
      </c>
      <c r="AH2" s="34">
        <f>IF(CADO_EMPREGOS_2022[[#This Row],[ABORTIVA]]="METEORO","",IF(COUNTA(CADO_EMPREGOS_2022[[#This Row],[TRANSGRESSÕES]])&gt;0,0,CADO_EMPREGOS_2022[[#This Row],[NOTA COM PENALIDADES (FOULS)]]))</f>
        <v>8.4</v>
      </c>
      <c r="AI2" s="34"/>
      <c r="AJ2" s="34">
        <f>IFERROR(IF(CADO_EMPREGOS_2022[[#This Row],[NOTA SEM FOULS]]=0,0,IF(COUNTIF(CADO_EMPREGOS_2022[[#This Row],[FOUL TVB]:[FOUL DE EIXO]],1)&gt;0,0,CADO_EMPREGOS_2022[[#This Row],[NOTA SEM FOULS]])),"")</f>
        <v>8.4</v>
      </c>
      <c r="AK2" s="34">
        <f>IF(CADO_EMPREGOS_2022[[#This Row],[MODALIDADE]]="TT",CADO_EMPREGOS_2022[[#This Row],[NOTA ACERTOS]],IF(COUNTA(CADO_EMPREGOS_2022[[#This Row],[MODALIDADE]])=0,"",CADO_EMPREGOS_2022[[#This Row],[NOTA DISTÂNCIA]]))</f>
        <v>8.4</v>
      </c>
      <c r="AL2" s="34">
        <f>IF(AND(CADO_EMPREGOS_2022[[#This Row],[MODALIDADE]]="BRB",CADO_EMPREGOS_2022[[#This Row],[TVB]]&lt;=3),1,0)</f>
        <v>0</v>
      </c>
      <c r="AM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2" s="34">
        <f>IFERROR(IF(CADO_EMPREGOS_2022[[#This Row],[ALTURA DE RECUPERAÇÃO (FT)]]&lt;VLOOKUP(CADO_EMPREGOS_2022[[#This Row],[MODALIDADE]],Dados!$R$3:$AB$16,10,FALSE),1,0),"")</f>
        <v>0</v>
      </c>
      <c r="AP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2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2" s="34" cm="1">
        <f t="array" ref="AS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8.4</v>
      </c>
      <c r="AT2" s="34" t="s">
        <v>174</v>
      </c>
    </row>
    <row r="3" spans="1:46" x14ac:dyDescent="0.25">
      <c r="A3" s="35">
        <v>44693</v>
      </c>
      <c r="B3" s="36">
        <v>0.57638888888888895</v>
      </c>
      <c r="C3" s="34" t="s">
        <v>187</v>
      </c>
      <c r="D3" s="34" t="s">
        <v>123</v>
      </c>
      <c r="E3" s="34">
        <v>5721</v>
      </c>
      <c r="F3" s="34" t="s">
        <v>133</v>
      </c>
      <c r="G3" s="34">
        <v>3</v>
      </c>
      <c r="H3" s="34" t="s">
        <v>158</v>
      </c>
      <c r="I3" s="34" t="s">
        <v>175</v>
      </c>
      <c r="J3" s="34" t="s">
        <v>176</v>
      </c>
      <c r="K3" s="34">
        <v>1</v>
      </c>
      <c r="L3" s="34" t="s">
        <v>149</v>
      </c>
      <c r="M3" s="34" t="s">
        <v>163</v>
      </c>
      <c r="N3" s="34" t="s">
        <v>179</v>
      </c>
      <c r="O3" s="34" t="s">
        <v>184</v>
      </c>
      <c r="P3" s="34" t="s">
        <v>177</v>
      </c>
      <c r="Q3" s="34" t="s">
        <v>180</v>
      </c>
      <c r="R3" s="37">
        <v>-8</v>
      </c>
      <c r="S3" s="37">
        <v>-6</v>
      </c>
      <c r="T3" s="34">
        <v>8.1999999999999993</v>
      </c>
      <c r="U3" s="34">
        <v>8.6999999999999993</v>
      </c>
      <c r="V3" s="34" t="s">
        <v>145</v>
      </c>
      <c r="W3" s="34" t="s">
        <v>145</v>
      </c>
      <c r="X3" s="34" t="s">
        <v>145</v>
      </c>
      <c r="Y3" s="37">
        <v>-19.100000000000001</v>
      </c>
      <c r="Z3" s="34">
        <v>238</v>
      </c>
      <c r="AA3" s="39" t="s">
        <v>145</v>
      </c>
      <c r="AB3" s="34" t="s">
        <v>145</v>
      </c>
      <c r="AC3" s="34">
        <v>1880</v>
      </c>
      <c r="AD3" s="34">
        <v>1300</v>
      </c>
      <c r="AE3" s="34">
        <v>315</v>
      </c>
      <c r="AF3" s="34">
        <v>320</v>
      </c>
      <c r="AG3" s="34">
        <v>6</v>
      </c>
      <c r="AH3" s="34">
        <f>IF(CADO_EMPREGOS_2022[[#This Row],[ABORTIVA]]="METEORO","",IF(COUNTA(CADO_EMPREGOS_2022[[#This Row],[TRANSGRESSÕES]])&gt;0,0,CADO_EMPREGOS_2022[[#This Row],[NOTA COM PENALIDADES (FOULS)]]))</f>
        <v>9.18</v>
      </c>
      <c r="AI3" s="34"/>
      <c r="AJ3" s="34">
        <f>IFERROR(IF(CADO_EMPREGOS_2022[[#This Row],[NOTA SEM FOULS]]=0,0,IF(COUNTIF(CADO_EMPREGOS_2022[[#This Row],[FOUL TVB]:[FOUL DE EIXO]],1)&gt;0,0,CADO_EMPREGOS_2022[[#This Row],[NOTA SEM FOULS]])),"")</f>
        <v>9.18</v>
      </c>
      <c r="AK3" s="34">
        <f>IF(CADO_EMPREGOS_2022[[#This Row],[MODALIDADE]]="TT",CADO_EMPREGOS_2022[[#This Row],[NOTA ACERTOS]],IF(COUNTA(CADO_EMPREGOS_2022[[#This Row],[MODALIDADE]])=0,"",CADO_EMPREGOS_2022[[#This Row],[NOTA DISTÂNCIA]]))</f>
        <v>9.18</v>
      </c>
      <c r="AL3" s="34">
        <f>IF(AND(CADO_EMPREGOS_2022[[#This Row],[MODALIDADE]]="BRB",CADO_EMPREGOS_2022[[#This Row],[TVB]]&lt;=3),1,0)</f>
        <v>0</v>
      </c>
      <c r="AM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3" s="34">
        <f>IFERROR(IF(CADO_EMPREGOS_2022[[#This Row],[ALTURA DE RECUPERAÇÃO (FT)]]&lt;VLOOKUP(CADO_EMPREGOS_2022[[#This Row],[MODALIDADE]],Dados!$R$3:$AB$16,10,FALSE),1,0),"")</f>
        <v>0</v>
      </c>
      <c r="AP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3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3" s="34" cm="1">
        <f t="array" ref="AS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9.18</v>
      </c>
      <c r="AT3" s="34" t="s">
        <v>174</v>
      </c>
    </row>
    <row r="4" spans="1:46" x14ac:dyDescent="0.25">
      <c r="A4" s="35">
        <v>44693</v>
      </c>
      <c r="B4" s="36">
        <v>0.36805555555555558</v>
      </c>
      <c r="C4" s="34" t="s">
        <v>183</v>
      </c>
      <c r="D4" s="34" t="s">
        <v>123</v>
      </c>
      <c r="E4" s="34">
        <v>5921</v>
      </c>
      <c r="F4" s="34" t="s">
        <v>100</v>
      </c>
      <c r="G4" s="34">
        <v>3</v>
      </c>
      <c r="H4" s="34" t="s">
        <v>25</v>
      </c>
      <c r="I4" s="34" t="s">
        <v>175</v>
      </c>
      <c r="J4" s="34" t="s">
        <v>169</v>
      </c>
      <c r="K4" s="34">
        <v>1</v>
      </c>
      <c r="L4" s="34" t="s">
        <v>149</v>
      </c>
      <c r="M4" s="34" t="s">
        <v>163</v>
      </c>
      <c r="N4" s="34" t="s">
        <v>179</v>
      </c>
      <c r="O4" s="34" t="s">
        <v>184</v>
      </c>
      <c r="P4" s="34" t="s">
        <v>172</v>
      </c>
      <c r="Q4" s="34" t="s">
        <v>145</v>
      </c>
      <c r="R4" s="37" t="s">
        <v>145</v>
      </c>
      <c r="S4" s="37" t="s">
        <v>145</v>
      </c>
      <c r="T4" s="34" t="s">
        <v>145</v>
      </c>
      <c r="U4" s="34" t="s">
        <v>145</v>
      </c>
      <c r="V4" s="34">
        <v>30</v>
      </c>
      <c r="W4" s="34">
        <v>13</v>
      </c>
      <c r="X4" s="34">
        <v>0.43</v>
      </c>
      <c r="Y4" s="37">
        <v>-17.2</v>
      </c>
      <c r="Z4" s="34">
        <v>234</v>
      </c>
      <c r="AA4" s="39">
        <v>970</v>
      </c>
      <c r="AB4" s="34">
        <v>835</v>
      </c>
      <c r="AC4" s="34">
        <v>480</v>
      </c>
      <c r="AD4" s="34">
        <v>200</v>
      </c>
      <c r="AE4" s="34">
        <v>135</v>
      </c>
      <c r="AF4" s="34">
        <v>137</v>
      </c>
      <c r="AG4" s="34" t="s">
        <v>145</v>
      </c>
      <c r="AH4" s="34">
        <f>IF(CADO_EMPREGOS_2022[[#This Row],[ABORTIVA]]="METEORO","",IF(COUNTA(CADO_EMPREGOS_2022[[#This Row],[TRANSGRESSÕES]])&gt;0,0,CADO_EMPREGOS_2022[[#This Row],[NOTA COM PENALIDADES (FOULS)]]))</f>
        <v>4.3333333333333339</v>
      </c>
      <c r="AI4" s="34"/>
      <c r="AJ4" s="34">
        <f>IFERROR(IF(CADO_EMPREGOS_2022[[#This Row],[NOTA SEM FOULS]]=0,0,IF(COUNTIF(CADO_EMPREGOS_2022[[#This Row],[FOUL TVB]:[FOUL DE EIXO]],1)&gt;0,0,CADO_EMPREGOS_2022[[#This Row],[NOTA SEM FOULS]])),"")</f>
        <v>4.3333333333333339</v>
      </c>
      <c r="AK4" s="34">
        <f>IF(CADO_EMPREGOS_2022[[#This Row],[MODALIDADE]]="TT",CADO_EMPREGOS_2022[[#This Row],[NOTA ACERTOS]],IF(COUNTA(CADO_EMPREGOS_2022[[#This Row],[MODALIDADE]])=0,"",CADO_EMPREGOS_2022[[#This Row],[NOTA DISTÂNCIA]]))</f>
        <v>4.3333333333333339</v>
      </c>
      <c r="AL4" s="34">
        <f>IF(AND(CADO_EMPREGOS_2022[[#This Row],[MODALIDADE]]="BRB",CADO_EMPREGOS_2022[[#This Row],[TVB]]&lt;=3),1,0)</f>
        <v>0</v>
      </c>
      <c r="AM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4" s="34">
        <f>IFERROR(IF(CADO_EMPREGOS_2022[[#This Row],[ALTURA DE RECUPERAÇÃO (FT)]]&lt;VLOOKUP(CADO_EMPREGOS_2022[[#This Row],[MODALIDADE]],Dados!$R$3:$AB$16,10,FALSE),1,0),"")</f>
        <v>0</v>
      </c>
      <c r="AP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4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4.3333333333333339</v>
      </c>
      <c r="AS4" s="34" cm="1">
        <f t="array" ref="AS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4" s="34" t="s">
        <v>174</v>
      </c>
    </row>
    <row r="5" spans="1:46" x14ac:dyDescent="0.25">
      <c r="A5" s="35">
        <v>44693</v>
      </c>
      <c r="B5" s="36">
        <v>0.57638888888888895</v>
      </c>
      <c r="C5" s="34" t="s">
        <v>187</v>
      </c>
      <c r="D5" s="34" t="s">
        <v>123</v>
      </c>
      <c r="E5" s="34">
        <v>5921</v>
      </c>
      <c r="F5" s="34" t="s">
        <v>100</v>
      </c>
      <c r="G5" s="34">
        <v>3</v>
      </c>
      <c r="H5" s="34" t="s">
        <v>25</v>
      </c>
      <c r="I5" s="34" t="s">
        <v>175</v>
      </c>
      <c r="J5" s="34" t="s">
        <v>169</v>
      </c>
      <c r="K5" s="34">
        <v>1</v>
      </c>
      <c r="L5" s="34" t="s">
        <v>149</v>
      </c>
      <c r="M5" s="34" t="s">
        <v>163</v>
      </c>
      <c r="N5" s="34" t="s">
        <v>179</v>
      </c>
      <c r="O5" s="34" t="s">
        <v>184</v>
      </c>
      <c r="P5" s="34" t="s">
        <v>172</v>
      </c>
      <c r="Q5" s="34" t="s">
        <v>145</v>
      </c>
      <c r="R5" s="37" t="s">
        <v>145</v>
      </c>
      <c r="S5" s="37" t="s">
        <v>145</v>
      </c>
      <c r="T5" s="34" t="s">
        <v>145</v>
      </c>
      <c r="U5" s="34" t="s">
        <v>145</v>
      </c>
      <c r="V5" s="34">
        <v>21</v>
      </c>
      <c r="W5" s="34">
        <v>17</v>
      </c>
      <c r="X5" s="34">
        <v>81</v>
      </c>
      <c r="Y5" s="37">
        <v>-15.7</v>
      </c>
      <c r="Z5" s="34">
        <v>241</v>
      </c>
      <c r="AA5" s="39">
        <v>759</v>
      </c>
      <c r="AB5" s="34">
        <v>608</v>
      </c>
      <c r="AC5" s="34">
        <v>630</v>
      </c>
      <c r="AD5" s="34">
        <v>200</v>
      </c>
      <c r="AE5" s="34">
        <v>135</v>
      </c>
      <c r="AF5" s="34">
        <v>133</v>
      </c>
      <c r="AG5" s="34" t="s">
        <v>145</v>
      </c>
      <c r="AH5" s="34">
        <f>IF(CADO_EMPREGOS_2022[[#This Row],[ABORTIVA]]="METEORO","",IF(COUNTA(CADO_EMPREGOS_2022[[#This Row],[TRANSGRESSÕES]])&gt;0,0,CADO_EMPREGOS_2022[[#This Row],[NOTA COM PENALIDADES (FOULS)]]))</f>
        <v>5.6666666666666661</v>
      </c>
      <c r="AI5" s="34"/>
      <c r="AJ5" s="34">
        <f>IFERROR(IF(CADO_EMPREGOS_2022[[#This Row],[NOTA SEM FOULS]]=0,0,IF(COUNTIF(CADO_EMPREGOS_2022[[#This Row],[FOUL TVB]:[FOUL DE EIXO]],1)&gt;0,0,CADO_EMPREGOS_2022[[#This Row],[NOTA SEM FOULS]])),"")</f>
        <v>5.6666666666666661</v>
      </c>
      <c r="AK5" s="34">
        <f>IF(CADO_EMPREGOS_2022[[#This Row],[MODALIDADE]]="TT",CADO_EMPREGOS_2022[[#This Row],[NOTA ACERTOS]],IF(COUNTA(CADO_EMPREGOS_2022[[#This Row],[MODALIDADE]])=0,"",CADO_EMPREGOS_2022[[#This Row],[NOTA DISTÂNCIA]]))</f>
        <v>5.6666666666666661</v>
      </c>
      <c r="AL5" s="34">
        <f>IF(AND(CADO_EMPREGOS_2022[[#This Row],[MODALIDADE]]="BRB",CADO_EMPREGOS_2022[[#This Row],[TVB]]&lt;=3),1,0)</f>
        <v>0</v>
      </c>
      <c r="AM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5" s="34">
        <f>IFERROR(IF(CADO_EMPREGOS_2022[[#This Row],[ALTURA DE RECUPERAÇÃO (FT)]]&lt;VLOOKUP(CADO_EMPREGOS_2022[[#This Row],[MODALIDADE]],Dados!$R$3:$AB$16,10,FALSE),1,0),"")</f>
        <v>0</v>
      </c>
      <c r="AP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5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5.6666666666666661</v>
      </c>
      <c r="AS5" s="34" cm="1">
        <f t="array" ref="AS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5" s="34" t="s">
        <v>174</v>
      </c>
    </row>
    <row r="6" spans="1:46" x14ac:dyDescent="0.25">
      <c r="A6" s="35">
        <v>44697</v>
      </c>
      <c r="B6" s="36">
        <v>0.6875</v>
      </c>
      <c r="C6" s="34" t="s">
        <v>187</v>
      </c>
      <c r="D6" s="34" t="s">
        <v>115</v>
      </c>
      <c r="E6" s="34">
        <v>5959</v>
      </c>
      <c r="F6" s="34" t="s">
        <v>100</v>
      </c>
      <c r="G6" s="34">
        <v>4</v>
      </c>
      <c r="H6" s="34" t="s">
        <v>158</v>
      </c>
      <c r="I6" s="34" t="s">
        <v>175</v>
      </c>
      <c r="J6" s="34" t="s">
        <v>176</v>
      </c>
      <c r="K6" s="34">
        <v>1</v>
      </c>
      <c r="L6" s="34" t="s">
        <v>149</v>
      </c>
      <c r="M6" s="34" t="s">
        <v>163</v>
      </c>
      <c r="N6" s="34" t="s">
        <v>179</v>
      </c>
      <c r="O6" s="34" t="s">
        <v>184</v>
      </c>
      <c r="P6" s="34" t="s">
        <v>177</v>
      </c>
      <c r="Q6" s="34" t="s">
        <v>180</v>
      </c>
      <c r="R6" s="37">
        <v>11</v>
      </c>
      <c r="S6" s="37">
        <v>-5</v>
      </c>
      <c r="T6" s="34">
        <v>10.3</v>
      </c>
      <c r="U6" s="34">
        <v>8.3000000000000007</v>
      </c>
      <c r="V6" s="34" t="s">
        <v>145</v>
      </c>
      <c r="W6" s="34" t="s">
        <v>145</v>
      </c>
      <c r="X6" s="34" t="s">
        <v>145</v>
      </c>
      <c r="Y6" s="37">
        <v>-19.8</v>
      </c>
      <c r="Z6" s="34">
        <v>255</v>
      </c>
      <c r="AA6" s="39" t="s">
        <v>145</v>
      </c>
      <c r="AB6" s="34" t="s">
        <v>145</v>
      </c>
      <c r="AC6" s="34">
        <v>1410</v>
      </c>
      <c r="AD6" s="34">
        <v>300</v>
      </c>
      <c r="AE6" s="34">
        <v>135</v>
      </c>
      <c r="AF6" s="34">
        <v>135</v>
      </c>
      <c r="AG6" s="34" t="s">
        <v>145</v>
      </c>
      <c r="AH6" s="34">
        <f>IF(CADO_EMPREGOS_2022[[#This Row],[ABORTIVA]]="METEORO","",IF(COUNTA(CADO_EMPREGOS_2022[[#This Row],[TRANSGRESSÕES]])&gt;0,0,CADO_EMPREGOS_2022[[#This Row],[NOTA COM PENALIDADES (FOULS)]]))</f>
        <v>8.9700000000000006</v>
      </c>
      <c r="AI6" s="34"/>
      <c r="AJ6" s="34">
        <f>IFERROR(IF(CADO_EMPREGOS_2022[[#This Row],[NOTA SEM FOULS]]=0,0,IF(COUNTIF(CADO_EMPREGOS_2022[[#This Row],[FOUL TVB]:[FOUL DE EIXO]],1)&gt;0,0,CADO_EMPREGOS_2022[[#This Row],[NOTA SEM FOULS]])),"")</f>
        <v>8.9700000000000006</v>
      </c>
      <c r="AK6" s="34">
        <f>IF(CADO_EMPREGOS_2022[[#This Row],[MODALIDADE]]="TT",CADO_EMPREGOS_2022[[#This Row],[NOTA ACERTOS]],IF(COUNTA(CADO_EMPREGOS_2022[[#This Row],[MODALIDADE]])=0,"",CADO_EMPREGOS_2022[[#This Row],[NOTA DISTÂNCIA]]))</f>
        <v>8.9700000000000006</v>
      </c>
      <c r="AL6" s="34">
        <f>IF(AND(CADO_EMPREGOS_2022[[#This Row],[MODALIDADE]]="BRB",CADO_EMPREGOS_2022[[#This Row],[TVB]]&lt;=3),1,0)</f>
        <v>0</v>
      </c>
      <c r="AM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6" s="34">
        <f>IFERROR(IF(CADO_EMPREGOS_2022[[#This Row],[ALTURA DE RECUPERAÇÃO (FT)]]&lt;VLOOKUP(CADO_EMPREGOS_2022[[#This Row],[MODALIDADE]],Dados!$R$3:$AB$16,10,FALSE),1,0),"")</f>
        <v>0</v>
      </c>
      <c r="AP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6" s="34" cm="1">
        <f t="array" ref="AS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8.9700000000000006</v>
      </c>
      <c r="AT6" s="34" t="s">
        <v>174</v>
      </c>
    </row>
    <row r="7" spans="1:46" x14ac:dyDescent="0.25">
      <c r="A7" s="35">
        <v>44697</v>
      </c>
      <c r="B7" s="36">
        <v>0.6875</v>
      </c>
      <c r="C7" s="34" t="s">
        <v>187</v>
      </c>
      <c r="D7" s="34" t="s">
        <v>115</v>
      </c>
      <c r="E7" s="34">
        <v>5959</v>
      </c>
      <c r="F7" s="34" t="s">
        <v>100</v>
      </c>
      <c r="G7" s="34">
        <v>4</v>
      </c>
      <c r="H7" s="34" t="s">
        <v>158</v>
      </c>
      <c r="I7" s="34" t="s">
        <v>175</v>
      </c>
      <c r="J7" s="34" t="s">
        <v>176</v>
      </c>
      <c r="K7" s="34">
        <v>1</v>
      </c>
      <c r="L7" s="34" t="s">
        <v>149</v>
      </c>
      <c r="M7" s="34" t="s">
        <v>163</v>
      </c>
      <c r="N7" s="34" t="s">
        <v>179</v>
      </c>
      <c r="O7" s="34" t="s">
        <v>184</v>
      </c>
      <c r="P7" s="34" t="s">
        <v>177</v>
      </c>
      <c r="Q7" s="34" t="s">
        <v>180</v>
      </c>
      <c r="R7" s="37">
        <v>6</v>
      </c>
      <c r="S7" s="37">
        <v>-3</v>
      </c>
      <c r="T7" s="34">
        <v>5.4</v>
      </c>
      <c r="U7" s="34">
        <v>6.6</v>
      </c>
      <c r="V7" s="34" t="s">
        <v>145</v>
      </c>
      <c r="W7" s="34" t="s">
        <v>145</v>
      </c>
      <c r="X7" s="34" t="s">
        <v>145</v>
      </c>
      <c r="Y7" s="37">
        <v>-21</v>
      </c>
      <c r="Z7" s="34">
        <v>238</v>
      </c>
      <c r="AA7" s="39" t="s">
        <v>145</v>
      </c>
      <c r="AB7" s="34" t="s">
        <v>145</v>
      </c>
      <c r="AC7" s="34">
        <v>1390</v>
      </c>
      <c r="AD7" s="34">
        <v>1300</v>
      </c>
      <c r="AE7" s="34">
        <v>315</v>
      </c>
      <c r="AF7" s="34">
        <v>317</v>
      </c>
      <c r="AG7" s="34" t="s">
        <v>145</v>
      </c>
      <c r="AH7" s="34">
        <f>IF(CADO_EMPREGOS_2022[[#This Row],[ABORTIVA]]="METEORO","",IF(COUNTA(CADO_EMPREGOS_2022[[#This Row],[TRANSGRESSÕES]])&gt;0,0,CADO_EMPREGOS_2022[[#This Row],[NOTA COM PENALIDADES (FOULS)]]))</f>
        <v>9.4600000000000009</v>
      </c>
      <c r="AI7" s="34"/>
      <c r="AJ7" s="34">
        <f>IFERROR(IF(CADO_EMPREGOS_2022[[#This Row],[NOTA SEM FOULS]]=0,0,IF(COUNTIF(CADO_EMPREGOS_2022[[#This Row],[FOUL TVB]:[FOUL DE EIXO]],1)&gt;0,0,CADO_EMPREGOS_2022[[#This Row],[NOTA SEM FOULS]])),"")</f>
        <v>9.4600000000000009</v>
      </c>
      <c r="AK7" s="34">
        <f>IF(CADO_EMPREGOS_2022[[#This Row],[MODALIDADE]]="TT",CADO_EMPREGOS_2022[[#This Row],[NOTA ACERTOS]],IF(COUNTA(CADO_EMPREGOS_2022[[#This Row],[MODALIDADE]])=0,"",CADO_EMPREGOS_2022[[#This Row],[NOTA DISTÂNCIA]]))</f>
        <v>9.4600000000000009</v>
      </c>
      <c r="AL7" s="34">
        <f>IF(AND(CADO_EMPREGOS_2022[[#This Row],[MODALIDADE]]="BRB",CADO_EMPREGOS_2022[[#This Row],[TVB]]&lt;=3),1,0)</f>
        <v>0</v>
      </c>
      <c r="AM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7" s="34">
        <f>IFERROR(IF(CADO_EMPREGOS_2022[[#This Row],[ALTURA DE RECUPERAÇÃO (FT)]]&lt;VLOOKUP(CADO_EMPREGOS_2022[[#This Row],[MODALIDADE]],Dados!$R$3:$AB$16,10,FALSE),1,0),"")</f>
        <v>0</v>
      </c>
      <c r="AP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7" s="34" cm="1">
        <f t="array" ref="AS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9.4600000000000009</v>
      </c>
      <c r="AT7" s="34" t="s">
        <v>174</v>
      </c>
    </row>
    <row r="8" spans="1:46" x14ac:dyDescent="0.25">
      <c r="A8" s="35">
        <v>44698</v>
      </c>
      <c r="B8" s="36">
        <v>0.36805555555555558</v>
      </c>
      <c r="C8" s="34" t="s">
        <v>183</v>
      </c>
      <c r="D8" s="34" t="s">
        <v>115</v>
      </c>
      <c r="E8" s="34">
        <v>5959</v>
      </c>
      <c r="F8" s="34" t="s">
        <v>133</v>
      </c>
      <c r="G8" s="34">
        <v>4</v>
      </c>
      <c r="H8" s="34" t="s">
        <v>158</v>
      </c>
      <c r="I8" s="34" t="s">
        <v>175</v>
      </c>
      <c r="J8" s="34" t="s">
        <v>176</v>
      </c>
      <c r="K8" s="34">
        <v>1</v>
      </c>
      <c r="L8" s="34" t="s">
        <v>149</v>
      </c>
      <c r="M8" s="34" t="s">
        <v>163</v>
      </c>
      <c r="N8" s="34" t="s">
        <v>179</v>
      </c>
      <c r="O8" s="34" t="s">
        <v>184</v>
      </c>
      <c r="P8" s="34" t="s">
        <v>177</v>
      </c>
      <c r="Q8" s="34" t="s">
        <v>180</v>
      </c>
      <c r="R8" s="37">
        <v>-19.5</v>
      </c>
      <c r="S8" s="37">
        <v>5</v>
      </c>
      <c r="T8" s="34">
        <v>15.9</v>
      </c>
      <c r="U8" s="34">
        <v>7</v>
      </c>
      <c r="V8" s="34" t="s">
        <v>145</v>
      </c>
      <c r="W8" s="34" t="s">
        <v>145</v>
      </c>
      <c r="X8" s="34" t="s">
        <v>145</v>
      </c>
      <c r="Y8" s="37">
        <v>-21.6</v>
      </c>
      <c r="Z8" s="34">
        <v>252</v>
      </c>
      <c r="AA8" s="39" t="s">
        <v>145</v>
      </c>
      <c r="AB8" s="34" t="s">
        <v>145</v>
      </c>
      <c r="AC8" s="34">
        <v>1480</v>
      </c>
      <c r="AD8" s="34">
        <v>1300</v>
      </c>
      <c r="AE8" s="34">
        <v>135</v>
      </c>
      <c r="AF8" s="34">
        <v>134</v>
      </c>
      <c r="AG8" s="34" t="s">
        <v>145</v>
      </c>
      <c r="AH8" s="34">
        <f>IF(CADO_EMPREGOS_2022[[#This Row],[ABORTIVA]]="METEORO","",IF(COUNTA(CADO_EMPREGOS_2022[[#This Row],[TRANSGRESSÕES]])&gt;0,0,CADO_EMPREGOS_2022[[#This Row],[NOTA COM PENALIDADES (FOULS)]]))</f>
        <v>8.41</v>
      </c>
      <c r="AI8" s="34"/>
      <c r="AJ8" s="34">
        <f>IFERROR(IF(CADO_EMPREGOS_2022[[#This Row],[NOTA SEM FOULS]]=0,0,IF(COUNTIF(CADO_EMPREGOS_2022[[#This Row],[FOUL TVB]:[FOUL DE EIXO]],1)&gt;0,0,CADO_EMPREGOS_2022[[#This Row],[NOTA SEM FOULS]])),"")</f>
        <v>8.41</v>
      </c>
      <c r="AK8" s="34">
        <f>IF(CADO_EMPREGOS_2022[[#This Row],[MODALIDADE]]="TT",CADO_EMPREGOS_2022[[#This Row],[NOTA ACERTOS]],IF(COUNTA(CADO_EMPREGOS_2022[[#This Row],[MODALIDADE]])=0,"",CADO_EMPREGOS_2022[[#This Row],[NOTA DISTÂNCIA]]))</f>
        <v>8.41</v>
      </c>
      <c r="AL8" s="34">
        <f>IF(AND(CADO_EMPREGOS_2022[[#This Row],[MODALIDADE]]="BRB",CADO_EMPREGOS_2022[[#This Row],[TVB]]&lt;=3),1,0)</f>
        <v>0</v>
      </c>
      <c r="AM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8" s="34">
        <f>IFERROR(IF(CADO_EMPREGOS_2022[[#This Row],[ALTURA DE RECUPERAÇÃO (FT)]]&lt;VLOOKUP(CADO_EMPREGOS_2022[[#This Row],[MODALIDADE]],Dados!$R$3:$AB$16,10,FALSE),1,0),"")</f>
        <v>0</v>
      </c>
      <c r="AP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8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8" s="34" cm="1">
        <f t="array" ref="AS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8.41</v>
      </c>
      <c r="AT8" s="34" t="s">
        <v>174</v>
      </c>
    </row>
    <row r="9" spans="1:46" x14ac:dyDescent="0.25">
      <c r="A9" s="35">
        <v>44697</v>
      </c>
      <c r="B9" s="36">
        <v>0.6875</v>
      </c>
      <c r="C9" s="34" t="s">
        <v>187</v>
      </c>
      <c r="D9" s="34" t="s">
        <v>115</v>
      </c>
      <c r="E9" s="34">
        <v>5959</v>
      </c>
      <c r="F9" s="34" t="s">
        <v>100</v>
      </c>
      <c r="G9" s="34">
        <v>4</v>
      </c>
      <c r="H9" s="34" t="s">
        <v>25</v>
      </c>
      <c r="I9" s="34" t="s">
        <v>175</v>
      </c>
      <c r="J9" s="34" t="s">
        <v>169</v>
      </c>
      <c r="K9" s="34">
        <v>1</v>
      </c>
      <c r="L9" s="34" t="s">
        <v>149</v>
      </c>
      <c r="M9" s="34" t="s">
        <v>163</v>
      </c>
      <c r="N9" s="34" t="s">
        <v>179</v>
      </c>
      <c r="O9" s="34" t="s">
        <v>184</v>
      </c>
      <c r="P9" s="34" t="s">
        <v>172</v>
      </c>
      <c r="Q9" s="34" t="s">
        <v>145</v>
      </c>
      <c r="R9" s="37" t="s">
        <v>145</v>
      </c>
      <c r="S9" s="37" t="s">
        <v>145</v>
      </c>
      <c r="T9" s="34" t="s">
        <v>145</v>
      </c>
      <c r="U9" s="34" t="s">
        <v>145</v>
      </c>
      <c r="V9" s="34">
        <v>30</v>
      </c>
      <c r="W9" s="34">
        <v>19</v>
      </c>
      <c r="X9" s="34">
        <v>0.63</v>
      </c>
      <c r="Y9" s="37">
        <v>-15.8</v>
      </c>
      <c r="Z9" s="34">
        <v>250</v>
      </c>
      <c r="AA9" s="39">
        <v>647</v>
      </c>
      <c r="AB9" s="34">
        <v>542</v>
      </c>
      <c r="AC9" s="34">
        <v>270</v>
      </c>
      <c r="AD9" s="34">
        <v>200</v>
      </c>
      <c r="AE9" s="34">
        <v>135</v>
      </c>
      <c r="AF9" s="34">
        <v>130</v>
      </c>
      <c r="AG9" s="34" t="s">
        <v>145</v>
      </c>
      <c r="AH9" s="34">
        <f>IF(CADO_EMPREGOS_2022[[#This Row],[ABORTIVA]]="METEORO","",IF(COUNTA(CADO_EMPREGOS_2022[[#This Row],[TRANSGRESSÕES]])&gt;0,0,CADO_EMPREGOS_2022[[#This Row],[NOTA COM PENALIDADES (FOULS)]]))</f>
        <v>6.333333333333333</v>
      </c>
      <c r="AI9" s="34"/>
      <c r="AJ9" s="34">
        <f>IFERROR(IF(CADO_EMPREGOS_2022[[#This Row],[NOTA SEM FOULS]]=0,0,IF(COUNTIF(CADO_EMPREGOS_2022[[#This Row],[FOUL TVB]:[FOUL DE EIXO]],1)&gt;0,0,CADO_EMPREGOS_2022[[#This Row],[NOTA SEM FOULS]])),"")</f>
        <v>6.333333333333333</v>
      </c>
      <c r="AK9" s="34">
        <f>IF(CADO_EMPREGOS_2022[[#This Row],[MODALIDADE]]="TT",CADO_EMPREGOS_2022[[#This Row],[NOTA ACERTOS]],IF(COUNTA(CADO_EMPREGOS_2022[[#This Row],[MODALIDADE]])=0,"",CADO_EMPREGOS_2022[[#This Row],[NOTA DISTÂNCIA]]))</f>
        <v>6.333333333333333</v>
      </c>
      <c r="AL9" s="34">
        <f>IF(AND(CADO_EMPREGOS_2022[[#This Row],[MODALIDADE]]="BRB",CADO_EMPREGOS_2022[[#This Row],[TVB]]&lt;=3),1,0)</f>
        <v>0</v>
      </c>
      <c r="AM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9" s="34">
        <f>IFERROR(IF(CADO_EMPREGOS_2022[[#This Row],[ALTURA DE RECUPERAÇÃO (FT)]]&lt;VLOOKUP(CADO_EMPREGOS_2022[[#This Row],[MODALIDADE]],Dados!$R$3:$AB$16,10,FALSE),1,0),"")</f>
        <v>0</v>
      </c>
      <c r="AP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9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6.333333333333333</v>
      </c>
      <c r="AS9" s="34" cm="1">
        <f t="array" ref="AS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9" s="34" t="s">
        <v>174</v>
      </c>
    </row>
    <row r="10" spans="1:46" x14ac:dyDescent="0.25">
      <c r="A10" s="35">
        <v>44698</v>
      </c>
      <c r="B10" s="36">
        <v>0.36805555555555558</v>
      </c>
      <c r="C10" s="34" t="s">
        <v>183</v>
      </c>
      <c r="D10" s="34" t="s">
        <v>115</v>
      </c>
      <c r="E10" s="34">
        <v>5959</v>
      </c>
      <c r="F10" s="34" t="s">
        <v>133</v>
      </c>
      <c r="G10" s="34">
        <v>4</v>
      </c>
      <c r="H10" s="34" t="s">
        <v>25</v>
      </c>
      <c r="I10" s="34" t="s">
        <v>175</v>
      </c>
      <c r="J10" s="34" t="s">
        <v>169</v>
      </c>
      <c r="K10" s="34">
        <v>1</v>
      </c>
      <c r="L10" s="34" t="s">
        <v>149</v>
      </c>
      <c r="M10" s="34" t="s">
        <v>163</v>
      </c>
      <c r="N10" s="34" t="s">
        <v>179</v>
      </c>
      <c r="O10" s="34" t="s">
        <v>184</v>
      </c>
      <c r="P10" s="34" t="s">
        <v>172</v>
      </c>
      <c r="Q10" s="34" t="s">
        <v>145</v>
      </c>
      <c r="R10" s="37" t="s">
        <v>145</v>
      </c>
      <c r="S10" s="37" t="s">
        <v>145</v>
      </c>
      <c r="T10" s="34" t="s">
        <v>145</v>
      </c>
      <c r="U10" s="34" t="s">
        <v>145</v>
      </c>
      <c r="V10" s="34">
        <v>30</v>
      </c>
      <c r="W10" s="34">
        <v>21</v>
      </c>
      <c r="X10" s="34">
        <v>0.7</v>
      </c>
      <c r="Y10" s="37">
        <v>-14.7</v>
      </c>
      <c r="Z10" s="34">
        <v>242</v>
      </c>
      <c r="AA10" s="39">
        <v>726</v>
      </c>
      <c r="AB10" s="34">
        <v>550</v>
      </c>
      <c r="AC10" s="34">
        <v>280</v>
      </c>
      <c r="AD10" s="34">
        <v>200</v>
      </c>
      <c r="AE10" s="34">
        <v>135</v>
      </c>
      <c r="AF10" s="34">
        <v>134</v>
      </c>
      <c r="AG10" s="34" t="s">
        <v>145</v>
      </c>
      <c r="AH10" s="34">
        <f>IF(CADO_EMPREGOS_2022[[#This Row],[ABORTIVA]]="METEORO","",IF(COUNTA(CADO_EMPREGOS_2022[[#This Row],[TRANSGRESSÕES]])&gt;0,0,CADO_EMPREGOS_2022[[#This Row],[NOTA COM PENALIDADES (FOULS)]]))</f>
        <v>7</v>
      </c>
      <c r="AI10" s="34"/>
      <c r="AJ10" s="34">
        <f>IFERROR(IF(CADO_EMPREGOS_2022[[#This Row],[NOTA SEM FOULS]]=0,0,IF(COUNTIF(CADO_EMPREGOS_2022[[#This Row],[FOUL TVB]:[FOUL DE EIXO]],1)&gt;0,0,CADO_EMPREGOS_2022[[#This Row],[NOTA SEM FOULS]])),"")</f>
        <v>7</v>
      </c>
      <c r="AK10" s="34">
        <f>IF(CADO_EMPREGOS_2022[[#This Row],[MODALIDADE]]="TT",CADO_EMPREGOS_2022[[#This Row],[NOTA ACERTOS]],IF(COUNTA(CADO_EMPREGOS_2022[[#This Row],[MODALIDADE]])=0,"",CADO_EMPREGOS_2022[[#This Row],[NOTA DISTÂNCIA]]))</f>
        <v>7</v>
      </c>
      <c r="AL10" s="34">
        <f>IF(AND(CADO_EMPREGOS_2022[[#This Row],[MODALIDADE]]="BRB",CADO_EMPREGOS_2022[[#This Row],[TVB]]&lt;=3),1,0)</f>
        <v>0</v>
      </c>
      <c r="AM1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0" s="34">
        <f>IFERROR(IF(CADO_EMPREGOS_2022[[#This Row],[ALTURA DE RECUPERAÇÃO (FT)]]&lt;VLOOKUP(CADO_EMPREGOS_2022[[#This Row],[MODALIDADE]],Dados!$R$3:$AB$16,10,FALSE),1,0),"")</f>
        <v>0</v>
      </c>
      <c r="AP1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0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7</v>
      </c>
      <c r="AS10" s="34" cm="1">
        <f t="array" ref="AS1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0" s="34" t="s">
        <v>174</v>
      </c>
    </row>
    <row r="11" spans="1:46" x14ac:dyDescent="0.25">
      <c r="A11" s="35">
        <v>44691</v>
      </c>
      <c r="B11" s="36">
        <v>0.57638888888888895</v>
      </c>
      <c r="C11" s="34" t="s">
        <v>183</v>
      </c>
      <c r="D11" s="34" t="s">
        <v>120</v>
      </c>
      <c r="E11" s="34">
        <v>5733</v>
      </c>
      <c r="F11" s="34" t="s">
        <v>100</v>
      </c>
      <c r="G11" s="34">
        <v>1</v>
      </c>
      <c r="H11" s="34" t="s">
        <v>158</v>
      </c>
      <c r="I11" s="34" t="s">
        <v>175</v>
      </c>
      <c r="J11" s="34" t="s">
        <v>176</v>
      </c>
      <c r="K11" s="34">
        <v>1</v>
      </c>
      <c r="L11" s="34" t="s">
        <v>149</v>
      </c>
      <c r="M11" s="34" t="s">
        <v>163</v>
      </c>
      <c r="N11" s="34" t="s">
        <v>179</v>
      </c>
      <c r="O11" s="34" t="s">
        <v>184</v>
      </c>
      <c r="P11" s="34" t="s">
        <v>177</v>
      </c>
      <c r="Q11" s="34" t="s">
        <v>180</v>
      </c>
      <c r="R11" s="37">
        <v>20</v>
      </c>
      <c r="S11" s="37">
        <v>-25</v>
      </c>
      <c r="T11" s="34">
        <v>26.1</v>
      </c>
      <c r="U11" s="34">
        <v>11.8</v>
      </c>
      <c r="V11" s="34" t="s">
        <v>145</v>
      </c>
      <c r="W11" s="34" t="s">
        <v>145</v>
      </c>
      <c r="X11" s="34" t="s">
        <v>145</v>
      </c>
      <c r="Y11" s="37">
        <v>-14.2</v>
      </c>
      <c r="Z11" s="34">
        <v>229</v>
      </c>
      <c r="AA11" s="39" t="s">
        <v>145</v>
      </c>
      <c r="AB11" s="34" t="s">
        <v>145</v>
      </c>
      <c r="AC11" s="34">
        <v>1070</v>
      </c>
      <c r="AD11" s="34">
        <v>1300</v>
      </c>
      <c r="AE11" s="34">
        <v>315</v>
      </c>
      <c r="AF11" s="34">
        <v>319</v>
      </c>
      <c r="AG11" s="34">
        <v>4</v>
      </c>
      <c r="AH11" s="34">
        <f>IF(CADO_EMPREGOS_2022[[#This Row],[ABORTIVA]]="METEORO","",IF(COUNTA(CADO_EMPREGOS_2022[[#This Row],[TRANSGRESSÕES]])&gt;0,0,CADO_EMPREGOS_2022[[#This Row],[NOTA COM PENALIDADES (FOULS)]]))</f>
        <v>0</v>
      </c>
      <c r="AI11" s="34"/>
      <c r="AJ11" s="34">
        <f>IFERROR(IF(CADO_EMPREGOS_2022[[#This Row],[NOTA SEM FOULS]]=0,0,IF(COUNTIF(CADO_EMPREGOS_2022[[#This Row],[FOUL TVB]:[FOUL DE EIXO]],1)&gt;0,0,CADO_EMPREGOS_2022[[#This Row],[NOTA SEM FOULS]])),"")</f>
        <v>0</v>
      </c>
      <c r="AK11" s="34">
        <f>IF(CADO_EMPREGOS_2022[[#This Row],[MODALIDADE]]="TT",CADO_EMPREGOS_2022[[#This Row],[NOTA ACERTOS]],IF(COUNTA(CADO_EMPREGOS_2022[[#This Row],[MODALIDADE]])=0,"",CADO_EMPREGOS_2022[[#This Row],[NOTA DISTÂNCIA]]))</f>
        <v>7.39</v>
      </c>
      <c r="AL11" s="34">
        <f>IF(AND(CADO_EMPREGOS_2022[[#This Row],[MODALIDADE]]="BRB",CADO_EMPREGOS_2022[[#This Row],[TVB]]&lt;=3),1,0)</f>
        <v>0</v>
      </c>
      <c r="AM1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1</v>
      </c>
      <c r="AN1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1" s="34">
        <f>IFERROR(IF(CADO_EMPREGOS_2022[[#This Row],[ALTURA DE RECUPERAÇÃO (FT)]]&lt;VLOOKUP(CADO_EMPREGOS_2022[[#This Row],[MODALIDADE]],Dados!$R$3:$AB$16,10,FALSE),1,0),"")</f>
        <v>1</v>
      </c>
      <c r="AP1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1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1" s="34" cm="1">
        <f t="array" ref="AS1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7.39</v>
      </c>
      <c r="AT11" s="34" t="s">
        <v>174</v>
      </c>
    </row>
    <row r="12" spans="1:46" x14ac:dyDescent="0.25">
      <c r="A12" s="35">
        <v>44695</v>
      </c>
      <c r="B12" s="36">
        <v>0.6875</v>
      </c>
      <c r="C12" s="34" t="s">
        <v>183</v>
      </c>
      <c r="D12" s="34" t="s">
        <v>120</v>
      </c>
      <c r="E12" s="34">
        <v>5920</v>
      </c>
      <c r="F12" s="34" t="s">
        <v>133</v>
      </c>
      <c r="G12" s="34">
        <v>1</v>
      </c>
      <c r="H12" s="34" t="s">
        <v>158</v>
      </c>
      <c r="I12" s="34" t="s">
        <v>175</v>
      </c>
      <c r="J12" s="34" t="s">
        <v>176</v>
      </c>
      <c r="K12" s="34">
        <v>1</v>
      </c>
      <c r="L12" s="34" t="s">
        <v>149</v>
      </c>
      <c r="M12" s="34" t="s">
        <v>163</v>
      </c>
      <c r="N12" s="34" t="s">
        <v>179</v>
      </c>
      <c r="O12" s="34" t="s">
        <v>184</v>
      </c>
      <c r="P12" s="34" t="s">
        <v>177</v>
      </c>
      <c r="Q12" s="34" t="s">
        <v>180</v>
      </c>
      <c r="R12" s="37">
        <v>4</v>
      </c>
      <c r="S12" s="37">
        <v>-3</v>
      </c>
      <c r="T12" s="34">
        <v>4</v>
      </c>
      <c r="U12" s="34">
        <v>12</v>
      </c>
      <c r="V12" s="34" t="s">
        <v>145</v>
      </c>
      <c r="W12" s="34" t="s">
        <v>145</v>
      </c>
      <c r="X12" s="34" t="s">
        <v>145</v>
      </c>
      <c r="Y12" s="37">
        <v>-20.2</v>
      </c>
      <c r="Z12" s="34">
        <v>246</v>
      </c>
      <c r="AA12" s="39"/>
      <c r="AB12" s="34" t="s">
        <v>145</v>
      </c>
      <c r="AC12" s="34">
        <v>1920</v>
      </c>
      <c r="AD12" s="34">
        <v>1300</v>
      </c>
      <c r="AE12" s="34">
        <v>135</v>
      </c>
      <c r="AF12" s="34">
        <v>137</v>
      </c>
      <c r="AG12" s="34">
        <v>6</v>
      </c>
      <c r="AH12" s="34">
        <f>IF(CADO_EMPREGOS_2022[[#This Row],[ABORTIVA]]="METEORO","",IF(COUNTA(CADO_EMPREGOS_2022[[#This Row],[TRANSGRESSÕES]])&gt;0,0,CADO_EMPREGOS_2022[[#This Row],[NOTA COM PENALIDADES (FOULS)]]))</f>
        <v>9.6</v>
      </c>
      <c r="AI12" s="34"/>
      <c r="AJ12" s="34">
        <f>IFERROR(IF(CADO_EMPREGOS_2022[[#This Row],[NOTA SEM FOULS]]=0,0,IF(COUNTIF(CADO_EMPREGOS_2022[[#This Row],[FOUL TVB]:[FOUL DE EIXO]],1)&gt;0,0,CADO_EMPREGOS_2022[[#This Row],[NOTA SEM FOULS]])),"")</f>
        <v>9.6</v>
      </c>
      <c r="AK12" s="34">
        <f>IF(CADO_EMPREGOS_2022[[#This Row],[MODALIDADE]]="TT",CADO_EMPREGOS_2022[[#This Row],[NOTA ACERTOS]],IF(COUNTA(CADO_EMPREGOS_2022[[#This Row],[MODALIDADE]])=0,"",CADO_EMPREGOS_2022[[#This Row],[NOTA DISTÂNCIA]]))</f>
        <v>9.6</v>
      </c>
      <c r="AL12" s="34">
        <f>IF(AND(CADO_EMPREGOS_2022[[#This Row],[MODALIDADE]]="BRB",CADO_EMPREGOS_2022[[#This Row],[TVB]]&lt;=3),1,0)</f>
        <v>0</v>
      </c>
      <c r="AM1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2" s="34">
        <f>IFERROR(IF(CADO_EMPREGOS_2022[[#This Row],[ALTURA DE RECUPERAÇÃO (FT)]]&lt;VLOOKUP(CADO_EMPREGOS_2022[[#This Row],[MODALIDADE]],Dados!$R$3:$AB$16,10,FALSE),1,0),"")</f>
        <v>0</v>
      </c>
      <c r="AP1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2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2" s="34" cm="1">
        <f t="array" ref="AS1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9.6</v>
      </c>
      <c r="AT12" s="34" t="s">
        <v>174</v>
      </c>
    </row>
    <row r="13" spans="1:46" x14ac:dyDescent="0.25">
      <c r="A13" s="35">
        <v>44695</v>
      </c>
      <c r="B13" s="36">
        <v>0.6875</v>
      </c>
      <c r="C13" s="34" t="s">
        <v>183</v>
      </c>
      <c r="D13" s="34" t="s">
        <v>120</v>
      </c>
      <c r="E13" s="34">
        <v>5920</v>
      </c>
      <c r="F13" s="34" t="s">
        <v>133</v>
      </c>
      <c r="G13" s="34">
        <v>1</v>
      </c>
      <c r="H13" s="34" t="s">
        <v>158</v>
      </c>
      <c r="I13" s="34" t="s">
        <v>175</v>
      </c>
      <c r="J13" s="34" t="s">
        <v>176</v>
      </c>
      <c r="K13" s="34">
        <v>1</v>
      </c>
      <c r="L13" s="34" t="s">
        <v>149</v>
      </c>
      <c r="M13" s="34" t="s">
        <v>163</v>
      </c>
      <c r="N13" s="34" t="s">
        <v>179</v>
      </c>
      <c r="O13" s="34" t="s">
        <v>184</v>
      </c>
      <c r="P13" s="34" t="s">
        <v>177</v>
      </c>
      <c r="Q13" s="34" t="s">
        <v>180</v>
      </c>
      <c r="R13" s="37">
        <v>15</v>
      </c>
      <c r="S13" s="37">
        <v>-4</v>
      </c>
      <c r="T13" s="34">
        <v>12.9</v>
      </c>
      <c r="U13" s="34">
        <v>7</v>
      </c>
      <c r="V13" s="34" t="s">
        <v>145</v>
      </c>
      <c r="W13" s="34" t="s">
        <v>145</v>
      </c>
      <c r="X13" s="34" t="s">
        <v>145</v>
      </c>
      <c r="Y13" s="37">
        <v>-19.100000000000001</v>
      </c>
      <c r="Z13" s="34">
        <v>233</v>
      </c>
      <c r="AA13" s="39" t="s">
        <v>145</v>
      </c>
      <c r="AB13" s="34" t="s">
        <v>145</v>
      </c>
      <c r="AC13" s="34">
        <v>1750</v>
      </c>
      <c r="AD13" s="34">
        <v>1300</v>
      </c>
      <c r="AE13" s="34">
        <v>315</v>
      </c>
      <c r="AF13" s="34">
        <v>319</v>
      </c>
      <c r="AG13" s="34">
        <v>6</v>
      </c>
      <c r="AH13" s="34">
        <f>IF(CADO_EMPREGOS_2022[[#This Row],[ABORTIVA]]="METEORO","",IF(COUNTA(CADO_EMPREGOS_2022[[#This Row],[TRANSGRESSÕES]])&gt;0,0,CADO_EMPREGOS_2022[[#This Row],[NOTA COM PENALIDADES (FOULS)]]))</f>
        <v>8.7100000000000009</v>
      </c>
      <c r="AI13" s="34"/>
      <c r="AJ13" s="34">
        <f>IFERROR(IF(CADO_EMPREGOS_2022[[#This Row],[NOTA SEM FOULS]]=0,0,IF(COUNTIF(CADO_EMPREGOS_2022[[#This Row],[FOUL TVB]:[FOUL DE EIXO]],1)&gt;0,0,CADO_EMPREGOS_2022[[#This Row],[NOTA SEM FOULS]])),"")</f>
        <v>8.7100000000000009</v>
      </c>
      <c r="AK13" s="34">
        <f>IF(CADO_EMPREGOS_2022[[#This Row],[MODALIDADE]]="TT",CADO_EMPREGOS_2022[[#This Row],[NOTA ACERTOS]],IF(COUNTA(CADO_EMPREGOS_2022[[#This Row],[MODALIDADE]])=0,"",CADO_EMPREGOS_2022[[#This Row],[NOTA DISTÂNCIA]]))</f>
        <v>8.7100000000000009</v>
      </c>
      <c r="AL13" s="34">
        <f>IF(AND(CADO_EMPREGOS_2022[[#This Row],[MODALIDADE]]="BRB",CADO_EMPREGOS_2022[[#This Row],[TVB]]&lt;=3),1,0)</f>
        <v>0</v>
      </c>
      <c r="AM1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3" s="34">
        <f>IFERROR(IF(CADO_EMPREGOS_2022[[#This Row],[ALTURA DE RECUPERAÇÃO (FT)]]&lt;VLOOKUP(CADO_EMPREGOS_2022[[#This Row],[MODALIDADE]],Dados!$R$3:$AB$16,10,FALSE),1,0),"")</f>
        <v>0</v>
      </c>
      <c r="AP1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3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3" s="34" cm="1">
        <f t="array" ref="AS1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8.7100000000000009</v>
      </c>
      <c r="AT13" s="34" t="s">
        <v>174</v>
      </c>
    </row>
    <row r="14" spans="1:46" x14ac:dyDescent="0.25">
      <c r="A14" s="35">
        <v>44697</v>
      </c>
      <c r="B14" s="36">
        <v>0.6875</v>
      </c>
      <c r="C14" s="34" t="s">
        <v>187</v>
      </c>
      <c r="D14" s="34" t="s">
        <v>120</v>
      </c>
      <c r="E14" s="34">
        <v>5920</v>
      </c>
      <c r="F14" s="34" t="s">
        <v>100</v>
      </c>
      <c r="G14" s="34">
        <v>1</v>
      </c>
      <c r="H14" s="34" t="s">
        <v>158</v>
      </c>
      <c r="I14" s="34" t="s">
        <v>175</v>
      </c>
      <c r="J14" s="34" t="s">
        <v>176</v>
      </c>
      <c r="K14" s="34">
        <v>1</v>
      </c>
      <c r="L14" s="34" t="s">
        <v>149</v>
      </c>
      <c r="M14" s="34" t="s">
        <v>163</v>
      </c>
      <c r="N14" s="34" t="s">
        <v>179</v>
      </c>
      <c r="O14" s="34" t="s">
        <v>184</v>
      </c>
      <c r="P14" s="34" t="s">
        <v>177</v>
      </c>
      <c r="Q14" s="34" t="s">
        <v>180</v>
      </c>
      <c r="R14" s="37">
        <v>0</v>
      </c>
      <c r="S14" s="37">
        <v>6</v>
      </c>
      <c r="T14" s="34">
        <v>4.8</v>
      </c>
      <c r="U14" s="34">
        <v>4.5</v>
      </c>
      <c r="V14" s="34" t="s">
        <v>145</v>
      </c>
      <c r="W14" s="34" t="s">
        <v>145</v>
      </c>
      <c r="X14" s="34" t="s">
        <v>145</v>
      </c>
      <c r="Y14" s="37">
        <v>-20.5</v>
      </c>
      <c r="Z14" s="34">
        <v>244</v>
      </c>
      <c r="AA14" s="39" t="s">
        <v>145</v>
      </c>
      <c r="AB14" s="34" t="s">
        <v>145</v>
      </c>
      <c r="AC14" s="34">
        <v>1530</v>
      </c>
      <c r="AD14" s="34">
        <v>1300</v>
      </c>
      <c r="AE14" s="34">
        <v>135</v>
      </c>
      <c r="AF14" s="34">
        <v>141</v>
      </c>
      <c r="AG14" s="34">
        <v>5</v>
      </c>
      <c r="AH14" s="34">
        <f>IF(CADO_EMPREGOS_2022[[#This Row],[ABORTIVA]]="METEORO","",IF(COUNTA(CADO_EMPREGOS_2022[[#This Row],[TRANSGRESSÕES]])&gt;0,0,CADO_EMPREGOS_2022[[#This Row],[NOTA COM PENALIDADES (FOULS)]]))</f>
        <v>9.52</v>
      </c>
      <c r="AI14" s="34"/>
      <c r="AJ14" s="34">
        <f>IFERROR(IF(CADO_EMPREGOS_2022[[#This Row],[NOTA SEM FOULS]]=0,0,IF(COUNTIF(CADO_EMPREGOS_2022[[#This Row],[FOUL TVB]:[FOUL DE EIXO]],1)&gt;0,0,CADO_EMPREGOS_2022[[#This Row],[NOTA SEM FOULS]])),"")</f>
        <v>9.52</v>
      </c>
      <c r="AK14" s="34">
        <f>IF(CADO_EMPREGOS_2022[[#This Row],[MODALIDADE]]="TT",CADO_EMPREGOS_2022[[#This Row],[NOTA ACERTOS]],IF(COUNTA(CADO_EMPREGOS_2022[[#This Row],[MODALIDADE]])=0,"",CADO_EMPREGOS_2022[[#This Row],[NOTA DISTÂNCIA]]))</f>
        <v>9.52</v>
      </c>
      <c r="AL14" s="34">
        <f>IF(AND(CADO_EMPREGOS_2022[[#This Row],[MODALIDADE]]="BRB",CADO_EMPREGOS_2022[[#This Row],[TVB]]&lt;=3),1,0)</f>
        <v>0</v>
      </c>
      <c r="AM1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4" s="34">
        <f>IFERROR(IF(CADO_EMPREGOS_2022[[#This Row],[ALTURA DE RECUPERAÇÃO (FT)]]&lt;VLOOKUP(CADO_EMPREGOS_2022[[#This Row],[MODALIDADE]],Dados!$R$3:$AB$16,10,FALSE),1,0),"")</f>
        <v>0</v>
      </c>
      <c r="AP1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4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4" s="34" cm="1">
        <f t="array" ref="AS1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9.52</v>
      </c>
      <c r="AT14" s="34" t="s">
        <v>174</v>
      </c>
    </row>
    <row r="15" spans="1:46" x14ac:dyDescent="0.25">
      <c r="A15" s="35">
        <v>44695</v>
      </c>
      <c r="B15" s="36">
        <v>0.6875</v>
      </c>
      <c r="C15" s="34" t="s">
        <v>183</v>
      </c>
      <c r="D15" s="34" t="s">
        <v>120</v>
      </c>
      <c r="E15" s="34">
        <v>5920</v>
      </c>
      <c r="F15" s="34" t="s">
        <v>133</v>
      </c>
      <c r="G15" s="34">
        <v>1</v>
      </c>
      <c r="H15" s="34" t="s">
        <v>25</v>
      </c>
      <c r="I15" s="34" t="s">
        <v>175</v>
      </c>
      <c r="J15" s="34" t="s">
        <v>169</v>
      </c>
      <c r="K15" s="34">
        <v>1</v>
      </c>
      <c r="L15" s="34" t="s">
        <v>149</v>
      </c>
      <c r="M15" s="34" t="s">
        <v>163</v>
      </c>
      <c r="N15" s="34" t="s">
        <v>179</v>
      </c>
      <c r="O15" s="34" t="s">
        <v>184</v>
      </c>
      <c r="P15" s="34" t="s">
        <v>172</v>
      </c>
      <c r="Q15" s="34" t="s">
        <v>145</v>
      </c>
      <c r="R15" s="37" t="s">
        <v>145</v>
      </c>
      <c r="S15" s="37" t="s">
        <v>145</v>
      </c>
      <c r="T15" s="34" t="s">
        <v>145</v>
      </c>
      <c r="U15" s="34" t="s">
        <v>145</v>
      </c>
      <c r="V15" s="34">
        <v>30</v>
      </c>
      <c r="W15" s="34">
        <v>27</v>
      </c>
      <c r="X15" s="34">
        <v>0.9</v>
      </c>
      <c r="Y15" s="37">
        <v>-15.6</v>
      </c>
      <c r="Z15" s="34">
        <v>239</v>
      </c>
      <c r="AA15" s="39">
        <v>742</v>
      </c>
      <c r="AB15" s="34">
        <v>609</v>
      </c>
      <c r="AC15" s="34">
        <v>310</v>
      </c>
      <c r="AD15" s="34">
        <v>200</v>
      </c>
      <c r="AE15" s="34">
        <v>135</v>
      </c>
      <c r="AF15" s="34">
        <v>136</v>
      </c>
      <c r="AG15" s="34" t="s">
        <v>145</v>
      </c>
      <c r="AH15" s="34">
        <f>IF(CADO_EMPREGOS_2022[[#This Row],[ABORTIVA]]="METEORO","",IF(COUNTA(CADO_EMPREGOS_2022[[#This Row],[TRANSGRESSÕES]])&gt;0,0,CADO_EMPREGOS_2022[[#This Row],[NOTA COM PENALIDADES (FOULS)]]))</f>
        <v>9</v>
      </c>
      <c r="AI15" s="34"/>
      <c r="AJ15" s="34">
        <f>IFERROR(IF(CADO_EMPREGOS_2022[[#This Row],[NOTA SEM FOULS]]=0,0,IF(COUNTIF(CADO_EMPREGOS_2022[[#This Row],[FOUL TVB]:[FOUL DE EIXO]],1)&gt;0,0,CADO_EMPREGOS_2022[[#This Row],[NOTA SEM FOULS]])),"")</f>
        <v>9</v>
      </c>
      <c r="AK15" s="34">
        <f>IF(CADO_EMPREGOS_2022[[#This Row],[MODALIDADE]]="TT",CADO_EMPREGOS_2022[[#This Row],[NOTA ACERTOS]],IF(COUNTA(CADO_EMPREGOS_2022[[#This Row],[MODALIDADE]])=0,"",CADO_EMPREGOS_2022[[#This Row],[NOTA DISTÂNCIA]]))</f>
        <v>9</v>
      </c>
      <c r="AL15" s="34">
        <f>IF(AND(CADO_EMPREGOS_2022[[#This Row],[MODALIDADE]]="BRB",CADO_EMPREGOS_2022[[#This Row],[TVB]]&lt;=3),1,0)</f>
        <v>0</v>
      </c>
      <c r="AM1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5" s="34">
        <f>IFERROR(IF(CADO_EMPREGOS_2022[[#This Row],[ALTURA DE RECUPERAÇÃO (FT)]]&lt;VLOOKUP(CADO_EMPREGOS_2022[[#This Row],[MODALIDADE]],Dados!$R$3:$AB$16,10,FALSE),1,0),"")</f>
        <v>0</v>
      </c>
      <c r="AP1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5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</v>
      </c>
      <c r="AS15" s="34" cm="1">
        <f t="array" ref="AS1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5" s="34" t="s">
        <v>174</v>
      </c>
    </row>
    <row r="16" spans="1:46" x14ac:dyDescent="0.25">
      <c r="A16" s="35">
        <v>44697</v>
      </c>
      <c r="B16" s="36">
        <v>0.6875</v>
      </c>
      <c r="C16" s="34" t="s">
        <v>187</v>
      </c>
      <c r="D16" s="34" t="s">
        <v>120</v>
      </c>
      <c r="E16" s="34">
        <v>5920</v>
      </c>
      <c r="F16" s="34" t="s">
        <v>100</v>
      </c>
      <c r="G16" s="34">
        <v>1</v>
      </c>
      <c r="H16" s="34" t="s">
        <v>25</v>
      </c>
      <c r="I16" s="34" t="s">
        <v>175</v>
      </c>
      <c r="J16" s="34" t="s">
        <v>169</v>
      </c>
      <c r="K16" s="34">
        <v>1</v>
      </c>
      <c r="L16" s="34" t="s">
        <v>149</v>
      </c>
      <c r="M16" s="34" t="s">
        <v>163</v>
      </c>
      <c r="N16" s="34" t="s">
        <v>179</v>
      </c>
      <c r="O16" s="34" t="s">
        <v>184</v>
      </c>
      <c r="P16" s="34" t="s">
        <v>172</v>
      </c>
      <c r="Q16" s="34" t="s">
        <v>145</v>
      </c>
      <c r="R16" s="37" t="s">
        <v>145</v>
      </c>
      <c r="S16" s="37" t="s">
        <v>145</v>
      </c>
      <c r="T16" s="34" t="s">
        <v>145</v>
      </c>
      <c r="U16" s="34" t="s">
        <v>145</v>
      </c>
      <c r="V16" s="34">
        <v>26</v>
      </c>
      <c r="W16" s="34">
        <v>23</v>
      </c>
      <c r="X16" s="34">
        <v>0.88</v>
      </c>
      <c r="Y16" s="37">
        <v>-16.3</v>
      </c>
      <c r="Z16" s="34">
        <v>241</v>
      </c>
      <c r="AA16" s="39">
        <v>770</v>
      </c>
      <c r="AB16" s="34">
        <v>611</v>
      </c>
      <c r="AC16" s="34">
        <v>320</v>
      </c>
      <c r="AD16" s="34">
        <v>200</v>
      </c>
      <c r="AE16" s="34">
        <v>135</v>
      </c>
      <c r="AF16" s="34">
        <v>135</v>
      </c>
      <c r="AG16" s="34" t="s">
        <v>145</v>
      </c>
      <c r="AH16" s="34">
        <f>IF(CADO_EMPREGOS_2022[[#This Row],[ABORTIVA]]="METEORO","",IF(COUNTA(CADO_EMPREGOS_2022[[#This Row],[TRANSGRESSÕES]])&gt;0,0,CADO_EMPREGOS_2022[[#This Row],[NOTA COM PENALIDADES (FOULS)]]))</f>
        <v>7.666666666666667</v>
      </c>
      <c r="AI16" s="34"/>
      <c r="AJ16" s="34">
        <f>IFERROR(IF(CADO_EMPREGOS_2022[[#This Row],[NOTA SEM FOULS]]=0,0,IF(COUNTIF(CADO_EMPREGOS_2022[[#This Row],[FOUL TVB]:[FOUL DE EIXO]],1)&gt;0,0,CADO_EMPREGOS_2022[[#This Row],[NOTA SEM FOULS]])),"")</f>
        <v>7.666666666666667</v>
      </c>
      <c r="AK16" s="34">
        <f>IF(CADO_EMPREGOS_2022[[#This Row],[MODALIDADE]]="TT",CADO_EMPREGOS_2022[[#This Row],[NOTA ACERTOS]],IF(COUNTA(CADO_EMPREGOS_2022[[#This Row],[MODALIDADE]])=0,"",CADO_EMPREGOS_2022[[#This Row],[NOTA DISTÂNCIA]]))</f>
        <v>7.666666666666667</v>
      </c>
      <c r="AL16" s="34">
        <f>IF(AND(CADO_EMPREGOS_2022[[#This Row],[MODALIDADE]]="BRB",CADO_EMPREGOS_2022[[#This Row],[TVB]]&lt;=3),1,0)</f>
        <v>0</v>
      </c>
      <c r="AM1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6" s="34">
        <f>IFERROR(IF(CADO_EMPREGOS_2022[[#This Row],[ALTURA DE RECUPERAÇÃO (FT)]]&lt;VLOOKUP(CADO_EMPREGOS_2022[[#This Row],[MODALIDADE]],Dados!$R$3:$AB$16,10,FALSE),1,0),"")</f>
        <v>0</v>
      </c>
      <c r="AP1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6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7.666666666666667</v>
      </c>
      <c r="AS16" s="34" cm="1">
        <f t="array" ref="AS1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6" s="34" t="s">
        <v>174</v>
      </c>
    </row>
    <row r="17" spans="1:46" x14ac:dyDescent="0.25">
      <c r="A17" s="35">
        <v>44698</v>
      </c>
      <c r="B17" s="36">
        <v>0.57638888888888895</v>
      </c>
      <c r="C17" s="34" t="s">
        <v>183</v>
      </c>
      <c r="D17" s="34" t="s">
        <v>116</v>
      </c>
      <c r="E17" s="34">
        <v>5721</v>
      </c>
      <c r="F17" s="34" t="s">
        <v>134</v>
      </c>
      <c r="G17" s="34">
        <v>1</v>
      </c>
      <c r="H17" s="34" t="s">
        <v>158</v>
      </c>
      <c r="I17" s="34" t="s">
        <v>175</v>
      </c>
      <c r="J17" s="34" t="s">
        <v>176</v>
      </c>
      <c r="K17" s="34">
        <v>1</v>
      </c>
      <c r="L17" s="34" t="s">
        <v>149</v>
      </c>
      <c r="M17" s="34" t="s">
        <v>163</v>
      </c>
      <c r="N17" s="34" t="s">
        <v>179</v>
      </c>
      <c r="O17" s="34" t="s">
        <v>184</v>
      </c>
      <c r="P17" s="34" t="s">
        <v>177</v>
      </c>
      <c r="Q17" s="34" t="s">
        <v>180</v>
      </c>
      <c r="R17" s="37">
        <v>3</v>
      </c>
      <c r="S17" s="37">
        <v>5</v>
      </c>
      <c r="T17" s="34">
        <v>4.8</v>
      </c>
      <c r="U17" s="34">
        <v>9.4</v>
      </c>
      <c r="V17" s="34" t="s">
        <v>145</v>
      </c>
      <c r="W17" s="34" t="s">
        <v>145</v>
      </c>
      <c r="X17" s="34" t="s">
        <v>145</v>
      </c>
      <c r="Y17" s="37">
        <v>-21.5</v>
      </c>
      <c r="Z17" s="34">
        <v>216</v>
      </c>
      <c r="AA17" s="39" t="s">
        <v>145</v>
      </c>
      <c r="AB17" s="34" t="s">
        <v>145</v>
      </c>
      <c r="AC17" s="34">
        <v>1470</v>
      </c>
      <c r="AD17" s="34">
        <v>1300</v>
      </c>
      <c r="AE17" s="34">
        <v>315</v>
      </c>
      <c r="AF17" s="34">
        <v>306</v>
      </c>
      <c r="AG17" s="34" t="s">
        <v>145</v>
      </c>
      <c r="AH17" s="34">
        <f>IF(CADO_EMPREGOS_2022[[#This Row],[ABORTIVA]]="METEORO","",IF(COUNTA(CADO_EMPREGOS_2022[[#This Row],[TRANSGRESSÕES]])&gt;0,0,CADO_EMPREGOS_2022[[#This Row],[NOTA COM PENALIDADES (FOULS)]]))</f>
        <v>0</v>
      </c>
      <c r="AI17" s="34"/>
      <c r="AJ17" s="34">
        <f>IFERROR(IF(CADO_EMPREGOS_2022[[#This Row],[NOTA SEM FOULS]]=0,0,IF(COUNTIF(CADO_EMPREGOS_2022[[#This Row],[FOUL TVB]:[FOUL DE EIXO]],1)&gt;0,0,CADO_EMPREGOS_2022[[#This Row],[NOTA SEM FOULS]])),"")</f>
        <v>0</v>
      </c>
      <c r="AK17" s="34">
        <f>IF(CADO_EMPREGOS_2022[[#This Row],[MODALIDADE]]="TT",CADO_EMPREGOS_2022[[#This Row],[NOTA ACERTOS]],IF(COUNTA(CADO_EMPREGOS_2022[[#This Row],[MODALIDADE]])=0,"",CADO_EMPREGOS_2022[[#This Row],[NOTA DISTÂNCIA]]))</f>
        <v>9.52</v>
      </c>
      <c r="AL17" s="34">
        <f>IF(AND(CADO_EMPREGOS_2022[[#This Row],[MODALIDADE]]="BRB",CADO_EMPREGOS_2022[[#This Row],[TVB]]&lt;=3),1,0)</f>
        <v>0</v>
      </c>
      <c r="AM1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1</v>
      </c>
      <c r="AO17" s="34">
        <f>IFERROR(IF(CADO_EMPREGOS_2022[[#This Row],[ALTURA DE RECUPERAÇÃO (FT)]]&lt;VLOOKUP(CADO_EMPREGOS_2022[[#This Row],[MODALIDADE]],Dados!$R$3:$AB$16,10,FALSE),1,0),"")</f>
        <v>0</v>
      </c>
      <c r="AP1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7" s="34" cm="1">
        <f t="array" ref="AS1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9.52</v>
      </c>
      <c r="AT17" s="34" t="s">
        <v>174</v>
      </c>
    </row>
    <row r="18" spans="1:46" x14ac:dyDescent="0.25">
      <c r="A18" s="35">
        <v>44698</v>
      </c>
      <c r="B18" s="36">
        <v>0.79166666666666663</v>
      </c>
      <c r="C18" s="34" t="s">
        <v>187</v>
      </c>
      <c r="D18" s="34" t="s">
        <v>116</v>
      </c>
      <c r="E18" s="34">
        <v>5733</v>
      </c>
      <c r="F18" s="34" t="s">
        <v>134</v>
      </c>
      <c r="G18" s="34">
        <v>1</v>
      </c>
      <c r="H18" s="34" t="s">
        <v>158</v>
      </c>
      <c r="I18" s="34" t="s">
        <v>175</v>
      </c>
      <c r="J18" s="34" t="s">
        <v>176</v>
      </c>
      <c r="K18" s="34">
        <v>1</v>
      </c>
      <c r="L18" s="34" t="s">
        <v>149</v>
      </c>
      <c r="M18" s="34" t="s">
        <v>163</v>
      </c>
      <c r="N18" s="34" t="s">
        <v>179</v>
      </c>
      <c r="O18" s="34" t="s">
        <v>184</v>
      </c>
      <c r="P18" s="34" t="s">
        <v>177</v>
      </c>
      <c r="Q18" s="34" t="s">
        <v>180</v>
      </c>
      <c r="R18" s="37">
        <v>-12</v>
      </c>
      <c r="S18" s="37">
        <v>7</v>
      </c>
      <c r="T18" s="34">
        <v>12.1</v>
      </c>
      <c r="U18" s="34">
        <v>6.5</v>
      </c>
      <c r="V18" s="34" t="s">
        <v>145</v>
      </c>
      <c r="W18" s="34" t="s">
        <v>145</v>
      </c>
      <c r="X18" s="34" t="s">
        <v>145</v>
      </c>
      <c r="Y18" s="37">
        <v>-19.5</v>
      </c>
      <c r="Z18" s="34">
        <v>249</v>
      </c>
      <c r="AA18" s="39" t="s">
        <v>145</v>
      </c>
      <c r="AB18" s="34" t="s">
        <v>145</v>
      </c>
      <c r="AC18" s="34">
        <v>1680</v>
      </c>
      <c r="AD18" s="34">
        <v>1300</v>
      </c>
      <c r="AE18" s="34">
        <v>135</v>
      </c>
      <c r="AF18" s="34">
        <v>141</v>
      </c>
      <c r="AG18" s="34" t="s">
        <v>145</v>
      </c>
      <c r="AH18" s="34">
        <f>IF(CADO_EMPREGOS_2022[[#This Row],[ABORTIVA]]="METEORO","",IF(COUNTA(CADO_EMPREGOS_2022[[#This Row],[TRANSGRESSÕES]])&gt;0,0,CADO_EMPREGOS_2022[[#This Row],[NOTA COM PENALIDADES (FOULS)]]))</f>
        <v>8.7899999999999991</v>
      </c>
      <c r="AI18" s="34"/>
      <c r="AJ18" s="34">
        <f>IFERROR(IF(CADO_EMPREGOS_2022[[#This Row],[NOTA SEM FOULS]]=0,0,IF(COUNTIF(CADO_EMPREGOS_2022[[#This Row],[FOUL TVB]:[FOUL DE EIXO]],1)&gt;0,0,CADO_EMPREGOS_2022[[#This Row],[NOTA SEM FOULS]])),"")</f>
        <v>8.7899999999999991</v>
      </c>
      <c r="AK18" s="34">
        <f>IF(CADO_EMPREGOS_2022[[#This Row],[MODALIDADE]]="TT",CADO_EMPREGOS_2022[[#This Row],[NOTA ACERTOS]],IF(COUNTA(CADO_EMPREGOS_2022[[#This Row],[MODALIDADE]])=0,"",CADO_EMPREGOS_2022[[#This Row],[NOTA DISTÂNCIA]]))</f>
        <v>8.7899999999999991</v>
      </c>
      <c r="AL18" s="34">
        <f>IF(AND(CADO_EMPREGOS_2022[[#This Row],[MODALIDADE]]="BRB",CADO_EMPREGOS_2022[[#This Row],[TVB]]&lt;=3),1,0)</f>
        <v>0</v>
      </c>
      <c r="AM1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8" s="34">
        <f>IFERROR(IF(CADO_EMPREGOS_2022[[#This Row],[ALTURA DE RECUPERAÇÃO (FT)]]&lt;VLOOKUP(CADO_EMPREGOS_2022[[#This Row],[MODALIDADE]],Dados!$R$3:$AB$16,10,FALSE),1,0),"")</f>
        <v>0</v>
      </c>
      <c r="AP1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8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8" s="34" cm="1">
        <f t="array" ref="AS1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8.7899999999999991</v>
      </c>
      <c r="AT18" s="34" t="s">
        <v>174</v>
      </c>
    </row>
    <row r="19" spans="1:46" x14ac:dyDescent="0.25">
      <c r="A19" s="35">
        <v>44698</v>
      </c>
      <c r="B19" s="36">
        <v>0.79166666666666663</v>
      </c>
      <c r="C19" s="34" t="s">
        <v>187</v>
      </c>
      <c r="D19" s="34" t="s">
        <v>116</v>
      </c>
      <c r="E19" s="34">
        <v>5733</v>
      </c>
      <c r="F19" s="34" t="s">
        <v>134</v>
      </c>
      <c r="G19" s="34">
        <v>1</v>
      </c>
      <c r="H19" s="34" t="s">
        <v>158</v>
      </c>
      <c r="I19" s="34" t="s">
        <v>175</v>
      </c>
      <c r="J19" s="34" t="s">
        <v>176</v>
      </c>
      <c r="K19" s="34">
        <v>1</v>
      </c>
      <c r="L19" s="34" t="s">
        <v>149</v>
      </c>
      <c r="M19" s="34" t="s">
        <v>163</v>
      </c>
      <c r="N19" s="34" t="s">
        <v>179</v>
      </c>
      <c r="O19" s="34" t="s">
        <v>184</v>
      </c>
      <c r="P19" s="34" t="s">
        <v>177</v>
      </c>
      <c r="Q19" s="34" t="s">
        <v>180</v>
      </c>
      <c r="R19" s="37">
        <v>11</v>
      </c>
      <c r="S19" s="37">
        <v>-7</v>
      </c>
      <c r="T19" s="34">
        <v>10.5</v>
      </c>
      <c r="U19" s="34">
        <v>6.4</v>
      </c>
      <c r="V19" s="34" t="s">
        <v>145</v>
      </c>
      <c r="W19" s="34" t="s">
        <v>145</v>
      </c>
      <c r="X19" s="34" t="s">
        <v>145</v>
      </c>
      <c r="Y19" s="37">
        <v>-17.399999999999999</v>
      </c>
      <c r="Z19" s="34">
        <v>244</v>
      </c>
      <c r="AA19" s="39" t="s">
        <v>145</v>
      </c>
      <c r="AB19" s="34" t="s">
        <v>145</v>
      </c>
      <c r="AC19" s="34">
        <v>1710</v>
      </c>
      <c r="AD19" s="34">
        <v>1300</v>
      </c>
      <c r="AE19" s="34">
        <v>315</v>
      </c>
      <c r="AF19" s="34">
        <v>317</v>
      </c>
      <c r="AG19" s="34" t="s">
        <v>145</v>
      </c>
      <c r="AH19" s="34">
        <f>IF(CADO_EMPREGOS_2022[[#This Row],[ABORTIVA]]="METEORO","",IF(COUNTA(CADO_EMPREGOS_2022[[#This Row],[TRANSGRESSÕES]])&gt;0,0,CADO_EMPREGOS_2022[[#This Row],[NOTA COM PENALIDADES (FOULS)]]))</f>
        <v>8.9499999999999993</v>
      </c>
      <c r="AI19" s="34"/>
      <c r="AJ19" s="34">
        <f>IFERROR(IF(CADO_EMPREGOS_2022[[#This Row],[NOTA SEM FOULS]]=0,0,IF(COUNTIF(CADO_EMPREGOS_2022[[#This Row],[FOUL TVB]:[FOUL DE EIXO]],1)&gt;0,0,CADO_EMPREGOS_2022[[#This Row],[NOTA SEM FOULS]])),"")</f>
        <v>8.9499999999999993</v>
      </c>
      <c r="AK19" s="34">
        <f>IF(CADO_EMPREGOS_2022[[#This Row],[MODALIDADE]]="TT",CADO_EMPREGOS_2022[[#This Row],[NOTA ACERTOS]],IF(COUNTA(CADO_EMPREGOS_2022[[#This Row],[MODALIDADE]])=0,"",CADO_EMPREGOS_2022[[#This Row],[NOTA DISTÂNCIA]]))</f>
        <v>8.9499999999999993</v>
      </c>
      <c r="AL19" s="34">
        <f>IF(AND(CADO_EMPREGOS_2022[[#This Row],[MODALIDADE]]="BRB",CADO_EMPREGOS_2022[[#This Row],[TVB]]&lt;=3),1,0)</f>
        <v>0</v>
      </c>
      <c r="AM1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9" s="34">
        <f>IFERROR(IF(CADO_EMPREGOS_2022[[#This Row],[ALTURA DE RECUPERAÇÃO (FT)]]&lt;VLOOKUP(CADO_EMPREGOS_2022[[#This Row],[MODALIDADE]],Dados!$R$3:$AB$16,10,FALSE),1,0),"")</f>
        <v>0</v>
      </c>
      <c r="AP1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9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9" s="34" cm="1">
        <f t="array" ref="AS1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8.9499999999999993</v>
      </c>
      <c r="AT19" s="34" t="s">
        <v>174</v>
      </c>
    </row>
    <row r="20" spans="1:46" x14ac:dyDescent="0.25">
      <c r="A20" s="35">
        <v>44698</v>
      </c>
      <c r="B20" s="36">
        <v>0.79166666666666663</v>
      </c>
      <c r="C20" s="34" t="s">
        <v>187</v>
      </c>
      <c r="D20" s="34" t="s">
        <v>116</v>
      </c>
      <c r="E20" s="34">
        <v>5733</v>
      </c>
      <c r="F20" s="34" t="s">
        <v>134</v>
      </c>
      <c r="G20" s="34">
        <v>1</v>
      </c>
      <c r="H20" s="34" t="s">
        <v>158</v>
      </c>
      <c r="I20" s="34" t="s">
        <v>175</v>
      </c>
      <c r="J20" s="34" t="s">
        <v>176</v>
      </c>
      <c r="K20" s="34">
        <v>1</v>
      </c>
      <c r="L20" s="34" t="s">
        <v>149</v>
      </c>
      <c r="M20" s="34" t="s">
        <v>163</v>
      </c>
      <c r="N20" s="34" t="s">
        <v>179</v>
      </c>
      <c r="O20" s="34" t="s">
        <v>184</v>
      </c>
      <c r="P20" s="34" t="s">
        <v>177</v>
      </c>
      <c r="Q20" s="34" t="s">
        <v>180</v>
      </c>
      <c r="R20" s="37">
        <v>0</v>
      </c>
      <c r="S20" s="37">
        <v>-8</v>
      </c>
      <c r="T20" s="34">
        <v>6.4</v>
      </c>
      <c r="U20" s="34">
        <v>10.199999999999999</v>
      </c>
      <c r="V20" s="34" t="s">
        <v>145</v>
      </c>
      <c r="W20" s="34" t="s">
        <v>145</v>
      </c>
      <c r="X20" s="34" t="s">
        <v>145</v>
      </c>
      <c r="Y20" s="37">
        <v>-19.399999999999999</v>
      </c>
      <c r="Z20" s="34">
        <v>251</v>
      </c>
      <c r="AA20" s="39" t="s">
        <v>145</v>
      </c>
      <c r="AB20" s="34" t="s">
        <v>145</v>
      </c>
      <c r="AC20" s="34">
        <v>1570</v>
      </c>
      <c r="AD20" s="34">
        <v>1300</v>
      </c>
      <c r="AE20" s="34">
        <v>135</v>
      </c>
      <c r="AF20" s="34">
        <v>143</v>
      </c>
      <c r="AG20" s="34" t="s">
        <v>145</v>
      </c>
      <c r="AH20" s="34">
        <f>IF(CADO_EMPREGOS_2022[[#This Row],[ABORTIVA]]="METEORO","",IF(COUNTA(CADO_EMPREGOS_2022[[#This Row],[TRANSGRESSÕES]])&gt;0,0,CADO_EMPREGOS_2022[[#This Row],[NOTA COM PENALIDADES (FOULS)]]))</f>
        <v>9.36</v>
      </c>
      <c r="AI20" s="34"/>
      <c r="AJ20" s="34">
        <f>IFERROR(IF(CADO_EMPREGOS_2022[[#This Row],[NOTA SEM FOULS]]=0,0,IF(COUNTIF(CADO_EMPREGOS_2022[[#This Row],[FOUL TVB]:[FOUL DE EIXO]],1)&gt;0,0,CADO_EMPREGOS_2022[[#This Row],[NOTA SEM FOULS]])),"")</f>
        <v>9.36</v>
      </c>
      <c r="AK20" s="34">
        <f>IF(CADO_EMPREGOS_2022[[#This Row],[MODALIDADE]]="TT",CADO_EMPREGOS_2022[[#This Row],[NOTA ACERTOS]],IF(COUNTA(CADO_EMPREGOS_2022[[#This Row],[MODALIDADE]])=0,"",CADO_EMPREGOS_2022[[#This Row],[NOTA DISTÂNCIA]]))</f>
        <v>9.36</v>
      </c>
      <c r="AL20" s="34">
        <f>IF(AND(CADO_EMPREGOS_2022[[#This Row],[MODALIDADE]]="BRB",CADO_EMPREGOS_2022[[#This Row],[TVB]]&lt;=3),1,0)</f>
        <v>0</v>
      </c>
      <c r="AM2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2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20" s="34">
        <f>IFERROR(IF(CADO_EMPREGOS_2022[[#This Row],[ALTURA DE RECUPERAÇÃO (FT)]]&lt;VLOOKUP(CADO_EMPREGOS_2022[[#This Row],[MODALIDADE]],Dados!$R$3:$AB$16,10,FALSE),1,0),"")</f>
        <v>0</v>
      </c>
      <c r="AP2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2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2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20" s="34" cm="1">
        <f t="array" ref="AS2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9.36</v>
      </c>
      <c r="AT20" s="34" t="s">
        <v>174</v>
      </c>
    </row>
    <row r="21" spans="1:46" x14ac:dyDescent="0.25">
      <c r="A21" s="35">
        <v>44698</v>
      </c>
      <c r="B21" s="36">
        <v>0.57638888888888895</v>
      </c>
      <c r="C21" s="34" t="s">
        <v>183</v>
      </c>
      <c r="D21" s="34" t="s">
        <v>116</v>
      </c>
      <c r="E21" s="34">
        <v>5721</v>
      </c>
      <c r="F21" s="34" t="s">
        <v>134</v>
      </c>
      <c r="G21" s="34">
        <v>1</v>
      </c>
      <c r="H21" s="34" t="s">
        <v>25</v>
      </c>
      <c r="I21" s="34" t="s">
        <v>175</v>
      </c>
      <c r="J21" s="34" t="s">
        <v>169</v>
      </c>
      <c r="K21" s="34">
        <v>1</v>
      </c>
      <c r="L21" s="34" t="s">
        <v>149</v>
      </c>
      <c r="M21" s="34" t="s">
        <v>163</v>
      </c>
      <c r="N21" s="34" t="s">
        <v>179</v>
      </c>
      <c r="O21" s="34" t="s">
        <v>184</v>
      </c>
      <c r="P21" s="34" t="s">
        <v>172</v>
      </c>
      <c r="Q21" s="34" t="s">
        <v>145</v>
      </c>
      <c r="R21" s="37" t="s">
        <v>145</v>
      </c>
      <c r="S21" s="37" t="s">
        <v>145</v>
      </c>
      <c r="T21" s="34" t="s">
        <v>145</v>
      </c>
      <c r="U21" s="34" t="s">
        <v>145</v>
      </c>
      <c r="V21" s="34">
        <v>30</v>
      </c>
      <c r="W21" s="34">
        <v>24</v>
      </c>
      <c r="X21" s="34">
        <v>0.8</v>
      </c>
      <c r="Y21" s="37">
        <v>-15.3</v>
      </c>
      <c r="Z21" s="34">
        <v>245</v>
      </c>
      <c r="AA21" s="39">
        <v>814</v>
      </c>
      <c r="AB21" s="34">
        <v>661</v>
      </c>
      <c r="AC21" s="34">
        <v>330</v>
      </c>
      <c r="AD21" s="34">
        <v>200</v>
      </c>
      <c r="AE21" s="34">
        <v>135</v>
      </c>
      <c r="AF21" s="34">
        <v>133</v>
      </c>
      <c r="AG21" s="34" t="s">
        <v>145</v>
      </c>
      <c r="AH21" s="34">
        <f>IF(CADO_EMPREGOS_2022[[#This Row],[ABORTIVA]]="METEORO","",IF(COUNTA(CADO_EMPREGOS_2022[[#This Row],[TRANSGRESSÕES]])&gt;0,0,CADO_EMPREGOS_2022[[#This Row],[NOTA COM PENALIDADES (FOULS)]]))</f>
        <v>8</v>
      </c>
      <c r="AI21" s="34"/>
      <c r="AJ21" s="34">
        <f>IFERROR(IF(CADO_EMPREGOS_2022[[#This Row],[NOTA SEM FOULS]]=0,0,IF(COUNTIF(CADO_EMPREGOS_2022[[#This Row],[FOUL TVB]:[FOUL DE EIXO]],1)&gt;0,0,CADO_EMPREGOS_2022[[#This Row],[NOTA SEM FOULS]])),"")</f>
        <v>8</v>
      </c>
      <c r="AK21" s="34">
        <f>IF(CADO_EMPREGOS_2022[[#This Row],[MODALIDADE]]="TT",CADO_EMPREGOS_2022[[#This Row],[NOTA ACERTOS]],IF(COUNTA(CADO_EMPREGOS_2022[[#This Row],[MODALIDADE]])=0,"",CADO_EMPREGOS_2022[[#This Row],[NOTA DISTÂNCIA]]))</f>
        <v>8</v>
      </c>
      <c r="AL21" s="34">
        <f>IF(AND(CADO_EMPREGOS_2022[[#This Row],[MODALIDADE]]="BRB",CADO_EMPREGOS_2022[[#This Row],[TVB]]&lt;=3),1,0)</f>
        <v>0</v>
      </c>
      <c r="AM2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2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21" s="34">
        <f>IFERROR(IF(CADO_EMPREGOS_2022[[#This Row],[ALTURA DE RECUPERAÇÃO (FT)]]&lt;VLOOKUP(CADO_EMPREGOS_2022[[#This Row],[MODALIDADE]],Dados!$R$3:$AB$16,10,FALSE),1,0),"")</f>
        <v>0</v>
      </c>
      <c r="AP2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2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21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8</v>
      </c>
      <c r="AS21" s="34" cm="1">
        <f t="array" ref="AS2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21" s="34" t="s">
        <v>174</v>
      </c>
    </row>
    <row r="22" spans="1:46" x14ac:dyDescent="0.25">
      <c r="A22" s="35">
        <v>44698</v>
      </c>
      <c r="B22" s="36">
        <v>0.79166666666666663</v>
      </c>
      <c r="C22" s="34" t="s">
        <v>187</v>
      </c>
      <c r="D22" s="34" t="s">
        <v>116</v>
      </c>
      <c r="E22" s="34">
        <v>5733</v>
      </c>
      <c r="F22" s="34" t="s">
        <v>134</v>
      </c>
      <c r="G22" s="34">
        <v>1</v>
      </c>
      <c r="H22" s="34" t="s">
        <v>25</v>
      </c>
      <c r="I22" s="34" t="s">
        <v>175</v>
      </c>
      <c r="J22" s="34" t="s">
        <v>169</v>
      </c>
      <c r="K22" s="34">
        <v>1</v>
      </c>
      <c r="L22" s="34" t="s">
        <v>149</v>
      </c>
      <c r="M22" s="34" t="s">
        <v>163</v>
      </c>
      <c r="N22" s="34" t="s">
        <v>179</v>
      </c>
      <c r="O22" s="34" t="s">
        <v>184</v>
      </c>
      <c r="P22" s="34" t="s">
        <v>172</v>
      </c>
      <c r="Q22" s="34" t="s">
        <v>145</v>
      </c>
      <c r="R22" s="37" t="s">
        <v>145</v>
      </c>
      <c r="S22" s="37" t="s">
        <v>145</v>
      </c>
      <c r="T22" s="34" t="s">
        <v>145</v>
      </c>
      <c r="U22" s="34" t="s">
        <v>145</v>
      </c>
      <c r="V22">
        <v>30</v>
      </c>
      <c r="W22" s="34">
        <v>28</v>
      </c>
      <c r="X22" s="34">
        <v>0.93</v>
      </c>
      <c r="Y22">
        <v>-16.3</v>
      </c>
      <c r="Z22" s="34">
        <v>237</v>
      </c>
      <c r="AA22" s="39">
        <v>912</v>
      </c>
      <c r="AB22" s="34">
        <v>714</v>
      </c>
      <c r="AC22" s="34">
        <v>390</v>
      </c>
      <c r="AD22" s="34">
        <v>200</v>
      </c>
      <c r="AE22" s="34">
        <v>135</v>
      </c>
      <c r="AF22" s="34">
        <v>136</v>
      </c>
      <c r="AG22" s="34" t="s">
        <v>145</v>
      </c>
      <c r="AH22" s="34">
        <f>IF(CADO_EMPREGOS_2022[[#This Row],[ABORTIVA]]="METEORO","",IF(COUNTA(CADO_EMPREGOS_2022[[#This Row],[TRANSGRESSÕES]])&gt;0,0,CADO_EMPREGOS_2022[[#This Row],[NOTA COM PENALIDADES (FOULS)]]))</f>
        <v>9.3333333333333339</v>
      </c>
      <c r="AI22" s="34"/>
      <c r="AJ22" s="34">
        <f>IFERROR(IF(CADO_EMPREGOS_2022[[#This Row],[NOTA SEM FOULS]]=0,0,IF(COUNTIF(CADO_EMPREGOS_2022[[#This Row],[FOUL TVB]:[FOUL DE EIXO]],1)&gt;0,0,CADO_EMPREGOS_2022[[#This Row],[NOTA SEM FOULS]])),"")</f>
        <v>9.3333333333333339</v>
      </c>
      <c r="AK22" s="34">
        <f>IF(CADO_EMPREGOS_2022[[#This Row],[MODALIDADE]]="TT",CADO_EMPREGOS_2022[[#This Row],[NOTA ACERTOS]],IF(COUNTA(CADO_EMPREGOS_2022[[#This Row],[MODALIDADE]])=0,"",CADO_EMPREGOS_2022[[#This Row],[NOTA DISTÂNCIA]]))</f>
        <v>9.3333333333333339</v>
      </c>
      <c r="AL22" s="34">
        <f>IF(AND(CADO_EMPREGOS_2022[[#This Row],[MODALIDADE]]="BRB",CADO_EMPREGOS_2022[[#This Row],[TVB]]&lt;=3),1,0)</f>
        <v>0</v>
      </c>
      <c r="AM2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2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22" s="34">
        <f>IFERROR(IF(CADO_EMPREGOS_2022[[#This Row],[ALTURA DE RECUPERAÇÃO (FT)]]&lt;VLOOKUP(CADO_EMPREGOS_2022[[#This Row],[MODALIDADE]],Dados!$R$3:$AB$16,10,FALSE),1,0),"")</f>
        <v>0</v>
      </c>
      <c r="AP2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2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22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9.3333333333333339</v>
      </c>
      <c r="AS22" s="34" cm="1">
        <f t="array" ref="AS2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22" s="34" t="s">
        <v>174</v>
      </c>
    </row>
    <row r="23" spans="1:46" x14ac:dyDescent="0.25">
      <c r="A23" s="35">
        <v>44693</v>
      </c>
      <c r="B23" s="36">
        <v>0.6875</v>
      </c>
      <c r="C23" s="34" t="s">
        <v>183</v>
      </c>
      <c r="D23" s="34" t="s">
        <v>121</v>
      </c>
      <c r="E23" s="34">
        <v>5733</v>
      </c>
      <c r="F23" s="34" t="s">
        <v>100</v>
      </c>
      <c r="G23" s="34">
        <v>1</v>
      </c>
      <c r="H23" s="34" t="s">
        <v>158</v>
      </c>
      <c r="I23" s="34" t="s">
        <v>175</v>
      </c>
      <c r="J23" s="34" t="s">
        <v>176</v>
      </c>
      <c r="K23" s="34">
        <v>1</v>
      </c>
      <c r="L23" s="34" t="s">
        <v>149</v>
      </c>
      <c r="M23" s="34" t="s">
        <v>163</v>
      </c>
      <c r="N23" s="34" t="s">
        <v>179</v>
      </c>
      <c r="O23" s="34" t="s">
        <v>184</v>
      </c>
      <c r="P23" s="34" t="s">
        <v>177</v>
      </c>
      <c r="Q23" s="34" t="s">
        <v>180</v>
      </c>
      <c r="R23" s="37">
        <v>9</v>
      </c>
      <c r="S23" s="37">
        <v>-10</v>
      </c>
      <c r="T23" s="34">
        <v>10.8</v>
      </c>
      <c r="U23" s="34">
        <v>5.9</v>
      </c>
      <c r="V23" s="34" t="s">
        <v>145</v>
      </c>
      <c r="W23" s="34" t="s">
        <v>145</v>
      </c>
      <c r="X23" s="34" t="s">
        <v>145</v>
      </c>
      <c r="Y23" s="37">
        <v>-18.100000000000001</v>
      </c>
      <c r="Z23" s="34">
        <v>244</v>
      </c>
      <c r="AA23" s="39" t="s">
        <v>145</v>
      </c>
      <c r="AB23" s="34" t="s">
        <v>145</v>
      </c>
      <c r="AC23" s="34">
        <v>1840</v>
      </c>
      <c r="AD23" s="34">
        <v>1300</v>
      </c>
      <c r="AE23" s="34">
        <v>315</v>
      </c>
      <c r="AF23" s="34">
        <v>309</v>
      </c>
      <c r="AG23" s="34">
        <v>6</v>
      </c>
      <c r="AH23" s="34">
        <f>IF(CADO_EMPREGOS_2022[[#This Row],[ABORTIVA]]="METEORO","",IF(COUNTA(CADO_EMPREGOS_2022[[#This Row],[TRANSGRESSÕES]])&gt;0,0,CADO_EMPREGOS_2022[[#This Row],[NOTA COM PENALIDADES (FOULS)]]))</f>
        <v>8.92</v>
      </c>
      <c r="AI23" s="34"/>
      <c r="AJ23" s="34">
        <f>IFERROR(IF(CADO_EMPREGOS_2022[[#This Row],[NOTA SEM FOULS]]=0,0,IF(COUNTIF(CADO_EMPREGOS_2022[[#This Row],[FOUL TVB]:[FOUL DE EIXO]],1)&gt;0,0,CADO_EMPREGOS_2022[[#This Row],[NOTA SEM FOULS]])),"")</f>
        <v>8.92</v>
      </c>
      <c r="AK23" s="34">
        <f>IF(CADO_EMPREGOS_2022[[#This Row],[MODALIDADE]]="TT",CADO_EMPREGOS_2022[[#This Row],[NOTA ACERTOS]],IF(COUNTA(CADO_EMPREGOS_2022[[#This Row],[MODALIDADE]])=0,"",CADO_EMPREGOS_2022[[#This Row],[NOTA DISTÂNCIA]]))</f>
        <v>8.92</v>
      </c>
      <c r="AL23" s="34">
        <f>IF(AND(CADO_EMPREGOS_2022[[#This Row],[MODALIDADE]]="BRB",CADO_EMPREGOS_2022[[#This Row],[TVB]]&lt;=3),1,0)</f>
        <v>0</v>
      </c>
      <c r="AM2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2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23" s="34">
        <f>IFERROR(IF(CADO_EMPREGOS_2022[[#This Row],[ALTURA DE RECUPERAÇÃO (FT)]]&lt;VLOOKUP(CADO_EMPREGOS_2022[[#This Row],[MODALIDADE]],Dados!$R$3:$AB$16,10,FALSE),1,0),"")</f>
        <v>0</v>
      </c>
      <c r="AP2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2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23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23" s="34" cm="1">
        <f t="array" ref="AS2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8.92</v>
      </c>
      <c r="AT23" s="34" t="s">
        <v>174</v>
      </c>
    </row>
    <row r="24" spans="1:46" x14ac:dyDescent="0.25">
      <c r="A24" s="35">
        <v>44693</v>
      </c>
      <c r="B24" s="36">
        <v>0.6875</v>
      </c>
      <c r="C24" s="34" t="s">
        <v>183</v>
      </c>
      <c r="D24" s="34" t="s">
        <v>121</v>
      </c>
      <c r="E24" s="34">
        <v>5733</v>
      </c>
      <c r="F24" s="34" t="s">
        <v>100</v>
      </c>
      <c r="G24" s="34">
        <v>1</v>
      </c>
      <c r="H24" s="34" t="s">
        <v>158</v>
      </c>
      <c r="I24" s="34" t="s">
        <v>175</v>
      </c>
      <c r="J24" s="34" t="s">
        <v>176</v>
      </c>
      <c r="K24" s="34">
        <v>1</v>
      </c>
      <c r="L24" s="34" t="s">
        <v>149</v>
      </c>
      <c r="M24" s="34" t="s">
        <v>163</v>
      </c>
      <c r="N24" s="34" t="s">
        <v>179</v>
      </c>
      <c r="O24" s="34" t="s">
        <v>184</v>
      </c>
      <c r="P24" s="34" t="s">
        <v>177</v>
      </c>
      <c r="Q24" s="34" t="s">
        <v>180</v>
      </c>
      <c r="R24" s="37">
        <v>9</v>
      </c>
      <c r="S24" s="37">
        <v>10</v>
      </c>
      <c r="T24" s="34">
        <v>11.1</v>
      </c>
      <c r="U24" s="34">
        <v>6.1</v>
      </c>
      <c r="V24" s="34" t="s">
        <v>145</v>
      </c>
      <c r="W24" s="34" t="s">
        <v>145</v>
      </c>
      <c r="X24" s="34" t="s">
        <v>145</v>
      </c>
      <c r="Y24" s="37">
        <v>-18.399999999999999</v>
      </c>
      <c r="Z24" s="34">
        <v>246</v>
      </c>
      <c r="AA24" s="39" t="s">
        <v>145</v>
      </c>
      <c r="AB24" s="34" t="s">
        <v>145</v>
      </c>
      <c r="AC24" s="34">
        <v>1930</v>
      </c>
      <c r="AD24" s="34">
        <v>1300</v>
      </c>
      <c r="AE24" s="34">
        <v>45</v>
      </c>
      <c r="AF24" s="34">
        <v>46</v>
      </c>
      <c r="AG24" s="34">
        <v>6</v>
      </c>
      <c r="AH24" s="34">
        <f>IF(CADO_EMPREGOS_2022[[#This Row],[ABORTIVA]]="METEORO","",IF(COUNTA(CADO_EMPREGOS_2022[[#This Row],[TRANSGRESSÕES]])&gt;0,0,CADO_EMPREGOS_2022[[#This Row],[NOTA COM PENALIDADES (FOULS)]]))</f>
        <v>8.89</v>
      </c>
      <c r="AI24" s="34"/>
      <c r="AJ24" s="34">
        <f>IFERROR(IF(CADO_EMPREGOS_2022[[#This Row],[NOTA SEM FOULS]]=0,0,IF(COUNTIF(CADO_EMPREGOS_2022[[#This Row],[FOUL TVB]:[FOUL DE EIXO]],1)&gt;0,0,CADO_EMPREGOS_2022[[#This Row],[NOTA SEM FOULS]])),"")</f>
        <v>8.89</v>
      </c>
      <c r="AK24" s="34">
        <f>IF(CADO_EMPREGOS_2022[[#This Row],[MODALIDADE]]="TT",CADO_EMPREGOS_2022[[#This Row],[NOTA ACERTOS]],IF(COUNTA(CADO_EMPREGOS_2022[[#This Row],[MODALIDADE]])=0,"",CADO_EMPREGOS_2022[[#This Row],[NOTA DISTÂNCIA]]))</f>
        <v>8.89</v>
      </c>
      <c r="AL24" s="34">
        <f>IF(AND(CADO_EMPREGOS_2022[[#This Row],[MODALIDADE]]="BRB",CADO_EMPREGOS_2022[[#This Row],[TVB]]&lt;=3),1,0)</f>
        <v>0</v>
      </c>
      <c r="AM2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2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24" s="34">
        <f>IFERROR(IF(CADO_EMPREGOS_2022[[#This Row],[ALTURA DE RECUPERAÇÃO (FT)]]&lt;VLOOKUP(CADO_EMPREGOS_2022[[#This Row],[MODALIDADE]],Dados!$R$3:$AB$16,10,FALSE),1,0),"")</f>
        <v>0</v>
      </c>
      <c r="AP2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2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24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24" s="34" cm="1">
        <f t="array" ref="AS2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8.89</v>
      </c>
      <c r="AT24" s="34" t="s">
        <v>174</v>
      </c>
    </row>
    <row r="25" spans="1:46" x14ac:dyDescent="0.25">
      <c r="A25" s="35">
        <v>44698</v>
      </c>
      <c r="B25" s="36">
        <v>0.36805555555555558</v>
      </c>
      <c r="C25" s="34" t="s">
        <v>187</v>
      </c>
      <c r="D25" s="34" t="s">
        <v>121</v>
      </c>
      <c r="E25" s="34">
        <v>5733</v>
      </c>
      <c r="F25" s="34" t="s">
        <v>133</v>
      </c>
      <c r="G25" s="34">
        <v>1</v>
      </c>
      <c r="H25" s="34" t="s">
        <v>158</v>
      </c>
      <c r="I25" s="34" t="s">
        <v>175</v>
      </c>
      <c r="J25" s="34" t="s">
        <v>176</v>
      </c>
      <c r="K25" s="34">
        <v>1</v>
      </c>
      <c r="L25" s="34" t="s">
        <v>149</v>
      </c>
      <c r="M25" s="34" t="s">
        <v>163</v>
      </c>
      <c r="N25" s="34" t="s">
        <v>179</v>
      </c>
      <c r="O25" s="34" t="s">
        <v>184</v>
      </c>
      <c r="P25" s="34" t="s">
        <v>177</v>
      </c>
      <c r="Q25" s="34" t="s">
        <v>180</v>
      </c>
      <c r="R25" s="37">
        <v>-16</v>
      </c>
      <c r="S25" s="37">
        <v>5</v>
      </c>
      <c r="T25" s="34">
        <v>13.5</v>
      </c>
      <c r="U25" s="34">
        <v>6.9</v>
      </c>
      <c r="V25" s="34" t="s">
        <v>145</v>
      </c>
      <c r="W25" s="34" t="s">
        <v>145</v>
      </c>
      <c r="X25" s="34" t="s">
        <v>145</v>
      </c>
      <c r="Y25" s="37">
        <v>-19.3</v>
      </c>
      <c r="Z25" s="34">
        <v>244</v>
      </c>
      <c r="AA25" s="39" t="s">
        <v>145</v>
      </c>
      <c r="AB25" s="34" t="s">
        <v>145</v>
      </c>
      <c r="AC25" s="34">
        <v>1710</v>
      </c>
      <c r="AD25" s="34">
        <v>1300</v>
      </c>
      <c r="AE25" s="34">
        <v>135</v>
      </c>
      <c r="AF25" s="34">
        <v>131</v>
      </c>
      <c r="AG25" s="34">
        <v>6</v>
      </c>
      <c r="AH25" s="34">
        <f>IF(CADO_EMPREGOS_2022[[#This Row],[ABORTIVA]]="METEORO","",IF(COUNTA(CADO_EMPREGOS_2022[[#This Row],[TRANSGRESSÕES]])&gt;0,0,CADO_EMPREGOS_2022[[#This Row],[NOTA COM PENALIDADES (FOULS)]]))</f>
        <v>8.65</v>
      </c>
      <c r="AI25" s="34"/>
      <c r="AJ25" s="34">
        <f>IFERROR(IF(CADO_EMPREGOS_2022[[#This Row],[NOTA SEM FOULS]]=0,0,IF(COUNTIF(CADO_EMPREGOS_2022[[#This Row],[FOUL TVB]:[FOUL DE EIXO]],1)&gt;0,0,CADO_EMPREGOS_2022[[#This Row],[NOTA SEM FOULS]])),"")</f>
        <v>8.65</v>
      </c>
      <c r="AK25" s="34">
        <f>IF(CADO_EMPREGOS_2022[[#This Row],[MODALIDADE]]="TT",CADO_EMPREGOS_2022[[#This Row],[NOTA ACERTOS]],IF(COUNTA(CADO_EMPREGOS_2022[[#This Row],[MODALIDADE]])=0,"",CADO_EMPREGOS_2022[[#This Row],[NOTA DISTÂNCIA]]))</f>
        <v>8.65</v>
      </c>
      <c r="AL25" s="34">
        <f>IF(AND(CADO_EMPREGOS_2022[[#This Row],[MODALIDADE]]="BRB",CADO_EMPREGOS_2022[[#This Row],[TVB]]&lt;=3),1,0)</f>
        <v>0</v>
      </c>
      <c r="AM2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2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25" s="34">
        <f>IFERROR(IF(CADO_EMPREGOS_2022[[#This Row],[ALTURA DE RECUPERAÇÃO (FT)]]&lt;VLOOKUP(CADO_EMPREGOS_2022[[#This Row],[MODALIDADE]],Dados!$R$3:$AB$16,10,FALSE),1,0),"")</f>
        <v>0</v>
      </c>
      <c r="AP2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2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25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25" s="34" cm="1">
        <f t="array" ref="AS2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8.65</v>
      </c>
      <c r="AT25" s="34" t="s">
        <v>174</v>
      </c>
    </row>
    <row r="26" spans="1:46" x14ac:dyDescent="0.25">
      <c r="A26" s="35">
        <v>44698</v>
      </c>
      <c r="B26" s="36">
        <v>0.36805555555555558</v>
      </c>
      <c r="C26" s="34" t="s">
        <v>187</v>
      </c>
      <c r="D26" s="34" t="s">
        <v>121</v>
      </c>
      <c r="E26" s="34">
        <v>5733</v>
      </c>
      <c r="F26" s="34" t="s">
        <v>133</v>
      </c>
      <c r="G26" s="34">
        <v>1</v>
      </c>
      <c r="H26" s="34" t="s">
        <v>158</v>
      </c>
      <c r="I26" s="34" t="s">
        <v>175</v>
      </c>
      <c r="J26" s="34" t="s">
        <v>176</v>
      </c>
      <c r="K26" s="34">
        <v>1</v>
      </c>
      <c r="L26" s="34" t="s">
        <v>149</v>
      </c>
      <c r="M26" s="34" t="s">
        <v>163</v>
      </c>
      <c r="N26" s="34" t="s">
        <v>179</v>
      </c>
      <c r="O26" s="34" t="s">
        <v>184</v>
      </c>
      <c r="P26" s="34" t="s">
        <v>177</v>
      </c>
      <c r="Q26" s="34" t="s">
        <v>180</v>
      </c>
      <c r="R26" s="37">
        <v>6</v>
      </c>
      <c r="S26" s="37">
        <v>-10</v>
      </c>
      <c r="T26" s="34">
        <v>9.3000000000000007</v>
      </c>
      <c r="U26" s="34">
        <v>5.5</v>
      </c>
      <c r="V26" s="34" t="s">
        <v>145</v>
      </c>
      <c r="W26" s="34" t="s">
        <v>145</v>
      </c>
      <c r="X26" s="34" t="s">
        <v>145</v>
      </c>
      <c r="Y26" s="37">
        <v>-20.6</v>
      </c>
      <c r="Z26" s="34">
        <v>229</v>
      </c>
      <c r="AA26" s="39" t="s">
        <v>145</v>
      </c>
      <c r="AB26" s="34" t="s">
        <v>145</v>
      </c>
      <c r="AC26" s="34">
        <v>1920</v>
      </c>
      <c r="AD26" s="34">
        <v>1300</v>
      </c>
      <c r="AE26" s="34">
        <v>315</v>
      </c>
      <c r="AF26" s="34">
        <v>313</v>
      </c>
      <c r="AG26" s="34">
        <v>6</v>
      </c>
      <c r="AH26" s="34">
        <f>IF(CADO_EMPREGOS_2022[[#This Row],[ABORTIVA]]="METEORO","",IF(COUNTA(CADO_EMPREGOS_2022[[#This Row],[TRANSGRESSÕES]])&gt;0,0,CADO_EMPREGOS_2022[[#This Row],[NOTA COM PENALIDADES (FOULS)]]))</f>
        <v>9.07</v>
      </c>
      <c r="AI26" s="34"/>
      <c r="AJ26" s="34">
        <f>IFERROR(IF(CADO_EMPREGOS_2022[[#This Row],[NOTA SEM FOULS]]=0,0,IF(COUNTIF(CADO_EMPREGOS_2022[[#This Row],[FOUL TVB]:[FOUL DE EIXO]],1)&gt;0,0,CADO_EMPREGOS_2022[[#This Row],[NOTA SEM FOULS]])),"")</f>
        <v>9.07</v>
      </c>
      <c r="AK26" s="34">
        <f>IF(CADO_EMPREGOS_2022[[#This Row],[MODALIDADE]]="TT",CADO_EMPREGOS_2022[[#This Row],[NOTA ACERTOS]],IF(COUNTA(CADO_EMPREGOS_2022[[#This Row],[MODALIDADE]])=0,"",CADO_EMPREGOS_2022[[#This Row],[NOTA DISTÂNCIA]]))</f>
        <v>9.07</v>
      </c>
      <c r="AL26" s="34">
        <f>IF(AND(CADO_EMPREGOS_2022[[#This Row],[MODALIDADE]]="BRB",CADO_EMPREGOS_2022[[#This Row],[TVB]]&lt;=3),1,0)</f>
        <v>0</v>
      </c>
      <c r="AM2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2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26" s="34">
        <f>IFERROR(IF(CADO_EMPREGOS_2022[[#This Row],[ALTURA DE RECUPERAÇÃO (FT)]]&lt;VLOOKUP(CADO_EMPREGOS_2022[[#This Row],[MODALIDADE]],Dados!$R$3:$AB$16,10,FALSE),1,0),"")</f>
        <v>0</v>
      </c>
      <c r="AP2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2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2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26" s="34" cm="1">
        <f t="array" ref="AS2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9.07</v>
      </c>
      <c r="AT26" s="34" t="s">
        <v>174</v>
      </c>
    </row>
    <row r="27" spans="1:46" x14ac:dyDescent="0.25">
      <c r="A27" s="35">
        <v>44693</v>
      </c>
      <c r="B27" s="36">
        <v>0.6875</v>
      </c>
      <c r="C27" s="34" t="s">
        <v>183</v>
      </c>
      <c r="D27" s="34" t="s">
        <v>121</v>
      </c>
      <c r="E27" s="34">
        <v>5733</v>
      </c>
      <c r="F27" s="34" t="s">
        <v>100</v>
      </c>
      <c r="G27" s="34">
        <v>1</v>
      </c>
      <c r="H27" s="34" t="s">
        <v>25</v>
      </c>
      <c r="I27" s="34" t="s">
        <v>175</v>
      </c>
      <c r="J27" s="34" t="s">
        <v>169</v>
      </c>
      <c r="K27" s="34">
        <v>1</v>
      </c>
      <c r="L27" s="34" t="s">
        <v>149</v>
      </c>
      <c r="M27" s="34" t="s">
        <v>163</v>
      </c>
      <c r="N27" s="34" t="s">
        <v>179</v>
      </c>
      <c r="O27" s="34" t="s">
        <v>184</v>
      </c>
      <c r="P27" s="34" t="s">
        <v>172</v>
      </c>
      <c r="Q27" s="34" t="s">
        <v>145</v>
      </c>
      <c r="R27" s="37" t="s">
        <v>145</v>
      </c>
      <c r="S27" s="37" t="s">
        <v>145</v>
      </c>
      <c r="T27" s="34" t="s">
        <v>145</v>
      </c>
      <c r="U27" s="34" t="s">
        <v>145</v>
      </c>
      <c r="V27" s="34">
        <v>30</v>
      </c>
      <c r="W27" s="34">
        <v>28</v>
      </c>
      <c r="X27" s="34">
        <v>0.93</v>
      </c>
      <c r="Y27" s="37">
        <v>-17.3</v>
      </c>
      <c r="Z27" s="34">
        <v>245</v>
      </c>
      <c r="AA27" s="39">
        <v>802</v>
      </c>
      <c r="AB27" s="34">
        <v>603</v>
      </c>
      <c r="AC27" s="34">
        <v>360</v>
      </c>
      <c r="AD27" s="34">
        <v>200</v>
      </c>
      <c r="AE27" s="34">
        <v>135</v>
      </c>
      <c r="AF27" s="34">
        <v>136</v>
      </c>
      <c r="AG27" s="34" t="s">
        <v>145</v>
      </c>
      <c r="AH27" s="34">
        <f>IF(CADO_EMPREGOS_2022[[#This Row],[ABORTIVA]]="METEORO","",IF(COUNTA(CADO_EMPREGOS_2022[[#This Row],[TRANSGRESSÕES]])&gt;0,0,CADO_EMPREGOS_2022[[#This Row],[NOTA COM PENALIDADES (FOULS)]]))</f>
        <v>9.3333333333333339</v>
      </c>
      <c r="AI27" s="34"/>
      <c r="AJ27" s="34">
        <f>IFERROR(IF(CADO_EMPREGOS_2022[[#This Row],[NOTA SEM FOULS]]=0,0,IF(COUNTIF(CADO_EMPREGOS_2022[[#This Row],[FOUL TVB]:[FOUL DE EIXO]],1)&gt;0,0,CADO_EMPREGOS_2022[[#This Row],[NOTA SEM FOULS]])),"")</f>
        <v>9.3333333333333339</v>
      </c>
      <c r="AK27" s="34">
        <f>IF(CADO_EMPREGOS_2022[[#This Row],[MODALIDADE]]="TT",CADO_EMPREGOS_2022[[#This Row],[NOTA ACERTOS]],IF(COUNTA(CADO_EMPREGOS_2022[[#This Row],[MODALIDADE]])=0,"",CADO_EMPREGOS_2022[[#This Row],[NOTA DISTÂNCIA]]))</f>
        <v>9.3333333333333339</v>
      </c>
      <c r="AL27" s="34">
        <f>IF(AND(CADO_EMPREGOS_2022[[#This Row],[MODALIDADE]]="BRB",CADO_EMPREGOS_2022[[#This Row],[TVB]]&lt;=3),1,0)</f>
        <v>0</v>
      </c>
      <c r="AM2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2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27" s="34">
        <f>IFERROR(IF(CADO_EMPREGOS_2022[[#This Row],[ALTURA DE RECUPERAÇÃO (FT)]]&lt;VLOOKUP(CADO_EMPREGOS_2022[[#This Row],[MODALIDADE]],Dados!$R$3:$AB$16,10,FALSE),1,0),"")</f>
        <v>0</v>
      </c>
      <c r="AP2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2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27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9.3333333333333339</v>
      </c>
      <c r="AS27" s="34" cm="1">
        <f t="array" ref="AS2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27" s="34" t="s">
        <v>174</v>
      </c>
    </row>
    <row r="28" spans="1:46" x14ac:dyDescent="0.25">
      <c r="A28" s="35">
        <v>44698</v>
      </c>
      <c r="B28" s="36">
        <v>0.36805555555555558</v>
      </c>
      <c r="C28" s="34" t="s">
        <v>187</v>
      </c>
      <c r="D28" s="34" t="s">
        <v>121</v>
      </c>
      <c r="E28" s="34">
        <v>5733</v>
      </c>
      <c r="F28" s="34" t="s">
        <v>133</v>
      </c>
      <c r="G28" s="34">
        <v>1</v>
      </c>
      <c r="H28" s="34" t="s">
        <v>25</v>
      </c>
      <c r="I28" s="34" t="s">
        <v>175</v>
      </c>
      <c r="J28" s="34" t="s">
        <v>169</v>
      </c>
      <c r="K28" s="34">
        <v>1</v>
      </c>
      <c r="L28" s="34" t="s">
        <v>149</v>
      </c>
      <c r="M28" s="34" t="s">
        <v>163</v>
      </c>
      <c r="N28" s="34" t="s">
        <v>179</v>
      </c>
      <c r="O28" s="34" t="s">
        <v>184</v>
      </c>
      <c r="P28" s="34" t="s">
        <v>172</v>
      </c>
      <c r="Q28" s="34" t="s">
        <v>145</v>
      </c>
      <c r="R28" s="37" t="s">
        <v>145</v>
      </c>
      <c r="S28" s="37" t="s">
        <v>145</v>
      </c>
      <c r="T28" s="34" t="s">
        <v>145</v>
      </c>
      <c r="U28" s="34" t="s">
        <v>145</v>
      </c>
      <c r="V28" s="34">
        <v>27</v>
      </c>
      <c r="W28" s="34">
        <v>12</v>
      </c>
      <c r="X28" s="34">
        <v>0.44</v>
      </c>
      <c r="Y28" s="37">
        <v>-17.3</v>
      </c>
      <c r="Z28" s="34">
        <v>238</v>
      </c>
      <c r="AA28" s="39">
        <v>844</v>
      </c>
      <c r="AB28" s="34">
        <v>643</v>
      </c>
      <c r="AC28" s="34">
        <v>390</v>
      </c>
      <c r="AD28" s="34">
        <v>200</v>
      </c>
      <c r="AE28" s="34">
        <v>135</v>
      </c>
      <c r="AF28" s="34">
        <v>131</v>
      </c>
      <c r="AG28" s="34" t="s">
        <v>145</v>
      </c>
      <c r="AH28" s="34">
        <f>IF(CADO_EMPREGOS_2022[[#This Row],[ABORTIVA]]="METEORO","",IF(COUNTA(CADO_EMPREGOS_2022[[#This Row],[TRANSGRESSÕES]])&gt;0,0,CADO_EMPREGOS_2022[[#This Row],[NOTA COM PENALIDADES (FOULS)]]))</f>
        <v>4</v>
      </c>
      <c r="AI28" s="34"/>
      <c r="AJ28" s="34">
        <f>IFERROR(IF(CADO_EMPREGOS_2022[[#This Row],[NOTA SEM FOULS]]=0,0,IF(COUNTIF(CADO_EMPREGOS_2022[[#This Row],[FOUL TVB]:[FOUL DE EIXO]],1)&gt;0,0,CADO_EMPREGOS_2022[[#This Row],[NOTA SEM FOULS]])),"")</f>
        <v>4</v>
      </c>
      <c r="AK28" s="34">
        <f>IF(CADO_EMPREGOS_2022[[#This Row],[MODALIDADE]]="TT",CADO_EMPREGOS_2022[[#This Row],[NOTA ACERTOS]],IF(COUNTA(CADO_EMPREGOS_2022[[#This Row],[MODALIDADE]])=0,"",CADO_EMPREGOS_2022[[#This Row],[NOTA DISTÂNCIA]]))</f>
        <v>4</v>
      </c>
      <c r="AL28" s="34">
        <f>IF(AND(CADO_EMPREGOS_2022[[#This Row],[MODALIDADE]]="BRB",CADO_EMPREGOS_2022[[#This Row],[TVB]]&lt;=3),1,0)</f>
        <v>0</v>
      </c>
      <c r="AM2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2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28" s="34">
        <f>IFERROR(IF(CADO_EMPREGOS_2022[[#This Row],[ALTURA DE RECUPERAÇÃO (FT)]]&lt;VLOOKUP(CADO_EMPREGOS_2022[[#This Row],[MODALIDADE]],Dados!$R$3:$AB$16,10,FALSE),1,0),"")</f>
        <v>0</v>
      </c>
      <c r="AP2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2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28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4</v>
      </c>
      <c r="AS28" s="34" cm="1">
        <f t="array" ref="AS2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28" s="34" t="s">
        <v>174</v>
      </c>
    </row>
    <row r="29" spans="1:46" x14ac:dyDescent="0.25">
      <c r="A29" s="35">
        <v>44693</v>
      </c>
      <c r="B29" s="36">
        <v>0.6875</v>
      </c>
      <c r="C29" s="34" t="s">
        <v>183</v>
      </c>
      <c r="D29" s="34" t="s">
        <v>114</v>
      </c>
      <c r="E29" s="34">
        <v>5920</v>
      </c>
      <c r="F29" s="34" t="s">
        <v>100</v>
      </c>
      <c r="G29" s="34">
        <v>3</v>
      </c>
      <c r="H29" s="34" t="s">
        <v>158</v>
      </c>
      <c r="I29" s="34" t="s">
        <v>175</v>
      </c>
      <c r="J29" s="34" t="s">
        <v>176</v>
      </c>
      <c r="K29" s="34">
        <f>IF(AND(CADO_EMPREGOS_2022[[#This Row],[R/S]]="R",CADO_EMPREGOS_2022[[#This Row],[ARMAMENTO]]="BEX",CADO_EMPREGOS_2022[[#This Row],[RECEPÇÃO]]&lt;&gt;"BOMBA PRESA"),1,0)</f>
        <v>1</v>
      </c>
      <c r="L29" s="34" t="s">
        <v>149</v>
      </c>
      <c r="M29" s="34" t="s">
        <v>163</v>
      </c>
      <c r="N29" s="34" t="s">
        <v>179</v>
      </c>
      <c r="O29" s="34" t="s">
        <v>184</v>
      </c>
      <c r="P29" s="34" t="s">
        <v>177</v>
      </c>
      <c r="Q29" s="34" t="s">
        <v>180</v>
      </c>
      <c r="R29" s="37">
        <v>-2</v>
      </c>
      <c r="S29" s="37">
        <v>-6</v>
      </c>
      <c r="T29" s="34">
        <v>5.0999999999999996</v>
      </c>
      <c r="U29" s="34">
        <v>12.1</v>
      </c>
      <c r="V29" s="34" t="s">
        <v>145</v>
      </c>
      <c r="W29" s="34" t="s">
        <v>145</v>
      </c>
      <c r="X29" s="34" t="s">
        <v>145</v>
      </c>
      <c r="Y29" s="37">
        <v>-20</v>
      </c>
      <c r="Z29" s="34">
        <v>250</v>
      </c>
      <c r="AA29" s="39" t="s">
        <v>145</v>
      </c>
      <c r="AB29" s="34" t="s">
        <v>145</v>
      </c>
      <c r="AC29" s="34">
        <v>1400</v>
      </c>
      <c r="AD29" s="34">
        <f>VLOOKUP(CADO_EMPREGOS_2022[[#This Row],[MODALIDADE]],Dados!$R$3:$AB$16,10,FALSE)</f>
        <v>1300</v>
      </c>
      <c r="AE29" s="34">
        <v>135</v>
      </c>
      <c r="AF29" s="34">
        <v>135</v>
      </c>
      <c r="AG29" s="34">
        <v>5</v>
      </c>
      <c r="AH29" s="34">
        <f>IF(CADO_EMPREGOS_2022[[#This Row],[ABORTIVA]]="METEORO","",IF(COUNTA(CADO_EMPREGOS_2022[[#This Row],[TRANSGRESSÕES]])&gt;0,0,CADO_EMPREGOS_2022[[#This Row],[NOTA COM PENALIDADES (FOULS)]]))</f>
        <v>9.49</v>
      </c>
      <c r="AI29" s="34"/>
      <c r="AJ29" s="34">
        <f>IFERROR(IF(CADO_EMPREGOS_2022[[#This Row],[NOTA SEM FOULS]]=0,0,IF(COUNTIF(CADO_EMPREGOS_2022[[#This Row],[FOUL TVB]:[FOUL DE EIXO]],1)&gt;0,0,CADO_EMPREGOS_2022[[#This Row],[NOTA SEM FOULS]])),"")</f>
        <v>9.49</v>
      </c>
      <c r="AK29" s="34">
        <f>IF(CADO_EMPREGOS_2022[[#This Row],[MODALIDADE]]="TT",CADO_EMPREGOS_2022[[#This Row],[NOTA ACERTOS]],IF(COUNTA(CADO_EMPREGOS_2022[[#This Row],[MODALIDADE]])=0,"",CADO_EMPREGOS_2022[[#This Row],[NOTA DISTÂNCIA]]))</f>
        <v>9.49</v>
      </c>
      <c r="AL29" s="34">
        <f>IF(AND(CADO_EMPREGOS_2022[[#This Row],[MODALIDADE]]="BRB",CADO_EMPREGOS_2022[[#This Row],[TVB]]&lt;=3),1,0)</f>
        <v>0</v>
      </c>
      <c r="AM2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2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29" s="34">
        <f>IFERROR(IF(CADO_EMPREGOS_2022[[#This Row],[ALTURA DE RECUPERAÇÃO (FT)]]&lt;VLOOKUP(CADO_EMPREGOS_2022[[#This Row],[MODALIDADE]],Dados!$R$3:$AB$16,10,FALSE),1,0),"")</f>
        <v>0</v>
      </c>
      <c r="AP2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2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29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29" s="34" cm="1">
        <f t="array" ref="AS2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9.49</v>
      </c>
      <c r="AT29" s="34" t="s">
        <v>174</v>
      </c>
    </row>
    <row r="30" spans="1:46" x14ac:dyDescent="0.25">
      <c r="A30" s="35">
        <v>44698</v>
      </c>
      <c r="B30" s="36">
        <v>0.79166666666666663</v>
      </c>
      <c r="C30" s="34" t="s">
        <v>187</v>
      </c>
      <c r="D30" s="34" t="s">
        <v>114</v>
      </c>
      <c r="E30" s="34">
        <v>5920</v>
      </c>
      <c r="F30" s="34" t="s">
        <v>134</v>
      </c>
      <c r="G30" s="34">
        <v>2</v>
      </c>
      <c r="H30" s="34" t="s">
        <v>158</v>
      </c>
      <c r="I30" s="34" t="s">
        <v>175</v>
      </c>
      <c r="J30" s="34" t="s">
        <v>176</v>
      </c>
      <c r="K30" s="34">
        <v>1</v>
      </c>
      <c r="L30" s="34" t="s">
        <v>149</v>
      </c>
      <c r="M30" s="34" t="s">
        <v>163</v>
      </c>
      <c r="N30" s="34" t="s">
        <v>179</v>
      </c>
      <c r="O30" s="34" t="s">
        <v>184</v>
      </c>
      <c r="P30" s="34" t="s">
        <v>177</v>
      </c>
      <c r="Q30" s="34" t="s">
        <v>180</v>
      </c>
      <c r="R30" s="37">
        <v>3</v>
      </c>
      <c r="S30" s="37">
        <v>12</v>
      </c>
      <c r="T30" s="34">
        <v>9.8000000000000007</v>
      </c>
      <c r="U30" s="34">
        <v>4.9000000000000004</v>
      </c>
      <c r="V30" s="34" t="s">
        <v>145</v>
      </c>
      <c r="W30" s="34" t="s">
        <v>145</v>
      </c>
      <c r="X30" s="34" t="s">
        <v>145</v>
      </c>
      <c r="Y30" s="37">
        <v>-22.3</v>
      </c>
      <c r="Z30" s="34">
        <v>251</v>
      </c>
      <c r="AA30" s="39" t="s">
        <v>145</v>
      </c>
      <c r="AB30" s="34" t="s">
        <v>145</v>
      </c>
      <c r="AC30" s="34">
        <v>1480</v>
      </c>
      <c r="AD30" s="34">
        <f>VLOOKUP(CADO_EMPREGOS_2022[[#This Row],[MODALIDADE]],Dados!$R$3:$AB$16,10,FALSE)</f>
        <v>1300</v>
      </c>
      <c r="AE30" s="34">
        <v>135</v>
      </c>
      <c r="AF30" s="34">
        <v>140</v>
      </c>
      <c r="AG30" s="34">
        <v>5</v>
      </c>
      <c r="AH30" s="34">
        <f>IF(CADO_EMPREGOS_2022[[#This Row],[ABORTIVA]]="METEORO","",IF(COUNTA(CADO_EMPREGOS_2022[[#This Row],[TRANSGRESSÕES]])&gt;0,0,CADO_EMPREGOS_2022[[#This Row],[NOTA COM PENALIDADES (FOULS)]]))</f>
        <v>9.02</v>
      </c>
      <c r="AI30" s="34"/>
      <c r="AJ30" s="34">
        <f>IFERROR(IF(CADO_EMPREGOS_2022[[#This Row],[NOTA SEM FOULS]]=0,0,IF(COUNTIF(CADO_EMPREGOS_2022[[#This Row],[FOUL TVB]:[FOUL DE EIXO]],1)&gt;0,0,CADO_EMPREGOS_2022[[#This Row],[NOTA SEM FOULS]])),"")</f>
        <v>9.02</v>
      </c>
      <c r="AK30" s="34">
        <f>IF(CADO_EMPREGOS_2022[[#This Row],[MODALIDADE]]="TT",CADO_EMPREGOS_2022[[#This Row],[NOTA ACERTOS]],IF(COUNTA(CADO_EMPREGOS_2022[[#This Row],[MODALIDADE]])=0,"",CADO_EMPREGOS_2022[[#This Row],[NOTA DISTÂNCIA]]))</f>
        <v>9.02</v>
      </c>
      <c r="AL30" s="34">
        <f>IF(AND(CADO_EMPREGOS_2022[[#This Row],[MODALIDADE]]="BRB",CADO_EMPREGOS_2022[[#This Row],[TVB]]&lt;=3),1,0)</f>
        <v>0</v>
      </c>
      <c r="AM3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3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30" s="34">
        <f>IFERROR(IF(CADO_EMPREGOS_2022[[#This Row],[ALTURA DE RECUPERAÇÃO (FT)]]&lt;VLOOKUP(CADO_EMPREGOS_2022[[#This Row],[MODALIDADE]],Dados!$R$3:$AB$16,10,FALSE),1,0),"")</f>
        <v>0</v>
      </c>
      <c r="AP3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3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3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30" s="34" cm="1">
        <f t="array" ref="AS3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9.02</v>
      </c>
      <c r="AT30" s="34" t="s">
        <v>174</v>
      </c>
    </row>
    <row r="31" spans="1:46" x14ac:dyDescent="0.25">
      <c r="A31" s="35">
        <v>44698</v>
      </c>
      <c r="B31" s="36">
        <v>0.79166666666666663</v>
      </c>
      <c r="C31" s="34" t="s">
        <v>187</v>
      </c>
      <c r="D31" s="34" t="s">
        <v>114</v>
      </c>
      <c r="E31" s="34">
        <v>5920</v>
      </c>
      <c r="F31" s="34" t="s">
        <v>134</v>
      </c>
      <c r="G31" s="34">
        <v>2</v>
      </c>
      <c r="H31" s="34" t="s">
        <v>158</v>
      </c>
      <c r="I31" s="34" t="s">
        <v>175</v>
      </c>
      <c r="J31" s="34" t="s">
        <v>176</v>
      </c>
      <c r="K31" s="34">
        <v>1</v>
      </c>
      <c r="L31" s="34" t="s">
        <v>149</v>
      </c>
      <c r="M31" s="34" t="s">
        <v>163</v>
      </c>
      <c r="N31" s="34" t="s">
        <v>179</v>
      </c>
      <c r="O31" s="34" t="s">
        <v>184</v>
      </c>
      <c r="P31" s="34" t="s">
        <v>177</v>
      </c>
      <c r="Q31" s="34" t="s">
        <v>180</v>
      </c>
      <c r="R31" s="37">
        <v>0</v>
      </c>
      <c r="S31" s="37">
        <v>2</v>
      </c>
      <c r="T31" s="34">
        <v>1.6</v>
      </c>
      <c r="U31" s="34">
        <v>10.5</v>
      </c>
      <c r="V31" s="34" t="s">
        <v>145</v>
      </c>
      <c r="W31" s="34" t="s">
        <v>145</v>
      </c>
      <c r="X31" s="34" t="s">
        <v>145</v>
      </c>
      <c r="Y31" s="37">
        <v>-21.2</v>
      </c>
      <c r="Z31" s="34">
        <v>237</v>
      </c>
      <c r="AA31" s="39" t="s">
        <v>145</v>
      </c>
      <c r="AB31" s="34" t="s">
        <v>145</v>
      </c>
      <c r="AC31" s="34">
        <v>2230</v>
      </c>
      <c r="AD31" s="34">
        <v>1300</v>
      </c>
      <c r="AE31" s="34">
        <v>315</v>
      </c>
      <c r="AF31" s="34">
        <v>318</v>
      </c>
      <c r="AG31" s="34">
        <v>8</v>
      </c>
      <c r="AH31" s="34">
        <f>IF(CADO_EMPREGOS_2022[[#This Row],[ABORTIVA]]="METEORO","",IF(COUNTA(CADO_EMPREGOS_2022[[#This Row],[TRANSGRESSÕES]])&gt;0,0,CADO_EMPREGOS_2022[[#This Row],[NOTA COM PENALIDADES (FOULS)]]))</f>
        <v>9.84</v>
      </c>
      <c r="AI31" s="34"/>
      <c r="AJ31" s="34">
        <f>IFERROR(IF(CADO_EMPREGOS_2022[[#This Row],[NOTA SEM FOULS]]=0,0,IF(COUNTIF(CADO_EMPREGOS_2022[[#This Row],[FOUL TVB]:[FOUL DE EIXO]],1)&gt;0,0,CADO_EMPREGOS_2022[[#This Row],[NOTA SEM FOULS]])),"")</f>
        <v>9.84</v>
      </c>
      <c r="AK31" s="34">
        <f>IF(CADO_EMPREGOS_2022[[#This Row],[MODALIDADE]]="TT",CADO_EMPREGOS_2022[[#This Row],[NOTA ACERTOS]],IF(COUNTA(CADO_EMPREGOS_2022[[#This Row],[MODALIDADE]])=0,"",CADO_EMPREGOS_2022[[#This Row],[NOTA DISTÂNCIA]]))</f>
        <v>9.84</v>
      </c>
      <c r="AL31" s="34">
        <f>IF(AND(CADO_EMPREGOS_2022[[#This Row],[MODALIDADE]]="BRB",CADO_EMPREGOS_2022[[#This Row],[TVB]]&lt;=3),1,0)</f>
        <v>0</v>
      </c>
      <c r="AM3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3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31" s="34">
        <f>IFERROR(IF(CADO_EMPREGOS_2022[[#This Row],[ALTURA DE RECUPERAÇÃO (FT)]]&lt;VLOOKUP(CADO_EMPREGOS_2022[[#This Row],[MODALIDADE]],Dados!$R$3:$AB$16,10,FALSE),1,0),"")</f>
        <v>0</v>
      </c>
      <c r="AP3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3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31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31" s="34" cm="1">
        <f t="array" ref="AS3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9.84</v>
      </c>
      <c r="AT31" s="34" t="s">
        <v>174</v>
      </c>
    </row>
    <row r="32" spans="1:46" x14ac:dyDescent="0.25">
      <c r="A32" s="35">
        <v>44693</v>
      </c>
      <c r="B32" s="36">
        <v>0.6875</v>
      </c>
      <c r="C32" s="34" t="s">
        <v>183</v>
      </c>
      <c r="D32" s="34" t="s">
        <v>114</v>
      </c>
      <c r="E32" s="34">
        <v>5920</v>
      </c>
      <c r="F32" s="34" t="s">
        <v>100</v>
      </c>
      <c r="G32" s="34">
        <v>3</v>
      </c>
      <c r="H32" s="34" t="s">
        <v>25</v>
      </c>
      <c r="I32" s="34" t="s">
        <v>175</v>
      </c>
      <c r="J32" s="34" t="s">
        <v>169</v>
      </c>
      <c r="K32" s="34">
        <v>1</v>
      </c>
      <c r="L32" s="34" t="s">
        <v>149</v>
      </c>
      <c r="M32" s="34" t="s">
        <v>163</v>
      </c>
      <c r="N32" s="34" t="s">
        <v>179</v>
      </c>
      <c r="O32" s="34" t="s">
        <v>184</v>
      </c>
      <c r="P32" s="34" t="s">
        <v>172</v>
      </c>
      <c r="Q32" s="34" t="s">
        <v>145</v>
      </c>
      <c r="R32" s="37" t="s">
        <v>145</v>
      </c>
      <c r="S32" s="37" t="s">
        <v>145</v>
      </c>
      <c r="T32" s="34" t="s">
        <v>145</v>
      </c>
      <c r="U32" s="34" t="s">
        <v>145</v>
      </c>
      <c r="V32" s="34">
        <v>30</v>
      </c>
      <c r="W32" s="34">
        <v>24</v>
      </c>
      <c r="X32" s="34">
        <v>0.8</v>
      </c>
      <c r="Y32" s="37">
        <v>-15.9</v>
      </c>
      <c r="Z32" s="34">
        <v>230</v>
      </c>
      <c r="AA32" s="39">
        <v>597</v>
      </c>
      <c r="AB32" s="34">
        <v>507</v>
      </c>
      <c r="AC32" s="34">
        <v>470</v>
      </c>
      <c r="AD32" s="34">
        <v>200</v>
      </c>
      <c r="AE32" s="34">
        <v>135</v>
      </c>
      <c r="AF32" s="34">
        <v>136</v>
      </c>
      <c r="AG32" s="34" t="s">
        <v>145</v>
      </c>
      <c r="AH32" s="34">
        <f>IF(CADO_EMPREGOS_2022[[#This Row],[ABORTIVA]]="METEORO","",IF(COUNTA(CADO_EMPREGOS_2022[[#This Row],[TRANSGRESSÕES]])&gt;0,0,CADO_EMPREGOS_2022[[#This Row],[NOTA COM PENALIDADES (FOULS)]]))</f>
        <v>8</v>
      </c>
      <c r="AI32" s="34"/>
      <c r="AJ32" s="34">
        <f>IFERROR(IF(CADO_EMPREGOS_2022[[#This Row],[NOTA SEM FOULS]]=0,0,IF(COUNTIF(CADO_EMPREGOS_2022[[#This Row],[FOUL TVB]:[FOUL DE EIXO]],1)&gt;0,0,CADO_EMPREGOS_2022[[#This Row],[NOTA SEM FOULS]])),"")</f>
        <v>8</v>
      </c>
      <c r="AK32" s="34">
        <f>IF(CADO_EMPREGOS_2022[[#This Row],[MODALIDADE]]="TT",CADO_EMPREGOS_2022[[#This Row],[NOTA ACERTOS]],IF(COUNTA(CADO_EMPREGOS_2022[[#This Row],[MODALIDADE]])=0,"",CADO_EMPREGOS_2022[[#This Row],[NOTA DISTÂNCIA]]))</f>
        <v>8</v>
      </c>
      <c r="AL32" s="34">
        <f>IF(AND(CADO_EMPREGOS_2022[[#This Row],[MODALIDADE]]="BRB",CADO_EMPREGOS_2022[[#This Row],[TVB]]&lt;=3),1,0)</f>
        <v>0</v>
      </c>
      <c r="AM3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3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32" s="34">
        <f>IFERROR(IF(CADO_EMPREGOS_2022[[#This Row],[ALTURA DE RECUPERAÇÃO (FT)]]&lt;VLOOKUP(CADO_EMPREGOS_2022[[#This Row],[MODALIDADE]],Dados!$R$3:$AB$16,10,FALSE),1,0),"")</f>
        <v>0</v>
      </c>
      <c r="AP3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3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32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8</v>
      </c>
      <c r="AS32" s="34" cm="1">
        <f t="array" ref="AS3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32" s="34" t="s">
        <v>174</v>
      </c>
    </row>
    <row r="33" spans="1:46" x14ac:dyDescent="0.25">
      <c r="A33" s="35">
        <v>44698</v>
      </c>
      <c r="B33" s="36">
        <v>0.79166666666666663</v>
      </c>
      <c r="C33" s="34" t="s">
        <v>187</v>
      </c>
      <c r="D33" s="34" t="s">
        <v>114</v>
      </c>
      <c r="E33" s="34">
        <v>5920</v>
      </c>
      <c r="F33" s="34" t="s">
        <v>134</v>
      </c>
      <c r="G33" s="34">
        <v>2</v>
      </c>
      <c r="H33" s="34" t="s">
        <v>25</v>
      </c>
      <c r="I33" s="34" t="s">
        <v>175</v>
      </c>
      <c r="J33" s="34" t="s">
        <v>169</v>
      </c>
      <c r="K33" s="34">
        <v>1</v>
      </c>
      <c r="L33" s="34" t="s">
        <v>149</v>
      </c>
      <c r="M33" s="34" t="s">
        <v>163</v>
      </c>
      <c r="N33" s="34" t="s">
        <v>179</v>
      </c>
      <c r="O33" s="34" t="s">
        <v>184</v>
      </c>
      <c r="P33" s="34" t="s">
        <v>172</v>
      </c>
      <c r="Q33" s="34" t="s">
        <v>145</v>
      </c>
      <c r="R33" s="37" t="s">
        <v>145</v>
      </c>
      <c r="S33" s="37" t="s">
        <v>145</v>
      </c>
      <c r="T33" s="34" t="s">
        <v>145</v>
      </c>
      <c r="U33" s="34" t="s">
        <v>145</v>
      </c>
      <c r="V33" s="34">
        <v>30</v>
      </c>
      <c r="W33" s="34">
        <v>27</v>
      </c>
      <c r="X33" s="34">
        <v>0.9</v>
      </c>
      <c r="Y33" s="37">
        <v>-14.9</v>
      </c>
      <c r="Z33" s="34">
        <v>240</v>
      </c>
      <c r="AA33" s="39">
        <v>715</v>
      </c>
      <c r="AB33" s="34">
        <v>513</v>
      </c>
      <c r="AC33" s="34">
        <v>540</v>
      </c>
      <c r="AD33" s="34">
        <v>200</v>
      </c>
      <c r="AE33" s="34">
        <v>135</v>
      </c>
      <c r="AF33" s="34">
        <v>134</v>
      </c>
      <c r="AG33" s="34" t="s">
        <v>145</v>
      </c>
      <c r="AH33" s="34">
        <f>IF(CADO_EMPREGOS_2022[[#This Row],[ABORTIVA]]="METEORO","",IF(COUNTA(CADO_EMPREGOS_2022[[#This Row],[TRANSGRESSÕES]])&gt;0,0,CADO_EMPREGOS_2022[[#This Row],[NOTA COM PENALIDADES (FOULS)]]))</f>
        <v>9</v>
      </c>
      <c r="AI33" s="34"/>
      <c r="AJ33" s="34">
        <f>IFERROR(IF(CADO_EMPREGOS_2022[[#This Row],[NOTA SEM FOULS]]=0,0,IF(COUNTIF(CADO_EMPREGOS_2022[[#This Row],[FOUL TVB]:[FOUL DE EIXO]],1)&gt;0,0,CADO_EMPREGOS_2022[[#This Row],[NOTA SEM FOULS]])),"")</f>
        <v>9</v>
      </c>
      <c r="AK33" s="34">
        <f>IF(CADO_EMPREGOS_2022[[#This Row],[MODALIDADE]]="TT",CADO_EMPREGOS_2022[[#This Row],[NOTA ACERTOS]],IF(COUNTA(CADO_EMPREGOS_2022[[#This Row],[MODALIDADE]])=0,"",CADO_EMPREGOS_2022[[#This Row],[NOTA DISTÂNCIA]]))</f>
        <v>9</v>
      </c>
      <c r="AL33" s="34">
        <f>IF(AND(CADO_EMPREGOS_2022[[#This Row],[MODALIDADE]]="BRB",CADO_EMPREGOS_2022[[#This Row],[TVB]]&lt;=3),1,0)</f>
        <v>0</v>
      </c>
      <c r="AM3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3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33" s="34">
        <f>IFERROR(IF(CADO_EMPREGOS_2022[[#This Row],[ALTURA DE RECUPERAÇÃO (FT)]]&lt;VLOOKUP(CADO_EMPREGOS_2022[[#This Row],[MODALIDADE]],Dados!$R$3:$AB$16,10,FALSE),1,0),"")</f>
        <v>0</v>
      </c>
      <c r="AP3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3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33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</v>
      </c>
      <c r="AS33" s="34" cm="1">
        <f t="array" ref="AS3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33" s="34" t="s">
        <v>174</v>
      </c>
    </row>
    <row r="34" spans="1:46" x14ac:dyDescent="0.25">
      <c r="A34" s="35">
        <v>44693</v>
      </c>
      <c r="B34" s="36">
        <v>0.36805555555555558</v>
      </c>
      <c r="C34" s="34" t="s">
        <v>183</v>
      </c>
      <c r="D34" s="34" t="s">
        <v>117</v>
      </c>
      <c r="E34" s="34">
        <v>5920</v>
      </c>
      <c r="F34" s="34" t="s">
        <v>100</v>
      </c>
      <c r="G34" s="34">
        <v>1</v>
      </c>
      <c r="H34" s="34" t="s">
        <v>158</v>
      </c>
      <c r="I34" s="34" t="s">
        <v>175</v>
      </c>
      <c r="J34" s="34" t="s">
        <v>176</v>
      </c>
      <c r="K34" s="34">
        <v>1</v>
      </c>
      <c r="L34" s="34" t="s">
        <v>149</v>
      </c>
      <c r="M34" s="34" t="s">
        <v>163</v>
      </c>
      <c r="N34" s="34" t="s">
        <v>179</v>
      </c>
      <c r="O34" s="34" t="s">
        <v>184</v>
      </c>
      <c r="P34" s="34" t="s">
        <v>177</v>
      </c>
      <c r="Q34" s="34" t="s">
        <v>180</v>
      </c>
      <c r="R34" s="37">
        <v>3</v>
      </c>
      <c r="S34" s="37">
        <v>-5</v>
      </c>
      <c r="T34" s="34">
        <v>4.5999999999999996</v>
      </c>
      <c r="U34" s="34">
        <v>11.5</v>
      </c>
      <c r="V34" s="34" t="s">
        <v>145</v>
      </c>
      <c r="W34" s="34" t="s">
        <v>145</v>
      </c>
      <c r="X34" s="34" t="s">
        <v>145</v>
      </c>
      <c r="Y34" s="37">
        <v>-19.8</v>
      </c>
      <c r="Z34" s="34">
        <v>240</v>
      </c>
      <c r="AA34" s="39" t="s">
        <v>145</v>
      </c>
      <c r="AB34" s="34" t="s">
        <v>145</v>
      </c>
      <c r="AC34" s="34">
        <v>1830</v>
      </c>
      <c r="AD34" s="34">
        <v>1300</v>
      </c>
      <c r="AE34" s="34">
        <v>135</v>
      </c>
      <c r="AF34" s="34">
        <v>137</v>
      </c>
      <c r="AG34" s="34">
        <v>6</v>
      </c>
      <c r="AH34" s="34">
        <f>IF(CADO_EMPREGOS_2022[[#This Row],[ABORTIVA]]="METEORO","",IF(COUNTA(CADO_EMPREGOS_2022[[#This Row],[TRANSGRESSÕES]])&gt;0,0,CADO_EMPREGOS_2022[[#This Row],[NOTA COM PENALIDADES (FOULS)]]))</f>
        <v>9.5399999999999991</v>
      </c>
      <c r="AI34" s="34"/>
      <c r="AJ34" s="34">
        <f>IFERROR(IF(CADO_EMPREGOS_2022[[#This Row],[NOTA SEM FOULS]]=0,0,IF(COUNTIF(CADO_EMPREGOS_2022[[#This Row],[FOUL TVB]:[FOUL DE EIXO]],1)&gt;0,0,CADO_EMPREGOS_2022[[#This Row],[NOTA SEM FOULS]])),"")</f>
        <v>9.5399999999999991</v>
      </c>
      <c r="AK34" s="34">
        <f>IF(CADO_EMPREGOS_2022[[#This Row],[MODALIDADE]]="TT",CADO_EMPREGOS_2022[[#This Row],[NOTA ACERTOS]],IF(COUNTA(CADO_EMPREGOS_2022[[#This Row],[MODALIDADE]])=0,"",CADO_EMPREGOS_2022[[#This Row],[NOTA DISTÂNCIA]]))</f>
        <v>9.5399999999999991</v>
      </c>
      <c r="AL34" s="34">
        <f>IF(AND(CADO_EMPREGOS_2022[[#This Row],[MODALIDADE]]="BRB",CADO_EMPREGOS_2022[[#This Row],[TVB]]&lt;=3),1,0)</f>
        <v>0</v>
      </c>
      <c r="AM3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3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34" s="34">
        <f>IFERROR(IF(CADO_EMPREGOS_2022[[#This Row],[ALTURA DE RECUPERAÇÃO (FT)]]&lt;VLOOKUP(CADO_EMPREGOS_2022[[#This Row],[MODALIDADE]],Dados!$R$3:$AB$16,10,FALSE),1,0),"")</f>
        <v>0</v>
      </c>
      <c r="AP3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3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34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34" s="34" cm="1">
        <f t="array" ref="AS3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9.5399999999999991</v>
      </c>
      <c r="AT34" s="34" t="s">
        <v>174</v>
      </c>
    </row>
    <row r="35" spans="1:46" x14ac:dyDescent="0.25">
      <c r="A35" s="35">
        <v>44693</v>
      </c>
      <c r="B35" s="36">
        <v>0.36805555555555558</v>
      </c>
      <c r="C35" s="34" t="s">
        <v>183</v>
      </c>
      <c r="D35" s="34" t="s">
        <v>117</v>
      </c>
      <c r="E35" s="34">
        <v>5920</v>
      </c>
      <c r="F35" s="34" t="s">
        <v>100</v>
      </c>
      <c r="G35" s="34">
        <v>1</v>
      </c>
      <c r="H35" s="34" t="s">
        <v>158</v>
      </c>
      <c r="I35" s="34" t="s">
        <v>175</v>
      </c>
      <c r="J35" s="34" t="s">
        <v>176</v>
      </c>
      <c r="K35" s="34">
        <v>1</v>
      </c>
      <c r="L35" s="34" t="s">
        <v>149</v>
      </c>
      <c r="M35" s="34" t="s">
        <v>163</v>
      </c>
      <c r="N35" s="34" t="s">
        <v>179</v>
      </c>
      <c r="O35" s="34" t="s">
        <v>184</v>
      </c>
      <c r="P35" s="34" t="s">
        <v>177</v>
      </c>
      <c r="Q35" s="34" t="s">
        <v>180</v>
      </c>
      <c r="R35" s="38">
        <v>-27</v>
      </c>
      <c r="S35" s="37">
        <v>15</v>
      </c>
      <c r="T35" s="34">
        <v>24.5</v>
      </c>
      <c r="U35" s="34">
        <v>12.6</v>
      </c>
      <c r="V35" s="34" t="s">
        <v>145</v>
      </c>
      <c r="W35" s="34" t="s">
        <v>145</v>
      </c>
      <c r="X35" s="34" t="s">
        <v>145</v>
      </c>
      <c r="Y35" s="37">
        <v>-21.5</v>
      </c>
      <c r="Z35" s="34">
        <v>232</v>
      </c>
      <c r="AA35" s="39" t="s">
        <v>145</v>
      </c>
      <c r="AB35" s="34" t="s">
        <v>145</v>
      </c>
      <c r="AC35" s="34">
        <v>2080</v>
      </c>
      <c r="AD35" s="34">
        <v>1300</v>
      </c>
      <c r="AE35" s="34">
        <v>315</v>
      </c>
      <c r="AF35" s="34">
        <v>312</v>
      </c>
      <c r="AG35" s="34">
        <v>6</v>
      </c>
      <c r="AH35" s="34">
        <f>IF(CADO_EMPREGOS_2022[[#This Row],[ABORTIVA]]="METEORO","",IF(COUNTA(CADO_EMPREGOS_2022[[#This Row],[TRANSGRESSÕES]])&gt;0,0,CADO_EMPREGOS_2022[[#This Row],[NOTA COM PENALIDADES (FOULS)]]))</f>
        <v>7.55</v>
      </c>
      <c r="AI35" s="34"/>
      <c r="AJ35" s="34">
        <f>IFERROR(IF(CADO_EMPREGOS_2022[[#This Row],[NOTA SEM FOULS]]=0,0,IF(COUNTIF(CADO_EMPREGOS_2022[[#This Row],[FOUL TVB]:[FOUL DE EIXO]],1)&gt;0,0,CADO_EMPREGOS_2022[[#This Row],[NOTA SEM FOULS]])),"")</f>
        <v>7.55</v>
      </c>
      <c r="AK35" s="34">
        <f>IF(CADO_EMPREGOS_2022[[#This Row],[MODALIDADE]]="TT",CADO_EMPREGOS_2022[[#This Row],[NOTA ACERTOS]],IF(COUNTA(CADO_EMPREGOS_2022[[#This Row],[MODALIDADE]])=0,"",CADO_EMPREGOS_2022[[#This Row],[NOTA DISTÂNCIA]]))</f>
        <v>7.55</v>
      </c>
      <c r="AL35" s="34">
        <f>IF(AND(CADO_EMPREGOS_2022[[#This Row],[MODALIDADE]]="BRB",CADO_EMPREGOS_2022[[#This Row],[TVB]]&lt;=3),1,0)</f>
        <v>0</v>
      </c>
      <c r="AM3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3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35" s="34">
        <f>IFERROR(IF(CADO_EMPREGOS_2022[[#This Row],[ALTURA DE RECUPERAÇÃO (FT)]]&lt;VLOOKUP(CADO_EMPREGOS_2022[[#This Row],[MODALIDADE]],Dados!$R$3:$AB$16,10,FALSE),1,0),"")</f>
        <v>0</v>
      </c>
      <c r="AP3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3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35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35" s="34" cm="1">
        <f t="array" ref="AS3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7.55</v>
      </c>
      <c r="AT35" s="34" t="s">
        <v>174</v>
      </c>
    </row>
    <row r="36" spans="1:46" x14ac:dyDescent="0.25">
      <c r="A36" s="35">
        <v>44693</v>
      </c>
      <c r="B36" s="36">
        <v>0.57638888888888895</v>
      </c>
      <c r="C36" s="34" t="s">
        <v>187</v>
      </c>
      <c r="D36" s="34" t="s">
        <v>117</v>
      </c>
      <c r="E36" s="34">
        <v>5920</v>
      </c>
      <c r="F36" s="34" t="s">
        <v>133</v>
      </c>
      <c r="G36" s="34">
        <v>1</v>
      </c>
      <c r="H36" s="34" t="s">
        <v>158</v>
      </c>
      <c r="I36" s="34" t="s">
        <v>175</v>
      </c>
      <c r="J36" s="34" t="s">
        <v>176</v>
      </c>
      <c r="K36" s="34">
        <v>1</v>
      </c>
      <c r="L36" s="34" t="s">
        <v>149</v>
      </c>
      <c r="M36" s="34" t="s">
        <v>163</v>
      </c>
      <c r="N36" s="34" t="s">
        <v>179</v>
      </c>
      <c r="O36" s="34" t="s">
        <v>184</v>
      </c>
      <c r="P36" s="34" t="s">
        <v>177</v>
      </c>
      <c r="Q36" s="34" t="s">
        <v>180</v>
      </c>
      <c r="R36" s="37">
        <v>-15</v>
      </c>
      <c r="S36" s="37">
        <v>-6</v>
      </c>
      <c r="T36" s="34">
        <v>13.4</v>
      </c>
      <c r="U36" s="34">
        <v>8.1999999999999993</v>
      </c>
      <c r="V36" s="34" t="s">
        <v>145</v>
      </c>
      <c r="W36" s="34" t="s">
        <v>145</v>
      </c>
      <c r="X36" s="34" t="s">
        <v>145</v>
      </c>
      <c r="Y36" s="37">
        <v>-20.100000000000001</v>
      </c>
      <c r="Z36" s="34">
        <v>226</v>
      </c>
      <c r="AA36" s="39" t="s">
        <v>145</v>
      </c>
      <c r="AB36" s="34" t="s">
        <v>145</v>
      </c>
      <c r="AC36" s="34">
        <v>2160</v>
      </c>
      <c r="AD36" s="34">
        <v>1300</v>
      </c>
      <c r="AE36" s="34">
        <v>45</v>
      </c>
      <c r="AF36" s="34">
        <v>52</v>
      </c>
      <c r="AG36" s="34">
        <v>7</v>
      </c>
      <c r="AH36" s="34">
        <f>IF(CADO_EMPREGOS_2022[[#This Row],[ABORTIVA]]="METEORO","",IF(COUNTA(CADO_EMPREGOS_2022[[#This Row],[TRANSGRESSÕES]])&gt;0,0,CADO_EMPREGOS_2022[[#This Row],[NOTA COM PENALIDADES (FOULS)]]))</f>
        <v>8.66</v>
      </c>
      <c r="AI36" s="34"/>
      <c r="AJ36" s="34">
        <f>IFERROR(IF(CADO_EMPREGOS_2022[[#This Row],[NOTA SEM FOULS]]=0,0,IF(COUNTIF(CADO_EMPREGOS_2022[[#This Row],[FOUL TVB]:[FOUL DE EIXO]],1)&gt;0,0,CADO_EMPREGOS_2022[[#This Row],[NOTA SEM FOULS]])),"")</f>
        <v>8.66</v>
      </c>
      <c r="AK36" s="34">
        <f>IF(CADO_EMPREGOS_2022[[#This Row],[MODALIDADE]]="TT",CADO_EMPREGOS_2022[[#This Row],[NOTA ACERTOS]],IF(COUNTA(CADO_EMPREGOS_2022[[#This Row],[MODALIDADE]])=0,"",CADO_EMPREGOS_2022[[#This Row],[NOTA DISTÂNCIA]]))</f>
        <v>8.66</v>
      </c>
      <c r="AL36" s="34">
        <f>IF(AND(CADO_EMPREGOS_2022[[#This Row],[MODALIDADE]]="BRB",CADO_EMPREGOS_2022[[#This Row],[TVB]]&lt;=3),1,0)</f>
        <v>0</v>
      </c>
      <c r="AM3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3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36" s="34">
        <f>IFERROR(IF(CADO_EMPREGOS_2022[[#This Row],[ALTURA DE RECUPERAÇÃO (FT)]]&lt;VLOOKUP(CADO_EMPREGOS_2022[[#This Row],[MODALIDADE]],Dados!$R$3:$AB$16,10,FALSE),1,0),"")</f>
        <v>0</v>
      </c>
      <c r="AP3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3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3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36" s="34" cm="1">
        <f t="array" ref="AS3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8.66</v>
      </c>
      <c r="AT36" s="34" t="s">
        <v>174</v>
      </c>
    </row>
    <row r="37" spans="1:46" x14ac:dyDescent="0.25">
      <c r="A37" s="35">
        <v>44693</v>
      </c>
      <c r="B37" s="36">
        <v>0.57638888888888895</v>
      </c>
      <c r="C37" s="34" t="s">
        <v>187</v>
      </c>
      <c r="D37" s="34" t="s">
        <v>117</v>
      </c>
      <c r="E37" s="34">
        <v>5920</v>
      </c>
      <c r="F37" s="34" t="s">
        <v>133</v>
      </c>
      <c r="G37" s="34">
        <v>1</v>
      </c>
      <c r="H37" s="34" t="s">
        <v>158</v>
      </c>
      <c r="I37" s="34" t="s">
        <v>175</v>
      </c>
      <c r="J37" s="34" t="s">
        <v>176</v>
      </c>
      <c r="K37" s="34">
        <v>1</v>
      </c>
      <c r="L37" s="34" t="s">
        <v>149</v>
      </c>
      <c r="M37" s="34" t="s">
        <v>163</v>
      </c>
      <c r="N37" s="34" t="s">
        <v>179</v>
      </c>
      <c r="O37" s="34" t="s">
        <v>184</v>
      </c>
      <c r="P37" s="34" t="s">
        <v>177</v>
      </c>
      <c r="Q37" s="34" t="s">
        <v>180</v>
      </c>
      <c r="R37" s="38">
        <v>2</v>
      </c>
      <c r="S37" s="37">
        <v>5</v>
      </c>
      <c r="T37" s="34">
        <v>4.4000000000000004</v>
      </c>
      <c r="U37" s="34">
        <v>3.7</v>
      </c>
      <c r="V37" s="34" t="s">
        <v>145</v>
      </c>
      <c r="W37" s="34" t="s">
        <v>145</v>
      </c>
      <c r="X37" s="34" t="s">
        <v>145</v>
      </c>
      <c r="Y37" s="37">
        <v>-19.600000000000001</v>
      </c>
      <c r="Z37" s="34">
        <v>219</v>
      </c>
      <c r="AA37" s="39" t="s">
        <v>145</v>
      </c>
      <c r="AB37" s="34" t="s">
        <v>145</v>
      </c>
      <c r="AC37" s="34">
        <v>1870</v>
      </c>
      <c r="AD37" s="34">
        <v>1300</v>
      </c>
      <c r="AE37" s="34">
        <v>315</v>
      </c>
      <c r="AF37" s="34">
        <v>317</v>
      </c>
      <c r="AG37" s="34">
        <v>8</v>
      </c>
      <c r="AH37" s="34">
        <f>IF(CADO_EMPREGOS_2022[[#This Row],[ABORTIVA]]="METEORO","",IF(COUNTA(CADO_EMPREGOS_2022[[#This Row],[TRANSGRESSÕES]])&gt;0,0,CADO_EMPREGOS_2022[[#This Row],[NOTA COM PENALIDADES (FOULS)]]))</f>
        <v>0</v>
      </c>
      <c r="AI37" s="34"/>
      <c r="AJ37" s="34">
        <f>IFERROR(IF(CADO_EMPREGOS_2022[[#This Row],[NOTA SEM FOULS]]=0,0,IF(COUNTIF(CADO_EMPREGOS_2022[[#This Row],[FOUL TVB]:[FOUL DE EIXO]],1)&gt;0,0,CADO_EMPREGOS_2022[[#This Row],[NOTA SEM FOULS]])),"")</f>
        <v>0</v>
      </c>
      <c r="AK37" s="34">
        <f>IF(CADO_EMPREGOS_2022[[#This Row],[MODALIDADE]]="TT",CADO_EMPREGOS_2022[[#This Row],[NOTA ACERTOS]],IF(COUNTA(CADO_EMPREGOS_2022[[#This Row],[MODALIDADE]])=0,"",CADO_EMPREGOS_2022[[#This Row],[NOTA DISTÂNCIA]]))</f>
        <v>9.56</v>
      </c>
      <c r="AL37" s="34">
        <f>IF(AND(CADO_EMPREGOS_2022[[#This Row],[MODALIDADE]]="BRB",CADO_EMPREGOS_2022[[#This Row],[TVB]]&lt;=3),1,0)</f>
        <v>0</v>
      </c>
      <c r="AM3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3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1</v>
      </c>
      <c r="AO37" s="34">
        <f>IFERROR(IF(CADO_EMPREGOS_2022[[#This Row],[ALTURA DE RECUPERAÇÃO (FT)]]&lt;VLOOKUP(CADO_EMPREGOS_2022[[#This Row],[MODALIDADE]],Dados!$R$3:$AB$16,10,FALSE),1,0),"")</f>
        <v>0</v>
      </c>
      <c r="AP3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3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3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37" s="34" cm="1">
        <f t="array" ref="AS3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9.56</v>
      </c>
      <c r="AT37" s="34" t="s">
        <v>174</v>
      </c>
    </row>
    <row r="38" spans="1:46" x14ac:dyDescent="0.25">
      <c r="A38" s="35">
        <v>44693</v>
      </c>
      <c r="B38" s="36">
        <v>0.36805555555555558</v>
      </c>
      <c r="C38" s="34" t="s">
        <v>183</v>
      </c>
      <c r="D38" s="34" t="s">
        <v>117</v>
      </c>
      <c r="E38" s="34">
        <v>5920</v>
      </c>
      <c r="F38" s="34" t="s">
        <v>100</v>
      </c>
      <c r="G38" s="34">
        <v>1</v>
      </c>
      <c r="H38" s="34" t="s">
        <v>25</v>
      </c>
      <c r="I38" s="34" t="s">
        <v>175</v>
      </c>
      <c r="J38" s="34" t="s">
        <v>169</v>
      </c>
      <c r="K38" s="34">
        <v>1</v>
      </c>
      <c r="L38" s="34" t="s">
        <v>149</v>
      </c>
      <c r="M38" s="34" t="s">
        <v>163</v>
      </c>
      <c r="N38" s="34" t="s">
        <v>179</v>
      </c>
      <c r="O38" s="34" t="s">
        <v>184</v>
      </c>
      <c r="P38" s="34" t="s">
        <v>172</v>
      </c>
      <c r="Q38" s="34" t="s">
        <v>145</v>
      </c>
      <c r="R38" s="37" t="s">
        <v>145</v>
      </c>
      <c r="S38" s="37" t="s">
        <v>145</v>
      </c>
      <c r="T38" s="34" t="s">
        <v>145</v>
      </c>
      <c r="U38" s="34" t="s">
        <v>145</v>
      </c>
      <c r="V38" s="34">
        <v>30</v>
      </c>
      <c r="W38" s="34">
        <v>26</v>
      </c>
      <c r="X38" s="34">
        <v>0.87</v>
      </c>
      <c r="Y38" s="37">
        <v>-14.3</v>
      </c>
      <c r="Z38" s="34">
        <v>237</v>
      </c>
      <c r="AA38" s="39">
        <v>834</v>
      </c>
      <c r="AB38" s="34">
        <v>658</v>
      </c>
      <c r="AC38" s="34">
        <v>350</v>
      </c>
      <c r="AD38" s="34">
        <v>200</v>
      </c>
      <c r="AE38" s="34">
        <v>135</v>
      </c>
      <c r="AF38" s="34">
        <v>138</v>
      </c>
      <c r="AG38" s="34" t="s">
        <v>145</v>
      </c>
      <c r="AH38" s="34">
        <f>IF(CADO_EMPREGOS_2022[[#This Row],[ABORTIVA]]="METEORO","",IF(COUNTA(CADO_EMPREGOS_2022[[#This Row],[TRANSGRESSÕES]])&gt;0,0,CADO_EMPREGOS_2022[[#This Row],[NOTA COM PENALIDADES (FOULS)]]))</f>
        <v>8.6666666666666679</v>
      </c>
      <c r="AI38" s="34"/>
      <c r="AJ38" s="34">
        <f>IFERROR(IF(CADO_EMPREGOS_2022[[#This Row],[NOTA SEM FOULS]]=0,0,IF(COUNTIF(CADO_EMPREGOS_2022[[#This Row],[FOUL TVB]:[FOUL DE EIXO]],1)&gt;0,0,CADO_EMPREGOS_2022[[#This Row],[NOTA SEM FOULS]])),"")</f>
        <v>8.6666666666666679</v>
      </c>
      <c r="AK38" s="34">
        <f>IF(CADO_EMPREGOS_2022[[#This Row],[MODALIDADE]]="TT",CADO_EMPREGOS_2022[[#This Row],[NOTA ACERTOS]],IF(COUNTA(CADO_EMPREGOS_2022[[#This Row],[MODALIDADE]])=0,"",CADO_EMPREGOS_2022[[#This Row],[NOTA DISTÂNCIA]]))</f>
        <v>8.6666666666666679</v>
      </c>
      <c r="AL38" s="34">
        <f>IF(AND(CADO_EMPREGOS_2022[[#This Row],[MODALIDADE]]="BRB",CADO_EMPREGOS_2022[[#This Row],[TVB]]&lt;=3),1,0)</f>
        <v>0</v>
      </c>
      <c r="AM3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3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38" s="34">
        <f>IFERROR(IF(CADO_EMPREGOS_2022[[#This Row],[ALTURA DE RECUPERAÇÃO (FT)]]&lt;VLOOKUP(CADO_EMPREGOS_2022[[#This Row],[MODALIDADE]],Dados!$R$3:$AB$16,10,FALSE),1,0),"")</f>
        <v>0</v>
      </c>
      <c r="AP3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3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38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8.6666666666666679</v>
      </c>
      <c r="AS38" s="34" cm="1">
        <f t="array" ref="AS3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38" s="34" t="s">
        <v>174</v>
      </c>
    </row>
    <row r="39" spans="1:46" x14ac:dyDescent="0.25">
      <c r="A39" s="35">
        <v>44693</v>
      </c>
      <c r="B39" s="36">
        <v>0.57638888888888895</v>
      </c>
      <c r="C39" s="34" t="s">
        <v>187</v>
      </c>
      <c r="D39" s="34" t="s">
        <v>117</v>
      </c>
      <c r="E39" s="34">
        <v>5920</v>
      </c>
      <c r="F39" s="34" t="s">
        <v>133</v>
      </c>
      <c r="G39" s="34">
        <v>1</v>
      </c>
      <c r="H39" s="34" t="s">
        <v>25</v>
      </c>
      <c r="I39" s="34" t="s">
        <v>175</v>
      </c>
      <c r="J39" s="34" t="s">
        <v>169</v>
      </c>
      <c r="K39" s="34">
        <v>1</v>
      </c>
      <c r="L39" s="34" t="s">
        <v>149</v>
      </c>
      <c r="M39" s="34" t="s">
        <v>163</v>
      </c>
      <c r="N39" s="34" t="s">
        <v>179</v>
      </c>
      <c r="O39" s="34" t="s">
        <v>184</v>
      </c>
      <c r="P39" s="34" t="s">
        <v>172</v>
      </c>
      <c r="Q39" s="34" t="s">
        <v>145</v>
      </c>
      <c r="R39" s="37" t="s">
        <v>145</v>
      </c>
      <c r="S39" s="37" t="s">
        <v>145</v>
      </c>
      <c r="T39" s="34" t="s">
        <v>145</v>
      </c>
      <c r="U39" s="34" t="s">
        <v>145</v>
      </c>
      <c r="V39" s="34">
        <v>30</v>
      </c>
      <c r="W39" s="34">
        <v>25</v>
      </c>
      <c r="X39" s="34">
        <v>0.83</v>
      </c>
      <c r="Y39" s="37">
        <v>-15.5</v>
      </c>
      <c r="Z39" s="34">
        <v>228</v>
      </c>
      <c r="AA39" s="39">
        <v>809</v>
      </c>
      <c r="AB39" s="34">
        <v>679</v>
      </c>
      <c r="AC39" s="34">
        <v>380</v>
      </c>
      <c r="AD39" s="34">
        <v>200</v>
      </c>
      <c r="AE39" s="34">
        <v>135</v>
      </c>
      <c r="AF39" s="34">
        <v>137</v>
      </c>
      <c r="AG39" s="34" t="s">
        <v>145</v>
      </c>
      <c r="AH39" s="34">
        <f>IF(CADO_EMPREGOS_2022[[#This Row],[ABORTIVA]]="METEORO","",IF(COUNTA(CADO_EMPREGOS_2022[[#This Row],[TRANSGRESSÕES]])&gt;0,0,CADO_EMPREGOS_2022[[#This Row],[NOTA COM PENALIDADES (FOULS)]]))</f>
        <v>8.3333333333333339</v>
      </c>
      <c r="AI39" s="34"/>
      <c r="AJ39" s="34">
        <f>IFERROR(IF(CADO_EMPREGOS_2022[[#This Row],[NOTA SEM FOULS]]=0,0,IF(COUNTIF(CADO_EMPREGOS_2022[[#This Row],[FOUL TVB]:[FOUL DE EIXO]],1)&gt;0,0,CADO_EMPREGOS_2022[[#This Row],[NOTA SEM FOULS]])),"")</f>
        <v>8.3333333333333339</v>
      </c>
      <c r="AK39" s="34">
        <f>IF(CADO_EMPREGOS_2022[[#This Row],[MODALIDADE]]="TT",CADO_EMPREGOS_2022[[#This Row],[NOTA ACERTOS]],IF(COUNTA(CADO_EMPREGOS_2022[[#This Row],[MODALIDADE]])=0,"",CADO_EMPREGOS_2022[[#This Row],[NOTA DISTÂNCIA]]))</f>
        <v>8.3333333333333339</v>
      </c>
      <c r="AL39" s="34">
        <f>IF(AND(CADO_EMPREGOS_2022[[#This Row],[MODALIDADE]]="BRB",CADO_EMPREGOS_2022[[#This Row],[TVB]]&lt;=3),1,0)</f>
        <v>0</v>
      </c>
      <c r="AM3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3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39" s="34">
        <f>IFERROR(IF(CADO_EMPREGOS_2022[[#This Row],[ALTURA DE RECUPERAÇÃO (FT)]]&lt;VLOOKUP(CADO_EMPREGOS_2022[[#This Row],[MODALIDADE]],Dados!$R$3:$AB$16,10,FALSE),1,0),"")</f>
        <v>0</v>
      </c>
      <c r="AP3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3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39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8.3333333333333339</v>
      </c>
      <c r="AS39" s="34" cm="1">
        <f t="array" ref="AS3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39" s="34" t="s">
        <v>174</v>
      </c>
    </row>
    <row r="40" spans="1:46" x14ac:dyDescent="0.25">
      <c r="A40" s="35">
        <v>44693</v>
      </c>
      <c r="B40" s="36">
        <v>0.57638888888888895</v>
      </c>
      <c r="C40" s="34" t="s">
        <v>187</v>
      </c>
      <c r="D40" s="34" t="s">
        <v>112</v>
      </c>
      <c r="E40" s="34">
        <v>5921</v>
      </c>
      <c r="F40" s="34" t="s">
        <v>133</v>
      </c>
      <c r="G40" s="34">
        <v>2</v>
      </c>
      <c r="H40" s="34" t="s">
        <v>158</v>
      </c>
      <c r="I40" s="34" t="s">
        <v>175</v>
      </c>
      <c r="J40" s="34" t="s">
        <v>176</v>
      </c>
      <c r="K40" s="34">
        <v>1</v>
      </c>
      <c r="L40" s="34" t="s">
        <v>149</v>
      </c>
      <c r="M40" s="34" t="s">
        <v>163</v>
      </c>
      <c r="N40" s="34" t="s">
        <v>179</v>
      </c>
      <c r="O40" s="34" t="s">
        <v>184</v>
      </c>
      <c r="P40" s="34" t="s">
        <v>177</v>
      </c>
      <c r="Q40" s="34" t="s">
        <v>180</v>
      </c>
      <c r="R40" s="37">
        <v>3</v>
      </c>
      <c r="S40" s="37">
        <v>0</v>
      </c>
      <c r="T40" s="34">
        <v>2.4</v>
      </c>
      <c r="U40" s="34">
        <v>1.5</v>
      </c>
      <c r="V40" s="34" t="s">
        <v>145</v>
      </c>
      <c r="W40" s="34" t="s">
        <v>145</v>
      </c>
      <c r="X40" s="34" t="s">
        <v>145</v>
      </c>
      <c r="Y40" s="37">
        <v>-18.3</v>
      </c>
      <c r="Z40" s="34">
        <v>246</v>
      </c>
      <c r="AA40" s="39" t="s">
        <v>145</v>
      </c>
      <c r="AB40" s="34" t="s">
        <v>145</v>
      </c>
      <c r="AC40" s="34">
        <v>1700</v>
      </c>
      <c r="AD40" s="34">
        <v>1300</v>
      </c>
      <c r="AE40" s="34">
        <v>135</v>
      </c>
      <c r="AF40" s="34">
        <v>120</v>
      </c>
      <c r="AG40" s="34">
        <v>5</v>
      </c>
      <c r="AH40" s="34">
        <f>IF(CADO_EMPREGOS_2022[[#This Row],[ABORTIVA]]="METEORO","",IF(COUNTA(CADO_EMPREGOS_2022[[#This Row],[TRANSGRESSÕES]])&gt;0,0,CADO_EMPREGOS_2022[[#This Row],[NOTA COM PENALIDADES (FOULS)]]))</f>
        <v>9.76</v>
      </c>
      <c r="AI40" s="34"/>
      <c r="AJ40" s="34">
        <f>IFERROR(IF(CADO_EMPREGOS_2022[[#This Row],[NOTA SEM FOULS]]=0,0,IF(COUNTIF(CADO_EMPREGOS_2022[[#This Row],[FOUL TVB]:[FOUL DE EIXO]],1)&gt;0,0,CADO_EMPREGOS_2022[[#This Row],[NOTA SEM FOULS]])),"")</f>
        <v>9.76</v>
      </c>
      <c r="AK40" s="34">
        <f>IF(CADO_EMPREGOS_2022[[#This Row],[MODALIDADE]]="TT",CADO_EMPREGOS_2022[[#This Row],[NOTA ACERTOS]],IF(COUNTA(CADO_EMPREGOS_2022[[#This Row],[MODALIDADE]])=0,"",CADO_EMPREGOS_2022[[#This Row],[NOTA DISTÂNCIA]]))</f>
        <v>9.76</v>
      </c>
      <c r="AL40" s="34">
        <f>IF(AND(CADO_EMPREGOS_2022[[#This Row],[MODALIDADE]]="BRB",CADO_EMPREGOS_2022[[#This Row],[TVB]]&lt;=3),1,0)</f>
        <v>0</v>
      </c>
      <c r="AM4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4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40" s="34">
        <f>IFERROR(IF(CADO_EMPREGOS_2022[[#This Row],[ALTURA DE RECUPERAÇÃO (FT)]]&lt;VLOOKUP(CADO_EMPREGOS_2022[[#This Row],[MODALIDADE]],Dados!$R$3:$AB$16,10,FALSE),1,0),"")</f>
        <v>0</v>
      </c>
      <c r="AP4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4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4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40" s="34" cm="1">
        <f t="array" ref="AS4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9.76</v>
      </c>
      <c r="AT40" s="34" t="s">
        <v>174</v>
      </c>
    </row>
    <row r="41" spans="1:46" x14ac:dyDescent="0.25">
      <c r="A41" s="35">
        <v>44693</v>
      </c>
      <c r="B41" s="36">
        <v>0.57638888888888895</v>
      </c>
      <c r="C41" s="34" t="s">
        <v>187</v>
      </c>
      <c r="D41" s="34" t="s">
        <v>112</v>
      </c>
      <c r="E41" s="34">
        <v>5921</v>
      </c>
      <c r="F41" s="34" t="s">
        <v>133</v>
      </c>
      <c r="G41" s="34">
        <v>2</v>
      </c>
      <c r="H41" s="34" t="s">
        <v>158</v>
      </c>
      <c r="I41" s="34" t="s">
        <v>175</v>
      </c>
      <c r="J41" s="34" t="s">
        <v>176</v>
      </c>
      <c r="K41" s="34">
        <v>1</v>
      </c>
      <c r="L41" s="34" t="s">
        <v>149</v>
      </c>
      <c r="M41" s="34" t="s">
        <v>163</v>
      </c>
      <c r="N41" s="34" t="s">
        <v>179</v>
      </c>
      <c r="O41" s="34" t="s">
        <v>184</v>
      </c>
      <c r="P41" s="34" t="s">
        <v>177</v>
      </c>
      <c r="Q41" s="34" t="s">
        <v>180</v>
      </c>
      <c r="R41" s="37">
        <v>-15</v>
      </c>
      <c r="S41" s="37">
        <v>1</v>
      </c>
      <c r="T41" s="34">
        <v>12.3</v>
      </c>
      <c r="U41" s="34">
        <v>7.4</v>
      </c>
      <c r="V41" s="34" t="s">
        <v>145</v>
      </c>
      <c r="W41" s="34" t="s">
        <v>145</v>
      </c>
      <c r="X41" s="34" t="s">
        <v>145</v>
      </c>
      <c r="Y41" s="37">
        <v>-21.1</v>
      </c>
      <c r="Z41" s="34">
        <v>233</v>
      </c>
      <c r="AA41" s="39" t="s">
        <v>145</v>
      </c>
      <c r="AB41" s="34" t="s">
        <v>145</v>
      </c>
      <c r="AC41" s="34">
        <v>1720</v>
      </c>
      <c r="AD41" s="34">
        <v>1300</v>
      </c>
      <c r="AE41" s="34">
        <v>315</v>
      </c>
      <c r="AF41" s="34">
        <v>310</v>
      </c>
      <c r="AG41" s="34">
        <v>7</v>
      </c>
      <c r="AH41" s="34">
        <f>IF(CADO_EMPREGOS_2022[[#This Row],[ABORTIVA]]="METEORO","",IF(COUNTA(CADO_EMPREGOS_2022[[#This Row],[TRANSGRESSÕES]])&gt;0,0,CADO_EMPREGOS_2022[[#This Row],[NOTA COM PENALIDADES (FOULS)]]))</f>
        <v>8.77</v>
      </c>
      <c r="AI41" s="34"/>
      <c r="AJ41" s="34">
        <f>IFERROR(IF(CADO_EMPREGOS_2022[[#This Row],[NOTA SEM FOULS]]=0,0,IF(COUNTIF(CADO_EMPREGOS_2022[[#This Row],[FOUL TVB]:[FOUL DE EIXO]],1)&gt;0,0,CADO_EMPREGOS_2022[[#This Row],[NOTA SEM FOULS]])),"")</f>
        <v>8.77</v>
      </c>
      <c r="AK41" s="34">
        <f>IF(CADO_EMPREGOS_2022[[#This Row],[MODALIDADE]]="TT",CADO_EMPREGOS_2022[[#This Row],[NOTA ACERTOS]],IF(COUNTA(CADO_EMPREGOS_2022[[#This Row],[MODALIDADE]])=0,"",CADO_EMPREGOS_2022[[#This Row],[NOTA DISTÂNCIA]]))</f>
        <v>8.77</v>
      </c>
      <c r="AL41" s="34">
        <f>IF(AND(CADO_EMPREGOS_2022[[#This Row],[MODALIDADE]]="BRB",CADO_EMPREGOS_2022[[#This Row],[TVB]]&lt;=3),1,0)</f>
        <v>0</v>
      </c>
      <c r="AM4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4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41" s="34">
        <f>IFERROR(IF(CADO_EMPREGOS_2022[[#This Row],[ALTURA DE RECUPERAÇÃO (FT)]]&lt;VLOOKUP(CADO_EMPREGOS_2022[[#This Row],[MODALIDADE]],Dados!$R$3:$AB$16,10,FALSE),1,0),"")</f>
        <v>0</v>
      </c>
      <c r="AP4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4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41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41" s="34" cm="1">
        <f t="array" ref="AS4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8.77</v>
      </c>
      <c r="AT41" s="34" t="s">
        <v>174</v>
      </c>
    </row>
    <row r="42" spans="1:46" x14ac:dyDescent="0.25">
      <c r="A42" s="35">
        <v>44695</v>
      </c>
      <c r="B42" s="36">
        <v>0.6875</v>
      </c>
      <c r="C42" s="34" t="s">
        <v>183</v>
      </c>
      <c r="D42" s="34" t="s">
        <v>112</v>
      </c>
      <c r="E42" s="34">
        <v>5733</v>
      </c>
      <c r="F42" s="34" t="s">
        <v>133</v>
      </c>
      <c r="G42" s="34">
        <v>2</v>
      </c>
      <c r="H42" s="34" t="s">
        <v>158</v>
      </c>
      <c r="I42" s="34" t="s">
        <v>175</v>
      </c>
      <c r="J42" s="34" t="s">
        <v>176</v>
      </c>
      <c r="K42" s="34">
        <v>1</v>
      </c>
      <c r="L42" s="34" t="s">
        <v>149</v>
      </c>
      <c r="M42" s="34" t="s">
        <v>163</v>
      </c>
      <c r="N42" s="34" t="s">
        <v>179</v>
      </c>
      <c r="O42" s="34" t="s">
        <v>184</v>
      </c>
      <c r="P42" s="34" t="s">
        <v>177</v>
      </c>
      <c r="Q42" s="34" t="s">
        <v>180</v>
      </c>
      <c r="R42" s="37">
        <v>-2</v>
      </c>
      <c r="S42" s="37">
        <v>-5</v>
      </c>
      <c r="T42" s="34">
        <v>4.4000000000000004</v>
      </c>
      <c r="U42" s="34">
        <v>9.6999999999999993</v>
      </c>
      <c r="V42" s="34" t="s">
        <v>145</v>
      </c>
      <c r="W42" s="34" t="s">
        <v>145</v>
      </c>
      <c r="X42" s="34" t="s">
        <v>145</v>
      </c>
      <c r="Y42" s="37">
        <v>-20.100000000000001</v>
      </c>
      <c r="Z42" s="34">
        <v>248</v>
      </c>
      <c r="AA42" s="39" t="s">
        <v>145</v>
      </c>
      <c r="AB42" s="34" t="s">
        <v>145</v>
      </c>
      <c r="AC42" s="34">
        <v>2100</v>
      </c>
      <c r="AD42" s="34">
        <v>1300</v>
      </c>
      <c r="AE42" s="34">
        <v>135</v>
      </c>
      <c r="AF42" s="34">
        <v>136</v>
      </c>
      <c r="AG42" s="34">
        <v>8</v>
      </c>
      <c r="AH42" s="34">
        <f>IF(CADO_EMPREGOS_2022[[#This Row],[ABORTIVA]]="METEORO","",IF(COUNTA(CADO_EMPREGOS_2022[[#This Row],[TRANSGRESSÕES]])&gt;0,0,CADO_EMPREGOS_2022[[#This Row],[NOTA COM PENALIDADES (FOULS)]]))</f>
        <v>9.56</v>
      </c>
      <c r="AI42" s="34"/>
      <c r="AJ42" s="34">
        <f>IFERROR(IF(CADO_EMPREGOS_2022[[#This Row],[NOTA SEM FOULS]]=0,0,IF(COUNTIF(CADO_EMPREGOS_2022[[#This Row],[FOUL TVB]:[FOUL DE EIXO]],1)&gt;0,0,CADO_EMPREGOS_2022[[#This Row],[NOTA SEM FOULS]])),"")</f>
        <v>9.56</v>
      </c>
      <c r="AK42" s="34">
        <f>IF(CADO_EMPREGOS_2022[[#This Row],[MODALIDADE]]="TT",CADO_EMPREGOS_2022[[#This Row],[NOTA ACERTOS]],IF(COUNTA(CADO_EMPREGOS_2022[[#This Row],[MODALIDADE]])=0,"",CADO_EMPREGOS_2022[[#This Row],[NOTA DISTÂNCIA]]))</f>
        <v>9.56</v>
      </c>
      <c r="AL42" s="34">
        <f>IF(AND(CADO_EMPREGOS_2022[[#This Row],[MODALIDADE]]="BRB",CADO_EMPREGOS_2022[[#This Row],[TVB]]&lt;=3),1,0)</f>
        <v>0</v>
      </c>
      <c r="AM4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4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42" s="34">
        <f>IFERROR(IF(CADO_EMPREGOS_2022[[#This Row],[ALTURA DE RECUPERAÇÃO (FT)]]&lt;VLOOKUP(CADO_EMPREGOS_2022[[#This Row],[MODALIDADE]],Dados!$R$3:$AB$16,10,FALSE),1,0),"")</f>
        <v>0</v>
      </c>
      <c r="AP4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4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42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42" s="34" cm="1">
        <f t="array" ref="AS4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9.56</v>
      </c>
      <c r="AT42" s="34" t="s">
        <v>174</v>
      </c>
    </row>
    <row r="43" spans="1:46" x14ac:dyDescent="0.25">
      <c r="A43" s="35">
        <v>44695</v>
      </c>
      <c r="B43" s="36">
        <v>0.6875</v>
      </c>
      <c r="C43" s="34" t="s">
        <v>183</v>
      </c>
      <c r="D43" s="34" t="s">
        <v>112</v>
      </c>
      <c r="E43" s="34">
        <v>5733</v>
      </c>
      <c r="F43" s="34" t="s">
        <v>133</v>
      </c>
      <c r="G43" s="34">
        <v>2</v>
      </c>
      <c r="H43" s="34" t="s">
        <v>158</v>
      </c>
      <c r="I43" s="34" t="s">
        <v>175</v>
      </c>
      <c r="J43" s="34" t="s">
        <v>176</v>
      </c>
      <c r="K43" s="34">
        <v>1</v>
      </c>
      <c r="L43" s="34" t="s">
        <v>149</v>
      </c>
      <c r="M43" s="34" t="s">
        <v>163</v>
      </c>
      <c r="N43" s="34" t="s">
        <v>179</v>
      </c>
      <c r="O43" s="34" t="s">
        <v>184</v>
      </c>
      <c r="P43" s="34" t="s">
        <v>177</v>
      </c>
      <c r="Q43" s="34" t="s">
        <v>180</v>
      </c>
      <c r="R43" s="37">
        <v>-5</v>
      </c>
      <c r="S43" s="37">
        <v>-14</v>
      </c>
      <c r="T43" s="34">
        <v>12</v>
      </c>
      <c r="U43" s="34">
        <v>3.8</v>
      </c>
      <c r="V43" s="34" t="s">
        <v>145</v>
      </c>
      <c r="W43" s="34" t="s">
        <v>145</v>
      </c>
      <c r="X43" s="34" t="s">
        <v>145</v>
      </c>
      <c r="Y43" s="37">
        <v>-20.7</v>
      </c>
      <c r="Z43" s="34">
        <v>232</v>
      </c>
      <c r="AA43" s="39" t="s">
        <v>145</v>
      </c>
      <c r="AB43" s="34" t="s">
        <v>145</v>
      </c>
      <c r="AC43" s="34">
        <v>2120</v>
      </c>
      <c r="AD43" s="34">
        <v>1300</v>
      </c>
      <c r="AE43" s="34">
        <v>315</v>
      </c>
      <c r="AF43" s="34">
        <v>304</v>
      </c>
      <c r="AG43" s="34">
        <v>7</v>
      </c>
      <c r="AH43" s="34">
        <f>IF(CADO_EMPREGOS_2022[[#This Row],[ABORTIVA]]="METEORO","",IF(COUNTA(CADO_EMPREGOS_2022[[#This Row],[TRANSGRESSÕES]])&gt;0,0,CADO_EMPREGOS_2022[[#This Row],[NOTA COM PENALIDADES (FOULS)]]))</f>
        <v>8.8000000000000007</v>
      </c>
      <c r="AI43" s="34"/>
      <c r="AJ43" s="34">
        <f>IFERROR(IF(CADO_EMPREGOS_2022[[#This Row],[NOTA SEM FOULS]]=0,0,IF(COUNTIF(CADO_EMPREGOS_2022[[#This Row],[FOUL TVB]:[FOUL DE EIXO]],1)&gt;0,0,CADO_EMPREGOS_2022[[#This Row],[NOTA SEM FOULS]])),"")</f>
        <v>8.8000000000000007</v>
      </c>
      <c r="AK43" s="34">
        <f>IF(CADO_EMPREGOS_2022[[#This Row],[MODALIDADE]]="TT",CADO_EMPREGOS_2022[[#This Row],[NOTA ACERTOS]],IF(COUNTA(CADO_EMPREGOS_2022[[#This Row],[MODALIDADE]])=0,"",CADO_EMPREGOS_2022[[#This Row],[NOTA DISTÂNCIA]]))</f>
        <v>8.8000000000000007</v>
      </c>
      <c r="AL43" s="34">
        <f>IF(AND(CADO_EMPREGOS_2022[[#This Row],[MODALIDADE]]="BRB",CADO_EMPREGOS_2022[[#This Row],[TVB]]&lt;=3),1,0)</f>
        <v>0</v>
      </c>
      <c r="AM4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4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43" s="34">
        <f>IFERROR(IF(CADO_EMPREGOS_2022[[#This Row],[ALTURA DE RECUPERAÇÃO (FT)]]&lt;VLOOKUP(CADO_EMPREGOS_2022[[#This Row],[MODALIDADE]],Dados!$R$3:$AB$16,10,FALSE),1,0),"")</f>
        <v>0</v>
      </c>
      <c r="AP4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4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43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43" s="34" cm="1">
        <f t="array" ref="AS4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8.8000000000000007</v>
      </c>
      <c r="AT43" s="34" t="s">
        <v>174</v>
      </c>
    </row>
    <row r="44" spans="1:46" x14ac:dyDescent="0.25">
      <c r="A44" s="35">
        <v>44693</v>
      </c>
      <c r="B44" s="36">
        <v>0.57638888888888895</v>
      </c>
      <c r="C44" s="34" t="s">
        <v>187</v>
      </c>
      <c r="D44" s="34" t="s">
        <v>112</v>
      </c>
      <c r="E44" s="34">
        <v>5921</v>
      </c>
      <c r="F44" s="34" t="s">
        <v>133</v>
      </c>
      <c r="G44" s="34">
        <v>2</v>
      </c>
      <c r="H44" s="34" t="s">
        <v>25</v>
      </c>
      <c r="I44" s="34" t="s">
        <v>175</v>
      </c>
      <c r="J44" s="34" t="s">
        <v>169</v>
      </c>
      <c r="K44" s="34">
        <v>1</v>
      </c>
      <c r="L44" s="34" t="s">
        <v>149</v>
      </c>
      <c r="M44" s="34" t="s">
        <v>163</v>
      </c>
      <c r="N44" s="34" t="s">
        <v>179</v>
      </c>
      <c r="O44" s="34" t="s">
        <v>184</v>
      </c>
      <c r="P44" s="34" t="s">
        <v>172</v>
      </c>
      <c r="Q44" s="34" t="s">
        <v>145</v>
      </c>
      <c r="R44" s="37" t="s">
        <v>145</v>
      </c>
      <c r="S44" s="37" t="s">
        <v>145</v>
      </c>
      <c r="T44" s="34" t="s">
        <v>145</v>
      </c>
      <c r="U44" s="34" t="s">
        <v>145</v>
      </c>
      <c r="V44" s="34">
        <v>30</v>
      </c>
      <c r="W44" s="34">
        <v>23</v>
      </c>
      <c r="X44" s="34">
        <v>0.77</v>
      </c>
      <c r="Y44" s="37">
        <v>-14</v>
      </c>
      <c r="Z44" s="34">
        <v>241</v>
      </c>
      <c r="AA44" s="39">
        <v>667</v>
      </c>
      <c r="AB44" s="34">
        <v>475</v>
      </c>
      <c r="AC44" s="34">
        <v>230</v>
      </c>
      <c r="AD44" s="34">
        <v>200</v>
      </c>
      <c r="AE44" s="34">
        <v>135</v>
      </c>
      <c r="AF44" s="34">
        <v>136</v>
      </c>
      <c r="AG44" s="34" t="s">
        <v>145</v>
      </c>
      <c r="AH44" s="34">
        <f>IF(CADO_EMPREGOS_2022[[#This Row],[ABORTIVA]]="METEORO","",IF(COUNTA(CADO_EMPREGOS_2022[[#This Row],[TRANSGRESSÕES]])&gt;0,0,CADO_EMPREGOS_2022[[#This Row],[NOTA COM PENALIDADES (FOULS)]]))</f>
        <v>0</v>
      </c>
      <c r="AI44" s="34"/>
      <c r="AJ44" s="34">
        <f>IFERROR(IF(CADO_EMPREGOS_2022[[#This Row],[NOTA SEM FOULS]]=0,0,IF(COUNTIF(CADO_EMPREGOS_2022[[#This Row],[FOUL TVB]:[FOUL DE EIXO]],1)&gt;0,0,CADO_EMPREGOS_2022[[#This Row],[NOTA SEM FOULS]])),"")</f>
        <v>0</v>
      </c>
      <c r="AK44" s="34">
        <f>IF(CADO_EMPREGOS_2022[[#This Row],[MODALIDADE]]="TT",CADO_EMPREGOS_2022[[#This Row],[NOTA ACERTOS]],IF(COUNTA(CADO_EMPREGOS_2022[[#This Row],[MODALIDADE]])=0,"",CADO_EMPREGOS_2022[[#This Row],[NOTA DISTÂNCIA]]))</f>
        <v>7.666666666666667</v>
      </c>
      <c r="AL44" s="34">
        <f>IF(AND(CADO_EMPREGOS_2022[[#This Row],[MODALIDADE]]="BRB",CADO_EMPREGOS_2022[[#This Row],[TVB]]&lt;=3),1,0)</f>
        <v>0</v>
      </c>
      <c r="AM4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4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44" s="34">
        <f>IFERROR(IF(CADO_EMPREGOS_2022[[#This Row],[ALTURA DE RECUPERAÇÃO (FT)]]&lt;VLOOKUP(CADO_EMPREGOS_2022[[#This Row],[MODALIDADE]],Dados!$R$3:$AB$16,10,FALSE),1,0),"")</f>
        <v>0</v>
      </c>
      <c r="AP4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1</v>
      </c>
      <c r="AQ4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44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7.666666666666667</v>
      </c>
      <c r="AS44" s="34" cm="1">
        <f t="array" ref="AS4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0</v>
      </c>
      <c r="AT44" s="34" t="s">
        <v>174</v>
      </c>
    </row>
    <row r="45" spans="1:46" x14ac:dyDescent="0.25">
      <c r="A45" s="35">
        <v>44695</v>
      </c>
      <c r="B45" s="36">
        <v>0.6875</v>
      </c>
      <c r="C45" s="34" t="s">
        <v>183</v>
      </c>
      <c r="D45" s="34" t="s">
        <v>112</v>
      </c>
      <c r="E45" s="34">
        <v>5733</v>
      </c>
      <c r="F45" s="34" t="s">
        <v>133</v>
      </c>
      <c r="G45" s="34">
        <v>2</v>
      </c>
      <c r="H45" s="34" t="s">
        <v>25</v>
      </c>
      <c r="I45" s="34" t="s">
        <v>175</v>
      </c>
      <c r="J45" s="34" t="s">
        <v>169</v>
      </c>
      <c r="K45" s="34">
        <v>1</v>
      </c>
      <c r="L45" s="34" t="s">
        <v>149</v>
      </c>
      <c r="M45" s="34" t="s">
        <v>163</v>
      </c>
      <c r="N45" s="34" t="s">
        <v>179</v>
      </c>
      <c r="O45" s="34" t="s">
        <v>184</v>
      </c>
      <c r="P45" s="34" t="s">
        <v>172</v>
      </c>
      <c r="Q45" s="34" t="s">
        <v>145</v>
      </c>
      <c r="R45" s="37" t="s">
        <v>145</v>
      </c>
      <c r="S45" s="37" t="s">
        <v>145</v>
      </c>
      <c r="T45" s="34" t="s">
        <v>145</v>
      </c>
      <c r="U45" s="34" t="s">
        <v>145</v>
      </c>
      <c r="V45" s="34">
        <v>28</v>
      </c>
      <c r="W45" s="34">
        <v>28</v>
      </c>
      <c r="X45" s="34">
        <v>1</v>
      </c>
      <c r="Y45" s="37">
        <v>-15.8</v>
      </c>
      <c r="Z45" s="34">
        <v>242</v>
      </c>
      <c r="AA45" s="39">
        <v>681</v>
      </c>
      <c r="AB45" s="34">
        <v>555</v>
      </c>
      <c r="AC45" s="34">
        <v>260</v>
      </c>
      <c r="AD45" s="34">
        <v>200</v>
      </c>
      <c r="AE45" s="34">
        <v>135</v>
      </c>
      <c r="AF45" s="34">
        <v>135</v>
      </c>
      <c r="AG45" s="34" t="s">
        <v>145</v>
      </c>
      <c r="AH45" s="34">
        <f>IF(CADO_EMPREGOS_2022[[#This Row],[ABORTIVA]]="METEORO","",IF(COUNTA(CADO_EMPREGOS_2022[[#This Row],[TRANSGRESSÕES]])&gt;0,0,CADO_EMPREGOS_2022[[#This Row],[NOTA COM PENALIDADES (FOULS)]]))</f>
        <v>9.3333333333333339</v>
      </c>
      <c r="AI45" s="34"/>
      <c r="AJ45" s="34">
        <f>IFERROR(IF(CADO_EMPREGOS_2022[[#This Row],[NOTA SEM FOULS]]=0,0,IF(COUNTIF(CADO_EMPREGOS_2022[[#This Row],[FOUL TVB]:[FOUL DE EIXO]],1)&gt;0,0,CADO_EMPREGOS_2022[[#This Row],[NOTA SEM FOULS]])),"")</f>
        <v>9.3333333333333339</v>
      </c>
      <c r="AK45" s="34">
        <f>IF(CADO_EMPREGOS_2022[[#This Row],[MODALIDADE]]="TT",CADO_EMPREGOS_2022[[#This Row],[NOTA ACERTOS]],IF(COUNTA(CADO_EMPREGOS_2022[[#This Row],[MODALIDADE]])=0,"",CADO_EMPREGOS_2022[[#This Row],[NOTA DISTÂNCIA]]))</f>
        <v>9.3333333333333339</v>
      </c>
      <c r="AL45" s="34">
        <f>IF(AND(CADO_EMPREGOS_2022[[#This Row],[MODALIDADE]]="BRB",CADO_EMPREGOS_2022[[#This Row],[TVB]]&lt;=3),1,0)</f>
        <v>0</v>
      </c>
      <c r="AM4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4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45" s="34">
        <f>IFERROR(IF(CADO_EMPREGOS_2022[[#This Row],[ALTURA DE RECUPERAÇÃO (FT)]]&lt;VLOOKUP(CADO_EMPREGOS_2022[[#This Row],[MODALIDADE]],Dados!$R$3:$AB$16,10,FALSE),1,0),"")</f>
        <v>0</v>
      </c>
      <c r="AP4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4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45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9.3333333333333339</v>
      </c>
      <c r="AS45" s="34" cm="1">
        <f t="array" ref="AS4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45" s="34" t="s">
        <v>174</v>
      </c>
    </row>
    <row r="46" spans="1:46" x14ac:dyDescent="0.25">
      <c r="A46" s="35">
        <v>44685</v>
      </c>
      <c r="B46" s="36">
        <v>0.57638888888888895</v>
      </c>
      <c r="C46" s="34" t="s">
        <v>183</v>
      </c>
      <c r="D46" s="34" t="s">
        <v>107</v>
      </c>
      <c r="E46" s="34">
        <v>5959</v>
      </c>
      <c r="F46" s="34" t="s">
        <v>132</v>
      </c>
      <c r="G46" s="34">
        <v>4</v>
      </c>
      <c r="H46" s="34" t="s">
        <v>158</v>
      </c>
      <c r="I46" s="34" t="s">
        <v>175</v>
      </c>
      <c r="J46" s="34" t="s">
        <v>176</v>
      </c>
      <c r="K46" s="34">
        <f>IF(AND(CADO_EMPREGOS_2022[[#This Row],[R/S]]="R",CADO_EMPREGOS_2022[[#This Row],[ARMAMENTO]]="BEX",CADO_EMPREGOS_2022[[#This Row],[RECEPÇÃO]]&lt;&gt;"BOMBA PRESA"),1,0)</f>
        <v>1</v>
      </c>
      <c r="L46" s="34" t="s">
        <v>149</v>
      </c>
      <c r="M46" s="34" t="s">
        <v>163</v>
      </c>
      <c r="N46" s="34" t="s">
        <v>179</v>
      </c>
      <c r="O46" s="34" t="s">
        <v>184</v>
      </c>
      <c r="P46" s="34" t="s">
        <v>177</v>
      </c>
      <c r="Q46" s="34" t="s">
        <v>180</v>
      </c>
      <c r="R46" s="37">
        <v>-2</v>
      </c>
      <c r="S46" s="37">
        <v>6</v>
      </c>
      <c r="T46" s="34">
        <v>5</v>
      </c>
      <c r="U46" s="34">
        <v>11</v>
      </c>
      <c r="V46" s="34" t="s">
        <v>145</v>
      </c>
      <c r="W46" s="34" t="s">
        <v>145</v>
      </c>
      <c r="X46" s="34" t="s">
        <v>145</v>
      </c>
      <c r="Y46" s="37">
        <v>-20</v>
      </c>
      <c r="Z46" s="34">
        <v>211</v>
      </c>
      <c r="AA46" s="39" t="s">
        <v>145</v>
      </c>
      <c r="AB46" s="34" t="s">
        <v>145</v>
      </c>
      <c r="AC46" s="34">
        <v>1860</v>
      </c>
      <c r="AD46" s="34">
        <f>VLOOKUP(CADO_EMPREGOS_2022[[#This Row],[MODALIDADE]],Dados!$R$3:$AB$16,10,FALSE)</f>
        <v>1300</v>
      </c>
      <c r="AE46" s="34">
        <v>315</v>
      </c>
      <c r="AF46" s="34">
        <v>303</v>
      </c>
      <c r="AG46" s="34">
        <v>8</v>
      </c>
      <c r="AH46" s="34">
        <f>IF(CADO_EMPREGOS_2022[[#This Row],[ABORTIVA]]="METEORO","",IF(COUNTA(CADO_EMPREGOS_2022[[#This Row],[TRANSGRESSÕES]])&gt;0,0,CADO_EMPREGOS_2022[[#This Row],[NOTA COM PENALIDADES (FOULS)]]))</f>
        <v>0</v>
      </c>
      <c r="AI46" s="34"/>
      <c r="AJ46" s="34">
        <f>IFERROR(IF(CADO_EMPREGOS_2022[[#This Row],[NOTA SEM FOULS]]=0,0,IF(COUNTIF(CADO_EMPREGOS_2022[[#This Row],[FOUL TVB]:[FOUL DE EIXO]],1)&gt;0,0,CADO_EMPREGOS_2022[[#This Row],[NOTA SEM FOULS]])),"")</f>
        <v>0</v>
      </c>
      <c r="AK46" s="34">
        <f>IF(CADO_EMPREGOS_2022[[#This Row],[MODALIDADE]]="TT",CADO_EMPREGOS_2022[[#This Row],[NOTA ACERTOS]],IF(COUNTA(CADO_EMPREGOS_2022[[#This Row],[MODALIDADE]])=0,"",CADO_EMPREGOS_2022[[#This Row],[NOTA DISTÂNCIA]]))</f>
        <v>9.5</v>
      </c>
      <c r="AL46" s="34">
        <f>IF(AND(CADO_EMPREGOS_2022[[#This Row],[MODALIDADE]]="BRB",CADO_EMPREGOS_2022[[#This Row],[TVB]]&lt;=3),1,0)</f>
        <v>0</v>
      </c>
      <c r="AM4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4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1</v>
      </c>
      <c r="AO46" s="34">
        <f>IFERROR(IF(CADO_EMPREGOS_2022[[#This Row],[ALTURA DE RECUPERAÇÃO (FT)]]&lt;VLOOKUP(CADO_EMPREGOS_2022[[#This Row],[MODALIDADE]],Dados!$R$3:$AB$16,10,FALSE),1,0),"")</f>
        <v>0</v>
      </c>
      <c r="AP4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4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4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46" s="34" cm="1">
        <f t="array" ref="AS4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</v>
      </c>
      <c r="AT46" s="34" t="s">
        <v>174</v>
      </c>
    </row>
    <row r="47" spans="1:46" x14ac:dyDescent="0.25">
      <c r="A47" s="35">
        <v>44685</v>
      </c>
      <c r="B47" s="36">
        <v>0.57638888888888895</v>
      </c>
      <c r="C47" s="34" t="s">
        <v>183</v>
      </c>
      <c r="D47" s="34" t="s">
        <v>107</v>
      </c>
      <c r="E47" s="34">
        <v>5959</v>
      </c>
      <c r="F47" s="34" t="s">
        <v>132</v>
      </c>
      <c r="G47" s="34">
        <v>4</v>
      </c>
      <c r="H47" s="34" t="s">
        <v>158</v>
      </c>
      <c r="I47" s="34" t="s">
        <v>175</v>
      </c>
      <c r="J47" s="34" t="s">
        <v>176</v>
      </c>
      <c r="K47" s="34">
        <f>IF(AND(CADO_EMPREGOS_2022[[#This Row],[R/S]]="R",CADO_EMPREGOS_2022[[#This Row],[ARMAMENTO]]="BEX",CADO_EMPREGOS_2022[[#This Row],[RECEPÇÃO]]&lt;&gt;"BOMBA PRESA"),1,0)</f>
        <v>1</v>
      </c>
      <c r="L47" s="34" t="s">
        <v>149</v>
      </c>
      <c r="M47" s="34" t="s">
        <v>163</v>
      </c>
      <c r="N47" s="34" t="s">
        <v>179</v>
      </c>
      <c r="O47" s="34" t="s">
        <v>184</v>
      </c>
      <c r="P47" s="34" t="s">
        <v>177</v>
      </c>
      <c r="Q47" s="34" t="s">
        <v>180</v>
      </c>
      <c r="R47" s="37">
        <v>-10</v>
      </c>
      <c r="S47" s="37">
        <v>-10</v>
      </c>
      <c r="T47" s="34">
        <v>11.4</v>
      </c>
      <c r="U47" s="34">
        <v>3</v>
      </c>
      <c r="V47" s="34" t="s">
        <v>145</v>
      </c>
      <c r="W47" s="34" t="s">
        <v>145</v>
      </c>
      <c r="X47" s="34" t="s">
        <v>145</v>
      </c>
      <c r="Y47" s="37">
        <v>-19.8</v>
      </c>
      <c r="Z47" s="34">
        <v>246</v>
      </c>
      <c r="AA47" s="39" t="s">
        <v>145</v>
      </c>
      <c r="AB47" s="34" t="s">
        <v>145</v>
      </c>
      <c r="AC47" s="34">
        <v>1720</v>
      </c>
      <c r="AD47" s="34">
        <f>VLOOKUP(CADO_EMPREGOS_2022[[#This Row],[MODALIDADE]],Dados!$R$3:$AB$16,10,FALSE)</f>
        <v>1300</v>
      </c>
      <c r="AE47" s="34">
        <v>45</v>
      </c>
      <c r="AF47" s="34">
        <v>49</v>
      </c>
      <c r="AG47" s="34">
        <v>6</v>
      </c>
      <c r="AH47" s="34">
        <f>IF(CADO_EMPREGOS_2022[[#This Row],[ABORTIVA]]="METEORO","",IF(COUNTA(CADO_EMPREGOS_2022[[#This Row],[TRANSGRESSÕES]])&gt;0,0,CADO_EMPREGOS_2022[[#This Row],[NOTA COM PENALIDADES (FOULS)]]))</f>
        <v>8.86</v>
      </c>
      <c r="AI47" s="34"/>
      <c r="AJ47" s="34">
        <f>IFERROR(IF(CADO_EMPREGOS_2022[[#This Row],[NOTA SEM FOULS]]=0,0,IF(COUNTIF(CADO_EMPREGOS_2022[[#This Row],[FOUL TVB]:[FOUL DE EIXO]],1)&gt;0,0,CADO_EMPREGOS_2022[[#This Row],[NOTA SEM FOULS]])),"")</f>
        <v>8.86</v>
      </c>
      <c r="AK47" s="34">
        <f>IF(CADO_EMPREGOS_2022[[#This Row],[MODALIDADE]]="TT",CADO_EMPREGOS_2022[[#This Row],[NOTA ACERTOS]],IF(COUNTA(CADO_EMPREGOS_2022[[#This Row],[MODALIDADE]])=0,"",CADO_EMPREGOS_2022[[#This Row],[NOTA DISTÂNCIA]]))</f>
        <v>8.86</v>
      </c>
      <c r="AL47" s="34">
        <f>IF(AND(CADO_EMPREGOS_2022[[#This Row],[MODALIDADE]]="BRB",CADO_EMPREGOS_2022[[#This Row],[TVB]]&lt;=3),1,0)</f>
        <v>0</v>
      </c>
      <c r="AM4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4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47" s="34">
        <f>IFERROR(IF(CADO_EMPREGOS_2022[[#This Row],[ALTURA DE RECUPERAÇÃO (FT)]]&lt;VLOOKUP(CADO_EMPREGOS_2022[[#This Row],[MODALIDADE]],Dados!$R$3:$AB$16,10,FALSE),1,0),"")</f>
        <v>0</v>
      </c>
      <c r="AP4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4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4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47" s="34" cm="1">
        <f t="array" ref="AS4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8.86</v>
      </c>
      <c r="AT47" s="34" t="s">
        <v>174</v>
      </c>
    </row>
    <row r="48" spans="1:46" x14ac:dyDescent="0.25">
      <c r="A48" s="35">
        <v>44686</v>
      </c>
      <c r="B48" s="36">
        <v>0.36805555555555558</v>
      </c>
      <c r="C48" s="34" t="s">
        <v>183</v>
      </c>
      <c r="D48" s="34" t="s">
        <v>107</v>
      </c>
      <c r="E48" s="34">
        <v>5721</v>
      </c>
      <c r="F48" s="34" t="s">
        <v>133</v>
      </c>
      <c r="G48" s="34">
        <v>2</v>
      </c>
      <c r="H48" s="34" t="s">
        <v>158</v>
      </c>
      <c r="I48" s="34" t="s">
        <v>175</v>
      </c>
      <c r="J48" s="34" t="s">
        <v>176</v>
      </c>
      <c r="K48" s="34">
        <v>1</v>
      </c>
      <c r="L48" s="34" t="s">
        <v>149</v>
      </c>
      <c r="M48" s="34" t="s">
        <v>163</v>
      </c>
      <c r="N48" s="34" t="s">
        <v>179</v>
      </c>
      <c r="O48" s="34" t="s">
        <v>184</v>
      </c>
      <c r="P48" s="34" t="s">
        <v>177</v>
      </c>
      <c r="Q48" s="34" t="s">
        <v>180</v>
      </c>
      <c r="R48" s="37">
        <v>-5</v>
      </c>
      <c r="S48" s="37">
        <v>-10</v>
      </c>
      <c r="T48" s="34">
        <v>9.1</v>
      </c>
      <c r="U48" s="34">
        <v>3.3</v>
      </c>
      <c r="V48" s="34" t="s">
        <v>145</v>
      </c>
      <c r="W48" s="34" t="s">
        <v>145</v>
      </c>
      <c r="X48" s="34" t="s">
        <v>145</v>
      </c>
      <c r="Y48" s="37">
        <v>-18.600000000000001</v>
      </c>
      <c r="Z48" s="34">
        <v>245</v>
      </c>
      <c r="AA48" s="39" t="s">
        <v>145</v>
      </c>
      <c r="AB48" s="34" t="s">
        <v>145</v>
      </c>
      <c r="AC48" s="34">
        <v>1930</v>
      </c>
      <c r="AD48" s="34">
        <v>1300</v>
      </c>
      <c r="AE48" s="34">
        <v>315</v>
      </c>
      <c r="AF48" s="34">
        <v>324</v>
      </c>
      <c r="AG48" s="34">
        <v>7</v>
      </c>
      <c r="AH48" s="34">
        <f>IF(CADO_EMPREGOS_2022[[#This Row],[ABORTIVA]]="METEORO","",IF(COUNTA(CADO_EMPREGOS_2022[[#This Row],[TRANSGRESSÕES]])&gt;0,0,CADO_EMPREGOS_2022[[#This Row],[NOTA COM PENALIDADES (FOULS)]]))</f>
        <v>9.09</v>
      </c>
      <c r="AI48" s="34"/>
      <c r="AJ48" s="34">
        <f>IFERROR(IF(CADO_EMPREGOS_2022[[#This Row],[NOTA SEM FOULS]]=0,0,IF(COUNTIF(CADO_EMPREGOS_2022[[#This Row],[FOUL TVB]:[FOUL DE EIXO]],1)&gt;0,0,CADO_EMPREGOS_2022[[#This Row],[NOTA SEM FOULS]])),"")</f>
        <v>9.09</v>
      </c>
      <c r="AK48" s="34">
        <f>IF(CADO_EMPREGOS_2022[[#This Row],[MODALIDADE]]="TT",CADO_EMPREGOS_2022[[#This Row],[NOTA ACERTOS]],IF(COUNTA(CADO_EMPREGOS_2022[[#This Row],[MODALIDADE]])=0,"",CADO_EMPREGOS_2022[[#This Row],[NOTA DISTÂNCIA]]))</f>
        <v>9.09</v>
      </c>
      <c r="AL48" s="34">
        <f>IF(AND(CADO_EMPREGOS_2022[[#This Row],[MODALIDADE]]="BRB",CADO_EMPREGOS_2022[[#This Row],[TVB]]&lt;=3),1,0)</f>
        <v>0</v>
      </c>
      <c r="AM4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4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48" s="34">
        <f>IFERROR(IF(CADO_EMPREGOS_2022[[#This Row],[ALTURA DE RECUPERAÇÃO (FT)]]&lt;VLOOKUP(CADO_EMPREGOS_2022[[#This Row],[MODALIDADE]],Dados!$R$3:$AB$16,10,FALSE),1,0),"")</f>
        <v>0</v>
      </c>
      <c r="AP4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4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48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48" s="34" cm="1">
        <f t="array" ref="AS4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9.09</v>
      </c>
      <c r="AT48" s="34" t="s">
        <v>174</v>
      </c>
    </row>
    <row r="49" spans="1:46" x14ac:dyDescent="0.25">
      <c r="A49" s="35">
        <v>44686</v>
      </c>
      <c r="B49" s="36">
        <v>0.36805555555555558</v>
      </c>
      <c r="C49" s="34" t="s">
        <v>183</v>
      </c>
      <c r="D49" s="34" t="s">
        <v>107</v>
      </c>
      <c r="E49" s="34">
        <v>5721</v>
      </c>
      <c r="F49" s="34" t="s">
        <v>133</v>
      </c>
      <c r="G49" s="34">
        <v>2</v>
      </c>
      <c r="H49" s="34" t="s">
        <v>158</v>
      </c>
      <c r="I49" s="34" t="s">
        <v>175</v>
      </c>
      <c r="J49" s="34" t="s">
        <v>176</v>
      </c>
      <c r="K49" s="34">
        <v>1</v>
      </c>
      <c r="L49" s="34" t="s">
        <v>149</v>
      </c>
      <c r="M49" s="34" t="s">
        <v>163</v>
      </c>
      <c r="N49" s="34" t="s">
        <v>179</v>
      </c>
      <c r="O49" s="34" t="s">
        <v>184</v>
      </c>
      <c r="P49" s="34" t="s">
        <v>177</v>
      </c>
      <c r="Q49" s="34" t="s">
        <v>180</v>
      </c>
      <c r="R49" s="37">
        <v>13</v>
      </c>
      <c r="S49" s="37">
        <v>10</v>
      </c>
      <c r="T49" s="34">
        <v>13.6</v>
      </c>
      <c r="U49" s="34">
        <v>2.4</v>
      </c>
      <c r="V49" s="34" t="s">
        <v>145</v>
      </c>
      <c r="W49" s="34" t="s">
        <v>145</v>
      </c>
      <c r="X49" s="34" t="s">
        <v>145</v>
      </c>
      <c r="Y49" s="37">
        <v>-19.5</v>
      </c>
      <c r="Z49" s="34">
        <v>256</v>
      </c>
      <c r="AA49" s="39" t="s">
        <v>145</v>
      </c>
      <c r="AB49" s="34" t="s">
        <v>145</v>
      </c>
      <c r="AC49" s="34">
        <v>1700</v>
      </c>
      <c r="AD49" s="34">
        <v>1300</v>
      </c>
      <c r="AE49" s="34">
        <v>135</v>
      </c>
      <c r="AF49" s="34">
        <v>143</v>
      </c>
      <c r="AG49" s="34">
        <v>6</v>
      </c>
      <c r="AH49" s="34">
        <f>IF(CADO_EMPREGOS_2022[[#This Row],[ABORTIVA]]="METEORO","",IF(COUNTA(CADO_EMPREGOS_2022[[#This Row],[TRANSGRESSÕES]])&gt;0,0,CADO_EMPREGOS_2022[[#This Row],[NOTA COM PENALIDADES (FOULS)]]))</f>
        <v>8.64</v>
      </c>
      <c r="AI49" s="34"/>
      <c r="AJ49" s="34">
        <f>IFERROR(IF(CADO_EMPREGOS_2022[[#This Row],[NOTA SEM FOULS]]=0,0,IF(COUNTIF(CADO_EMPREGOS_2022[[#This Row],[FOUL TVB]:[FOUL DE EIXO]],1)&gt;0,0,CADO_EMPREGOS_2022[[#This Row],[NOTA SEM FOULS]])),"")</f>
        <v>8.64</v>
      </c>
      <c r="AK49" s="34">
        <f>IF(CADO_EMPREGOS_2022[[#This Row],[MODALIDADE]]="TT",CADO_EMPREGOS_2022[[#This Row],[NOTA ACERTOS]],IF(COUNTA(CADO_EMPREGOS_2022[[#This Row],[MODALIDADE]])=0,"",CADO_EMPREGOS_2022[[#This Row],[NOTA DISTÂNCIA]]))</f>
        <v>8.64</v>
      </c>
      <c r="AL49" s="34">
        <f>IF(AND(CADO_EMPREGOS_2022[[#This Row],[MODALIDADE]]="BRB",CADO_EMPREGOS_2022[[#This Row],[TVB]]&lt;=3),1,0)</f>
        <v>0</v>
      </c>
      <c r="AM4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4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49" s="34">
        <f>IFERROR(IF(CADO_EMPREGOS_2022[[#This Row],[ALTURA DE RECUPERAÇÃO (FT)]]&lt;VLOOKUP(CADO_EMPREGOS_2022[[#This Row],[MODALIDADE]],Dados!$R$3:$AB$16,10,FALSE),1,0),"")</f>
        <v>0</v>
      </c>
      <c r="AP4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4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49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49" s="34" cm="1">
        <f t="array" ref="AS4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8.64</v>
      </c>
      <c r="AT49" s="34" t="s">
        <v>174</v>
      </c>
    </row>
    <row r="50" spans="1:46" x14ac:dyDescent="0.25">
      <c r="A50" s="35">
        <v>44685</v>
      </c>
      <c r="B50" s="36">
        <v>0.57638888888888895</v>
      </c>
      <c r="C50" s="34" t="s">
        <v>183</v>
      </c>
      <c r="D50" s="34" t="s">
        <v>107</v>
      </c>
      <c r="E50" s="34">
        <v>5959</v>
      </c>
      <c r="F50" s="34" t="s">
        <v>132</v>
      </c>
      <c r="G50" s="34">
        <v>4</v>
      </c>
      <c r="H50" s="34" t="s">
        <v>25</v>
      </c>
      <c r="I50" s="34" t="s">
        <v>175</v>
      </c>
      <c r="J50" s="34" t="s">
        <v>169</v>
      </c>
      <c r="K50" s="34">
        <f>IF(AND(CADO_EMPREGOS_2022[[#This Row],[R/S]]="R",CADO_EMPREGOS_2022[[#This Row],[ARMAMENTO]]="BEX",CADO_EMPREGOS_2022[[#This Row],[RECEPÇÃO]]&lt;&gt;"BOMBA PRESA"),1,0)</f>
        <v>0</v>
      </c>
      <c r="L50" s="34" t="s">
        <v>149</v>
      </c>
      <c r="M50" s="34" t="s">
        <v>163</v>
      </c>
      <c r="N50" s="34" t="s">
        <v>179</v>
      </c>
      <c r="O50" s="34" t="s">
        <v>184</v>
      </c>
      <c r="P50" s="34" t="s">
        <v>172</v>
      </c>
      <c r="Q50" s="34" t="s">
        <v>145</v>
      </c>
      <c r="R50" s="37" t="s">
        <v>145</v>
      </c>
      <c r="S50" s="37" t="s">
        <v>145</v>
      </c>
      <c r="T50" s="34" t="s">
        <v>145</v>
      </c>
      <c r="U50" s="34" t="s">
        <v>145</v>
      </c>
      <c r="V50" s="34">
        <v>30</v>
      </c>
      <c r="W50" s="34">
        <v>20</v>
      </c>
      <c r="X50" s="34">
        <f>IFERROR(CADO_EMPREGOS_2022[[#This Row],[ACERTOS]]/CADO_EMPREGOS_2022[[#This Row],[CARTUCHOS EMPREGADOS]],"")</f>
        <v>0.66666666666666663</v>
      </c>
      <c r="Y50" s="37">
        <v>-14.2</v>
      </c>
      <c r="Z50" s="34">
        <v>235</v>
      </c>
      <c r="AA50" s="39">
        <v>847</v>
      </c>
      <c r="AB50" s="34">
        <v>677</v>
      </c>
      <c r="AC50" s="34">
        <v>270</v>
      </c>
      <c r="AD50" s="34">
        <f>VLOOKUP(CADO_EMPREGOS_2022[[#This Row],[MODALIDADE]],Dados!$R$3:$AB$16,10,FALSE)</f>
        <v>200</v>
      </c>
      <c r="AE50" s="34">
        <v>135</v>
      </c>
      <c r="AF50" s="34">
        <v>137</v>
      </c>
      <c r="AG50" s="34" t="s">
        <v>145</v>
      </c>
      <c r="AH50" s="34">
        <f>IF(CADO_EMPREGOS_2022[[#This Row],[ABORTIVA]]="METEORO","",IF(COUNTA(CADO_EMPREGOS_2022[[#This Row],[TRANSGRESSÕES]])&gt;0,0,CADO_EMPREGOS_2022[[#This Row],[NOTA COM PENALIDADES (FOULS)]]))</f>
        <v>6.6666666666666661</v>
      </c>
      <c r="AI50" s="34"/>
      <c r="AJ50" s="34">
        <f>IFERROR(IF(CADO_EMPREGOS_2022[[#This Row],[NOTA SEM FOULS]]=0,0,IF(COUNTIF(CADO_EMPREGOS_2022[[#This Row],[FOUL TVB]:[FOUL DE EIXO]],1)&gt;0,0,CADO_EMPREGOS_2022[[#This Row],[NOTA SEM FOULS]])),"")</f>
        <v>6.6666666666666661</v>
      </c>
      <c r="AK50" s="34">
        <f>IF(CADO_EMPREGOS_2022[[#This Row],[MODALIDADE]]="TT",CADO_EMPREGOS_2022[[#This Row],[NOTA ACERTOS]],IF(COUNTA(CADO_EMPREGOS_2022[[#This Row],[MODALIDADE]])=0,"",CADO_EMPREGOS_2022[[#This Row],[NOTA DISTÂNCIA]]))</f>
        <v>6.6666666666666661</v>
      </c>
      <c r="AL50" s="34">
        <f>IF(AND(CADO_EMPREGOS_2022[[#This Row],[MODALIDADE]]="BRB",CADO_EMPREGOS_2022[[#This Row],[TVB]]&lt;=3),1,0)</f>
        <v>0</v>
      </c>
      <c r="AM5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5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50" s="34">
        <f>IFERROR(IF(CADO_EMPREGOS_2022[[#This Row],[ALTURA DE RECUPERAÇÃO (FT)]]&lt;VLOOKUP(CADO_EMPREGOS_2022[[#This Row],[MODALIDADE]],Dados!$R$3:$AB$16,10,FALSE),1,0),"")</f>
        <v>0</v>
      </c>
      <c r="AP5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5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50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6.6666666666666661</v>
      </c>
      <c r="AS50" s="34" cm="1">
        <f t="array" ref="AS5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50" s="34" t="s">
        <v>174</v>
      </c>
    </row>
    <row r="51" spans="1:46" x14ac:dyDescent="0.25">
      <c r="A51" s="35">
        <v>44686</v>
      </c>
      <c r="B51" s="36">
        <v>0.36805555555555558</v>
      </c>
      <c r="C51" s="34" t="s">
        <v>183</v>
      </c>
      <c r="D51" s="34" t="s">
        <v>107</v>
      </c>
      <c r="E51" s="34">
        <v>5721</v>
      </c>
      <c r="F51" s="34" t="s">
        <v>133</v>
      </c>
      <c r="G51" s="34">
        <v>2</v>
      </c>
      <c r="H51" s="34" t="s">
        <v>25</v>
      </c>
      <c r="I51" s="34" t="s">
        <v>175</v>
      </c>
      <c r="J51" s="34" t="s">
        <v>169</v>
      </c>
      <c r="K51" s="34">
        <v>1</v>
      </c>
      <c r="L51" s="34" t="s">
        <v>149</v>
      </c>
      <c r="M51" s="34" t="s">
        <v>163</v>
      </c>
      <c r="N51" s="34" t="s">
        <v>179</v>
      </c>
      <c r="O51" s="34" t="s">
        <v>184</v>
      </c>
      <c r="P51" s="34" t="s">
        <v>172</v>
      </c>
      <c r="Q51" s="34" t="s">
        <v>145</v>
      </c>
      <c r="R51" s="37" t="s">
        <v>145</v>
      </c>
      <c r="S51" s="37" t="s">
        <v>145</v>
      </c>
      <c r="T51" s="34" t="s">
        <v>145</v>
      </c>
      <c r="U51" s="34" t="s">
        <v>145</v>
      </c>
      <c r="V51" s="34">
        <v>30</v>
      </c>
      <c r="W51" s="34">
        <v>15</v>
      </c>
      <c r="X51" s="34">
        <v>0.5</v>
      </c>
      <c r="Y51" s="37">
        <v>-13.8</v>
      </c>
      <c r="Z51" s="34">
        <v>234</v>
      </c>
      <c r="AA51" s="39">
        <v>899</v>
      </c>
      <c r="AB51" s="34">
        <v>714</v>
      </c>
      <c r="AC51" s="34">
        <v>300</v>
      </c>
      <c r="AD51" s="34">
        <v>200</v>
      </c>
      <c r="AE51" s="34">
        <v>135</v>
      </c>
      <c r="AF51" s="34">
        <v>141</v>
      </c>
      <c r="AG51" s="34" t="s">
        <v>145</v>
      </c>
      <c r="AH51" s="34">
        <f>IF(CADO_EMPREGOS_2022[[#This Row],[ABORTIVA]]="METEORO","",IF(COUNTA(CADO_EMPREGOS_2022[[#This Row],[TRANSGRESSÕES]])&gt;0,0,CADO_EMPREGOS_2022[[#This Row],[NOTA COM PENALIDADES (FOULS)]]))</f>
        <v>5</v>
      </c>
      <c r="AI51" s="34"/>
      <c r="AJ51" s="34">
        <f>IFERROR(IF(CADO_EMPREGOS_2022[[#This Row],[NOTA SEM FOULS]]=0,0,IF(COUNTIF(CADO_EMPREGOS_2022[[#This Row],[FOUL TVB]:[FOUL DE EIXO]],1)&gt;0,0,CADO_EMPREGOS_2022[[#This Row],[NOTA SEM FOULS]])),"")</f>
        <v>5</v>
      </c>
      <c r="AK51" s="34">
        <f>IF(CADO_EMPREGOS_2022[[#This Row],[MODALIDADE]]="TT",CADO_EMPREGOS_2022[[#This Row],[NOTA ACERTOS]],IF(COUNTA(CADO_EMPREGOS_2022[[#This Row],[MODALIDADE]])=0,"",CADO_EMPREGOS_2022[[#This Row],[NOTA DISTÂNCIA]]))</f>
        <v>5</v>
      </c>
      <c r="AL51" s="34">
        <f>IF(AND(CADO_EMPREGOS_2022[[#This Row],[MODALIDADE]]="BRB",CADO_EMPREGOS_2022[[#This Row],[TVB]]&lt;=3),1,0)</f>
        <v>0</v>
      </c>
      <c r="AM5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5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51" s="34">
        <f>IFERROR(IF(CADO_EMPREGOS_2022[[#This Row],[ALTURA DE RECUPERAÇÃO (FT)]]&lt;VLOOKUP(CADO_EMPREGOS_2022[[#This Row],[MODALIDADE]],Dados!$R$3:$AB$16,10,FALSE),1,0),"")</f>
        <v>0</v>
      </c>
      <c r="AP5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5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51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5</v>
      </c>
      <c r="AS51" s="34" cm="1">
        <f t="array" ref="AS5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51" s="34" t="s">
        <v>174</v>
      </c>
    </row>
    <row r="52" spans="1:46" x14ac:dyDescent="0.25">
      <c r="A52" s="35">
        <v>44685</v>
      </c>
      <c r="B52" s="36">
        <v>0.57638888888888895</v>
      </c>
      <c r="C52" s="34" t="s">
        <v>183</v>
      </c>
      <c r="D52" s="34" t="s">
        <v>201</v>
      </c>
      <c r="E52" s="34">
        <v>5959</v>
      </c>
      <c r="F52" s="34" t="s">
        <v>132</v>
      </c>
      <c r="G52" s="34">
        <v>4</v>
      </c>
      <c r="H52" s="34" t="s">
        <v>158</v>
      </c>
      <c r="I52" s="34" t="s">
        <v>175</v>
      </c>
      <c r="J52" s="34" t="s">
        <v>176</v>
      </c>
      <c r="K52" s="34">
        <v>1</v>
      </c>
      <c r="L52" s="34" t="s">
        <v>149</v>
      </c>
      <c r="M52" s="34" t="s">
        <v>163</v>
      </c>
      <c r="N52" s="34" t="s">
        <v>179</v>
      </c>
      <c r="O52" s="34" t="s">
        <v>184</v>
      </c>
      <c r="P52" s="34" t="s">
        <v>177</v>
      </c>
      <c r="Q52" s="34" t="s">
        <v>180</v>
      </c>
      <c r="R52" s="37">
        <v>-2</v>
      </c>
      <c r="S52" s="37">
        <v>6</v>
      </c>
      <c r="T52" s="34">
        <v>5</v>
      </c>
      <c r="U52" s="34">
        <v>5.0999999999999996</v>
      </c>
      <c r="V52" s="34" t="s">
        <v>145</v>
      </c>
      <c r="W52" s="34" t="s">
        <v>145</v>
      </c>
      <c r="X52" s="34" t="s">
        <v>145</v>
      </c>
      <c r="Y52" s="37">
        <v>-20</v>
      </c>
      <c r="Z52" s="34">
        <v>211</v>
      </c>
      <c r="AA52" s="39" t="s">
        <v>145</v>
      </c>
      <c r="AB52" s="34" t="s">
        <v>145</v>
      </c>
      <c r="AC52" s="34">
        <v>1860</v>
      </c>
      <c r="AD52" s="34">
        <v>1300</v>
      </c>
      <c r="AE52" s="34">
        <v>315</v>
      </c>
      <c r="AF52" s="34">
        <v>303</v>
      </c>
      <c r="AG52" s="34">
        <v>8</v>
      </c>
      <c r="AH52" s="34">
        <f>IF(CADO_EMPREGOS_2022[[#This Row],[ABORTIVA]]="METEORO","",IF(COUNTA(CADO_EMPREGOS_2022[[#This Row],[TRANSGRESSÕES]])&gt;0,0,CADO_EMPREGOS_2022[[#This Row],[NOTA COM PENALIDADES (FOULS)]]))</f>
        <v>0</v>
      </c>
      <c r="AI52" s="34"/>
      <c r="AJ52" s="34">
        <f>IFERROR(IF(CADO_EMPREGOS_2022[[#This Row],[NOTA SEM FOULS]]=0,0,IF(COUNTIF(CADO_EMPREGOS_2022[[#This Row],[FOUL TVB]:[FOUL DE EIXO]],1)&gt;0,0,CADO_EMPREGOS_2022[[#This Row],[NOTA SEM FOULS]])),"")</f>
        <v>0</v>
      </c>
      <c r="AK52" s="34">
        <f>IF(CADO_EMPREGOS_2022[[#This Row],[MODALIDADE]]="TT",CADO_EMPREGOS_2022[[#This Row],[NOTA ACERTOS]],IF(COUNTA(CADO_EMPREGOS_2022[[#This Row],[MODALIDADE]])=0,"",CADO_EMPREGOS_2022[[#This Row],[NOTA DISTÂNCIA]]))</f>
        <v>9.5</v>
      </c>
      <c r="AL52" s="34">
        <f>IF(AND(CADO_EMPREGOS_2022[[#This Row],[MODALIDADE]]="BRB",CADO_EMPREGOS_2022[[#This Row],[TVB]]&lt;=3),1,0)</f>
        <v>0</v>
      </c>
      <c r="AM5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5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1</v>
      </c>
      <c r="AO52" s="34">
        <f>IFERROR(IF(CADO_EMPREGOS_2022[[#This Row],[ALTURA DE RECUPERAÇÃO (FT)]]&lt;VLOOKUP(CADO_EMPREGOS_2022[[#This Row],[MODALIDADE]],Dados!$R$3:$AB$16,10,FALSE),1,0),"")</f>
        <v>0</v>
      </c>
      <c r="AP5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5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52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52" s="34" cm="1">
        <f t="array" ref="AS5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</v>
      </c>
      <c r="AT52" s="34" t="s">
        <v>174</v>
      </c>
    </row>
    <row r="53" spans="1:46" x14ac:dyDescent="0.25">
      <c r="A53" s="35">
        <v>44685</v>
      </c>
      <c r="B53" s="36">
        <v>0.57638888888888895</v>
      </c>
      <c r="C53" s="34" t="s">
        <v>183</v>
      </c>
      <c r="D53" s="34" t="s">
        <v>201</v>
      </c>
      <c r="E53" s="34">
        <v>5959</v>
      </c>
      <c r="F53" s="34" t="s">
        <v>132</v>
      </c>
      <c r="G53" s="34">
        <v>4</v>
      </c>
      <c r="H53" s="34" t="s">
        <v>158</v>
      </c>
      <c r="I53" s="34" t="s">
        <v>175</v>
      </c>
      <c r="J53" s="34" t="s">
        <v>176</v>
      </c>
      <c r="K53" s="34">
        <v>1</v>
      </c>
      <c r="L53" s="34" t="s">
        <v>149</v>
      </c>
      <c r="M53" s="34" t="s">
        <v>163</v>
      </c>
      <c r="N53" s="34" t="s">
        <v>179</v>
      </c>
      <c r="O53" s="34" t="s">
        <v>184</v>
      </c>
      <c r="P53" s="34" t="s">
        <v>177</v>
      </c>
      <c r="Q53" s="34" t="s">
        <v>180</v>
      </c>
      <c r="R53" s="37">
        <v>-10</v>
      </c>
      <c r="S53" s="37">
        <v>-10</v>
      </c>
      <c r="T53" s="34">
        <v>11.6</v>
      </c>
      <c r="U53" s="34">
        <v>8.6</v>
      </c>
      <c r="V53" s="34" t="s">
        <v>145</v>
      </c>
      <c r="W53" s="34" t="s">
        <v>145</v>
      </c>
      <c r="X53" s="34" t="s">
        <v>145</v>
      </c>
      <c r="Y53" s="37">
        <v>-19.8</v>
      </c>
      <c r="Z53" s="34">
        <v>246</v>
      </c>
      <c r="AA53" s="39" t="s">
        <v>145</v>
      </c>
      <c r="AB53" s="34" t="s">
        <v>145</v>
      </c>
      <c r="AC53" s="34">
        <v>1720</v>
      </c>
      <c r="AD53" s="34">
        <v>1300</v>
      </c>
      <c r="AE53" s="34">
        <v>45</v>
      </c>
      <c r="AF53" s="34">
        <v>49</v>
      </c>
      <c r="AG53" s="34">
        <v>6</v>
      </c>
      <c r="AH53" s="34">
        <f>IF(CADO_EMPREGOS_2022[[#This Row],[ABORTIVA]]="METEORO","",IF(COUNTA(CADO_EMPREGOS_2022[[#This Row],[TRANSGRESSÕES]])&gt;0,0,CADO_EMPREGOS_2022[[#This Row],[NOTA COM PENALIDADES (FOULS)]]))</f>
        <v>8.84</v>
      </c>
      <c r="AI53" s="34"/>
      <c r="AJ53" s="34">
        <f>IFERROR(IF(CADO_EMPREGOS_2022[[#This Row],[NOTA SEM FOULS]]=0,0,IF(COUNTIF(CADO_EMPREGOS_2022[[#This Row],[FOUL TVB]:[FOUL DE EIXO]],1)&gt;0,0,CADO_EMPREGOS_2022[[#This Row],[NOTA SEM FOULS]])),"")</f>
        <v>8.84</v>
      </c>
      <c r="AK53" s="34">
        <f>IF(CADO_EMPREGOS_2022[[#This Row],[MODALIDADE]]="TT",CADO_EMPREGOS_2022[[#This Row],[NOTA ACERTOS]],IF(COUNTA(CADO_EMPREGOS_2022[[#This Row],[MODALIDADE]])=0,"",CADO_EMPREGOS_2022[[#This Row],[NOTA DISTÂNCIA]]))</f>
        <v>8.84</v>
      </c>
      <c r="AL53" s="34">
        <f>IF(AND(CADO_EMPREGOS_2022[[#This Row],[MODALIDADE]]="BRB",CADO_EMPREGOS_2022[[#This Row],[TVB]]&lt;=3),1,0)</f>
        <v>0</v>
      </c>
      <c r="AM5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5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53" s="34">
        <f>IFERROR(IF(CADO_EMPREGOS_2022[[#This Row],[ALTURA DE RECUPERAÇÃO (FT)]]&lt;VLOOKUP(CADO_EMPREGOS_2022[[#This Row],[MODALIDADE]],Dados!$R$3:$AB$16,10,FALSE),1,0),"")</f>
        <v>0</v>
      </c>
      <c r="AP5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5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53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53" s="34" cm="1">
        <f t="array" ref="AS5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8.84</v>
      </c>
      <c r="AT53" s="34" t="s">
        <v>174</v>
      </c>
    </row>
    <row r="54" spans="1:46" x14ac:dyDescent="0.25">
      <c r="A54" s="35">
        <v>44693</v>
      </c>
      <c r="B54" s="36">
        <v>0.6875</v>
      </c>
      <c r="C54" s="34" t="s">
        <v>183</v>
      </c>
      <c r="D54" s="34" t="s">
        <v>98</v>
      </c>
      <c r="E54" s="34">
        <v>5959</v>
      </c>
      <c r="F54" s="34" t="s">
        <v>100</v>
      </c>
      <c r="G54" s="34">
        <v>4</v>
      </c>
      <c r="H54" s="34" t="s">
        <v>158</v>
      </c>
      <c r="I54" s="34" t="s">
        <v>175</v>
      </c>
      <c r="J54" s="34" t="s">
        <v>176</v>
      </c>
      <c r="K54" s="34">
        <v>1</v>
      </c>
      <c r="L54" s="34" t="s">
        <v>149</v>
      </c>
      <c r="M54" s="34" t="s">
        <v>163</v>
      </c>
      <c r="N54" s="34" t="s">
        <v>179</v>
      </c>
      <c r="O54" s="34" t="s">
        <v>184</v>
      </c>
      <c r="P54" s="34" t="s">
        <v>177</v>
      </c>
      <c r="Q54" s="34" t="s">
        <v>180</v>
      </c>
      <c r="R54" s="37">
        <v>-14</v>
      </c>
      <c r="S54" s="37">
        <v>0</v>
      </c>
      <c r="T54" s="34">
        <v>11</v>
      </c>
      <c r="U54" s="34">
        <v>10.5</v>
      </c>
      <c r="V54" s="34" t="s">
        <v>145</v>
      </c>
      <c r="W54" s="34" t="s">
        <v>145</v>
      </c>
      <c r="X54" s="34" t="s">
        <v>145</v>
      </c>
      <c r="Y54" s="37">
        <v>-20.3</v>
      </c>
      <c r="Z54" s="34">
        <v>228</v>
      </c>
      <c r="AA54" s="39" t="s">
        <v>145</v>
      </c>
      <c r="AB54" s="34" t="s">
        <v>145</v>
      </c>
      <c r="AC54" s="34">
        <v>2240</v>
      </c>
      <c r="AD54" s="34">
        <v>1300</v>
      </c>
      <c r="AE54" s="34">
        <v>45</v>
      </c>
      <c r="AF54" s="34">
        <v>43</v>
      </c>
      <c r="AG54" s="34">
        <v>8</v>
      </c>
      <c r="AH54" s="34">
        <f>IF(CADO_EMPREGOS_2022[[#This Row],[ABORTIVA]]="METEORO","",IF(COUNTA(CADO_EMPREGOS_2022[[#This Row],[TRANSGRESSÕES]])&gt;0,0,CADO_EMPREGOS_2022[[#This Row],[NOTA COM PENALIDADES (FOULS)]]))</f>
        <v>8.9</v>
      </c>
      <c r="AI54" s="34"/>
      <c r="AJ54" s="34">
        <f>IFERROR(IF(CADO_EMPREGOS_2022[[#This Row],[NOTA SEM FOULS]]=0,0,IF(COUNTIF(CADO_EMPREGOS_2022[[#This Row],[FOUL TVB]:[FOUL DE EIXO]],1)&gt;0,0,CADO_EMPREGOS_2022[[#This Row],[NOTA SEM FOULS]])),"")</f>
        <v>8.9</v>
      </c>
      <c r="AK54" s="34">
        <f>IF(CADO_EMPREGOS_2022[[#This Row],[MODALIDADE]]="TT",CADO_EMPREGOS_2022[[#This Row],[NOTA ACERTOS]],IF(COUNTA(CADO_EMPREGOS_2022[[#This Row],[MODALIDADE]])=0,"",CADO_EMPREGOS_2022[[#This Row],[NOTA DISTÂNCIA]]))</f>
        <v>8.9</v>
      </c>
      <c r="AL54" s="34">
        <f>IF(AND(CADO_EMPREGOS_2022[[#This Row],[MODALIDADE]]="BRB",CADO_EMPREGOS_2022[[#This Row],[TVB]]&lt;=3),1,0)</f>
        <v>0</v>
      </c>
      <c r="AM5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5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54" s="34">
        <f>IFERROR(IF(CADO_EMPREGOS_2022[[#This Row],[ALTURA DE RECUPERAÇÃO (FT)]]&lt;VLOOKUP(CADO_EMPREGOS_2022[[#This Row],[MODALIDADE]],Dados!$R$3:$AB$16,10,FALSE),1,0),"")</f>
        <v>0</v>
      </c>
      <c r="AP5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5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54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54" s="34" cm="1">
        <f t="array" ref="AS5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8.9</v>
      </c>
      <c r="AT54" s="34" t="s">
        <v>174</v>
      </c>
    </row>
    <row r="55" spans="1:46" x14ac:dyDescent="0.25">
      <c r="A55" s="35">
        <v>44693</v>
      </c>
      <c r="B55" s="36">
        <v>0.6875</v>
      </c>
      <c r="C55" s="34" t="s">
        <v>183</v>
      </c>
      <c r="D55" s="34" t="s">
        <v>98</v>
      </c>
      <c r="E55" s="34">
        <v>5959</v>
      </c>
      <c r="F55" s="34" t="s">
        <v>100</v>
      </c>
      <c r="G55" s="34">
        <v>4</v>
      </c>
      <c r="H55" s="34" t="s">
        <v>158</v>
      </c>
      <c r="I55" s="34" t="s">
        <v>175</v>
      </c>
      <c r="J55" s="34" t="s">
        <v>176</v>
      </c>
      <c r="K55" s="34">
        <v>1</v>
      </c>
      <c r="L55" s="34" t="s">
        <v>149</v>
      </c>
      <c r="M55" s="34" t="s">
        <v>163</v>
      </c>
      <c r="N55" s="34" t="s">
        <v>179</v>
      </c>
      <c r="O55" s="34" t="s">
        <v>184</v>
      </c>
      <c r="P55" s="34" t="s">
        <v>177</v>
      </c>
      <c r="Q55" s="34" t="s">
        <v>180</v>
      </c>
      <c r="R55" s="37">
        <v>10</v>
      </c>
      <c r="S55" s="37">
        <v>5</v>
      </c>
      <c r="T55" s="34">
        <v>9.1999999999999993</v>
      </c>
      <c r="U55" s="34">
        <v>8.4</v>
      </c>
      <c r="V55" s="34" t="s">
        <v>145</v>
      </c>
      <c r="W55" s="34" t="s">
        <v>145</v>
      </c>
      <c r="X55" s="34" t="s">
        <v>145</v>
      </c>
      <c r="Y55" s="37">
        <v>-21.8</v>
      </c>
      <c r="Z55" s="34">
        <v>235</v>
      </c>
      <c r="AA55" s="39" t="s">
        <v>145</v>
      </c>
      <c r="AB55" s="34" t="s">
        <v>145</v>
      </c>
      <c r="AC55" s="34">
        <v>1750</v>
      </c>
      <c r="AD55" s="34">
        <v>1300</v>
      </c>
      <c r="AE55" s="34">
        <v>315</v>
      </c>
      <c r="AF55" s="34">
        <v>311</v>
      </c>
      <c r="AG55" s="34">
        <v>7</v>
      </c>
      <c r="AH55" s="34">
        <f>IF(CADO_EMPREGOS_2022[[#This Row],[ABORTIVA]]="METEORO","",IF(COUNTA(CADO_EMPREGOS_2022[[#This Row],[TRANSGRESSÕES]])&gt;0,0,CADO_EMPREGOS_2022[[#This Row],[NOTA COM PENALIDADES (FOULS)]]))</f>
        <v>9.08</v>
      </c>
      <c r="AI55" s="34"/>
      <c r="AJ55" s="34">
        <f>IFERROR(IF(CADO_EMPREGOS_2022[[#This Row],[NOTA SEM FOULS]]=0,0,IF(COUNTIF(CADO_EMPREGOS_2022[[#This Row],[FOUL TVB]:[FOUL DE EIXO]],1)&gt;0,0,CADO_EMPREGOS_2022[[#This Row],[NOTA SEM FOULS]])),"")</f>
        <v>9.08</v>
      </c>
      <c r="AK55" s="34">
        <f>IF(CADO_EMPREGOS_2022[[#This Row],[MODALIDADE]]="TT",CADO_EMPREGOS_2022[[#This Row],[NOTA ACERTOS]],IF(COUNTA(CADO_EMPREGOS_2022[[#This Row],[MODALIDADE]])=0,"",CADO_EMPREGOS_2022[[#This Row],[NOTA DISTÂNCIA]]))</f>
        <v>9.08</v>
      </c>
      <c r="AL55" s="34">
        <f>IF(AND(CADO_EMPREGOS_2022[[#This Row],[MODALIDADE]]="BRB",CADO_EMPREGOS_2022[[#This Row],[TVB]]&lt;=3),1,0)</f>
        <v>0</v>
      </c>
      <c r="AM5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5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55" s="34">
        <f>IFERROR(IF(CADO_EMPREGOS_2022[[#This Row],[ALTURA DE RECUPERAÇÃO (FT)]]&lt;VLOOKUP(CADO_EMPREGOS_2022[[#This Row],[MODALIDADE]],Dados!$R$3:$AB$16,10,FALSE),1,0),"")</f>
        <v>0</v>
      </c>
      <c r="AP5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5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55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55" s="34" cm="1">
        <f t="array" ref="AS5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9.08</v>
      </c>
      <c r="AT55" s="34" t="s">
        <v>174</v>
      </c>
    </row>
    <row r="56" spans="1:46" x14ac:dyDescent="0.25">
      <c r="A56" s="35">
        <v>44699</v>
      </c>
      <c r="B56" s="36">
        <v>0.6875</v>
      </c>
      <c r="C56" s="34" t="s">
        <v>187</v>
      </c>
      <c r="D56" s="34" t="s">
        <v>98</v>
      </c>
      <c r="E56" s="34">
        <v>5705</v>
      </c>
      <c r="F56" s="34" t="s">
        <v>100</v>
      </c>
      <c r="G56" s="34">
        <v>1</v>
      </c>
      <c r="H56" s="34" t="s">
        <v>158</v>
      </c>
      <c r="I56" s="34" t="s">
        <v>175</v>
      </c>
      <c r="J56" s="34" t="s">
        <v>176</v>
      </c>
      <c r="K56" s="34">
        <v>1</v>
      </c>
      <c r="L56" s="34" t="s">
        <v>149</v>
      </c>
      <c r="M56" s="34" t="s">
        <v>163</v>
      </c>
      <c r="N56" s="34" t="s">
        <v>179</v>
      </c>
      <c r="O56" s="34" t="s">
        <v>184</v>
      </c>
      <c r="P56" s="34" t="s">
        <v>177</v>
      </c>
      <c r="Q56" s="34" t="s">
        <v>180</v>
      </c>
      <c r="R56" s="37">
        <v>5</v>
      </c>
      <c r="S56" s="37">
        <v>15</v>
      </c>
      <c r="T56" s="34">
        <v>12.9</v>
      </c>
      <c r="U56" s="34">
        <v>3.8</v>
      </c>
      <c r="V56" s="34" t="s">
        <v>145</v>
      </c>
      <c r="W56" s="34" t="s">
        <v>145</v>
      </c>
      <c r="X56" s="34" t="s">
        <v>145</v>
      </c>
      <c r="Y56" s="37">
        <v>-17.3</v>
      </c>
      <c r="Z56" s="34">
        <v>243</v>
      </c>
      <c r="AA56" s="39" t="s">
        <v>145</v>
      </c>
      <c r="AB56" s="34" t="s">
        <v>145</v>
      </c>
      <c r="AC56" s="34">
        <v>1640</v>
      </c>
      <c r="AD56" s="34">
        <v>1300</v>
      </c>
      <c r="AE56" s="34">
        <v>135</v>
      </c>
      <c r="AF56" s="34">
        <v>135</v>
      </c>
      <c r="AG56" s="34">
        <v>5</v>
      </c>
      <c r="AH56" s="34">
        <f>IF(CADO_EMPREGOS_2022[[#This Row],[ABORTIVA]]="METEORO","",IF(COUNTA(CADO_EMPREGOS_2022[[#This Row],[TRANSGRESSÕES]])&gt;0,0,CADO_EMPREGOS_2022[[#This Row],[NOTA COM PENALIDADES (FOULS)]]))</f>
        <v>8.7100000000000009</v>
      </c>
      <c r="AI56" s="34"/>
      <c r="AJ56" s="34">
        <f>IFERROR(IF(CADO_EMPREGOS_2022[[#This Row],[NOTA SEM FOULS]]=0,0,IF(COUNTIF(CADO_EMPREGOS_2022[[#This Row],[FOUL TVB]:[FOUL DE EIXO]],1)&gt;0,0,CADO_EMPREGOS_2022[[#This Row],[NOTA SEM FOULS]])),"")</f>
        <v>8.7100000000000009</v>
      </c>
      <c r="AK56" s="34">
        <f>IF(CADO_EMPREGOS_2022[[#This Row],[MODALIDADE]]="TT",CADO_EMPREGOS_2022[[#This Row],[NOTA ACERTOS]],IF(COUNTA(CADO_EMPREGOS_2022[[#This Row],[MODALIDADE]])=0,"",CADO_EMPREGOS_2022[[#This Row],[NOTA DISTÂNCIA]]))</f>
        <v>8.7100000000000009</v>
      </c>
      <c r="AL56" s="34">
        <f>IF(AND(CADO_EMPREGOS_2022[[#This Row],[MODALIDADE]]="BRB",CADO_EMPREGOS_2022[[#This Row],[TVB]]&lt;=3),1,0)</f>
        <v>0</v>
      </c>
      <c r="AM5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5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56" s="34">
        <f>IFERROR(IF(CADO_EMPREGOS_2022[[#This Row],[ALTURA DE RECUPERAÇÃO (FT)]]&lt;VLOOKUP(CADO_EMPREGOS_2022[[#This Row],[MODALIDADE]],Dados!$R$3:$AB$16,10,FALSE),1,0),"")</f>
        <v>0</v>
      </c>
      <c r="AP5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5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5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56" s="34" cm="1">
        <f t="array" ref="AS5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8.7100000000000009</v>
      </c>
      <c r="AT56" s="34" t="s">
        <v>174</v>
      </c>
    </row>
    <row r="57" spans="1:46" x14ac:dyDescent="0.25">
      <c r="A57" s="35">
        <v>44698</v>
      </c>
      <c r="B57" s="36">
        <v>0.47222222222222227</v>
      </c>
      <c r="C57" s="34" t="s">
        <v>187</v>
      </c>
      <c r="D57" s="34" t="s">
        <v>98</v>
      </c>
      <c r="E57" s="34">
        <v>5959</v>
      </c>
      <c r="F57" s="34" t="s">
        <v>100</v>
      </c>
      <c r="G57" s="34">
        <v>4</v>
      </c>
      <c r="H57" s="34" t="s">
        <v>158</v>
      </c>
      <c r="I57" s="34" t="s">
        <v>175</v>
      </c>
      <c r="J57" s="34" t="s">
        <v>176</v>
      </c>
      <c r="K57" s="34">
        <v>1</v>
      </c>
      <c r="L57" s="34" t="s">
        <v>149</v>
      </c>
      <c r="M57" s="34" t="s">
        <v>163</v>
      </c>
      <c r="N57" s="34" t="s">
        <v>179</v>
      </c>
      <c r="O57" s="34" t="s">
        <v>184</v>
      </c>
      <c r="P57" s="34" t="s">
        <v>177</v>
      </c>
      <c r="Q57" s="34" t="s">
        <v>180</v>
      </c>
      <c r="R57" s="37">
        <v>10</v>
      </c>
      <c r="S57" s="37">
        <v>20</v>
      </c>
      <c r="T57" s="34">
        <v>18.399999999999999</v>
      </c>
      <c r="U57" s="34">
        <v>9.6</v>
      </c>
      <c r="V57" s="34" t="s">
        <v>145</v>
      </c>
      <c r="W57" s="34" t="s">
        <v>145</v>
      </c>
      <c r="X57" s="34" t="s">
        <v>145</v>
      </c>
      <c r="Y57" s="37">
        <v>-20.5</v>
      </c>
      <c r="Z57" s="34">
        <v>228</v>
      </c>
      <c r="AA57" s="39" t="s">
        <v>145</v>
      </c>
      <c r="AB57" s="34" t="s">
        <v>145</v>
      </c>
      <c r="AC57" s="34">
        <v>2880</v>
      </c>
      <c r="AD57" s="34">
        <v>1300</v>
      </c>
      <c r="AE57" s="34">
        <v>315</v>
      </c>
      <c r="AF57" s="34">
        <v>309</v>
      </c>
      <c r="AG57" s="34">
        <v>8</v>
      </c>
      <c r="AH57" s="34">
        <f>IF(CADO_EMPREGOS_2022[[#This Row],[ABORTIVA]]="METEORO","",IF(COUNTA(CADO_EMPREGOS_2022[[#This Row],[TRANSGRESSÕES]])&gt;0,0,CADO_EMPREGOS_2022[[#This Row],[NOTA COM PENALIDADES (FOULS)]]))</f>
        <v>8.16</v>
      </c>
      <c r="AI57" s="34"/>
      <c r="AJ57" s="34">
        <f>IFERROR(IF(CADO_EMPREGOS_2022[[#This Row],[NOTA SEM FOULS]]=0,0,IF(COUNTIF(CADO_EMPREGOS_2022[[#This Row],[FOUL TVB]:[FOUL DE EIXO]],1)&gt;0,0,CADO_EMPREGOS_2022[[#This Row],[NOTA SEM FOULS]])),"")</f>
        <v>8.16</v>
      </c>
      <c r="AK57" s="34">
        <f>IF(CADO_EMPREGOS_2022[[#This Row],[MODALIDADE]]="TT",CADO_EMPREGOS_2022[[#This Row],[NOTA ACERTOS]],IF(COUNTA(CADO_EMPREGOS_2022[[#This Row],[MODALIDADE]])=0,"",CADO_EMPREGOS_2022[[#This Row],[NOTA DISTÂNCIA]]))</f>
        <v>8.16</v>
      </c>
      <c r="AL57" s="34">
        <f>IF(AND(CADO_EMPREGOS_2022[[#This Row],[MODALIDADE]]="BRB",CADO_EMPREGOS_2022[[#This Row],[TVB]]&lt;=3),1,0)</f>
        <v>0</v>
      </c>
      <c r="AM5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5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57" s="34">
        <f>IFERROR(IF(CADO_EMPREGOS_2022[[#This Row],[ALTURA DE RECUPERAÇÃO (FT)]]&lt;VLOOKUP(CADO_EMPREGOS_2022[[#This Row],[MODALIDADE]],Dados!$R$3:$AB$16,10,FALSE),1,0),"")</f>
        <v>0</v>
      </c>
      <c r="AP5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5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5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57" s="34" cm="1">
        <f t="array" ref="AS5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8.16</v>
      </c>
      <c r="AT57" s="34" t="s">
        <v>174</v>
      </c>
    </row>
    <row r="58" spans="1:46" x14ac:dyDescent="0.25">
      <c r="A58" s="35">
        <v>44693</v>
      </c>
      <c r="B58" s="36">
        <v>0.6875</v>
      </c>
      <c r="C58" s="34" t="s">
        <v>183</v>
      </c>
      <c r="D58" s="34" t="s">
        <v>98</v>
      </c>
      <c r="E58" s="34">
        <v>5959</v>
      </c>
      <c r="F58" s="34" t="s">
        <v>100</v>
      </c>
      <c r="G58" s="34">
        <v>4</v>
      </c>
      <c r="H58" s="34" t="s">
        <v>25</v>
      </c>
      <c r="I58" s="34" t="s">
        <v>175</v>
      </c>
      <c r="J58" s="34" t="s">
        <v>169</v>
      </c>
      <c r="K58" s="34">
        <v>0</v>
      </c>
      <c r="L58" s="34" t="s">
        <v>149</v>
      </c>
      <c r="M58" s="34" t="s">
        <v>163</v>
      </c>
      <c r="N58" s="34" t="s">
        <v>179</v>
      </c>
      <c r="O58" s="34" t="s">
        <v>184</v>
      </c>
      <c r="P58" s="34" t="s">
        <v>172</v>
      </c>
      <c r="Q58" s="34" t="s">
        <v>145</v>
      </c>
      <c r="R58" s="37" t="s">
        <v>145</v>
      </c>
      <c r="S58" s="37" t="s">
        <v>145</v>
      </c>
      <c r="T58" s="34" t="s">
        <v>145</v>
      </c>
      <c r="U58" s="34" t="s">
        <v>145</v>
      </c>
      <c r="V58" s="34">
        <v>30</v>
      </c>
      <c r="W58" s="34">
        <v>22</v>
      </c>
      <c r="X58" s="34">
        <f>22/30</f>
        <v>0.73333333333333328</v>
      </c>
      <c r="Y58" s="37">
        <v>-17</v>
      </c>
      <c r="Z58" s="34">
        <v>243</v>
      </c>
      <c r="AA58" s="39">
        <v>785</v>
      </c>
      <c r="AB58" s="34">
        <v>653</v>
      </c>
      <c r="AC58" s="34">
        <v>360</v>
      </c>
      <c r="AD58" s="34">
        <v>200</v>
      </c>
      <c r="AE58" s="34">
        <v>135</v>
      </c>
      <c r="AF58" s="34">
        <v>136</v>
      </c>
      <c r="AG58" s="34" t="s">
        <v>145</v>
      </c>
      <c r="AH58" s="34">
        <f>IF(CADO_EMPREGOS_2022[[#This Row],[ABORTIVA]]="METEORO","",IF(COUNTA(CADO_EMPREGOS_2022[[#This Row],[TRANSGRESSÕES]])&gt;0,0,CADO_EMPREGOS_2022[[#This Row],[NOTA COM PENALIDADES (FOULS)]]))</f>
        <v>7.333333333333333</v>
      </c>
      <c r="AI58" s="34"/>
      <c r="AJ58" s="34">
        <f>IFERROR(IF(CADO_EMPREGOS_2022[[#This Row],[NOTA SEM FOULS]]=0,0,IF(COUNTIF(CADO_EMPREGOS_2022[[#This Row],[FOUL TVB]:[FOUL DE EIXO]],1)&gt;0,0,CADO_EMPREGOS_2022[[#This Row],[NOTA SEM FOULS]])),"")</f>
        <v>7.333333333333333</v>
      </c>
      <c r="AK58" s="34">
        <f>IF(CADO_EMPREGOS_2022[[#This Row],[MODALIDADE]]="TT",CADO_EMPREGOS_2022[[#This Row],[NOTA ACERTOS]],IF(COUNTA(CADO_EMPREGOS_2022[[#This Row],[MODALIDADE]])=0,"",CADO_EMPREGOS_2022[[#This Row],[NOTA DISTÂNCIA]]))</f>
        <v>7.333333333333333</v>
      </c>
      <c r="AL58" s="34">
        <f>IF(AND(CADO_EMPREGOS_2022[[#This Row],[MODALIDADE]]="BRB",CADO_EMPREGOS_2022[[#This Row],[TVB]]&lt;=3),1,0)</f>
        <v>0</v>
      </c>
      <c r="AM5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5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58" s="34">
        <f>IFERROR(IF(CADO_EMPREGOS_2022[[#This Row],[ALTURA DE RECUPERAÇÃO (FT)]]&lt;VLOOKUP(CADO_EMPREGOS_2022[[#This Row],[MODALIDADE]],Dados!$R$3:$AB$16,10,FALSE),1,0),"")</f>
        <v>0</v>
      </c>
      <c r="AP5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5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58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7.333333333333333</v>
      </c>
      <c r="AS58" s="34" cm="1">
        <f t="array" ref="AS5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58" s="34" t="s">
        <v>174</v>
      </c>
    </row>
    <row r="59" spans="1:46" x14ac:dyDescent="0.25">
      <c r="A59" s="35">
        <v>44698</v>
      </c>
      <c r="B59" s="36">
        <v>0.47222222222222227</v>
      </c>
      <c r="C59" s="34" t="s">
        <v>183</v>
      </c>
      <c r="D59" s="34" t="s">
        <v>98</v>
      </c>
      <c r="E59" s="34">
        <v>5733</v>
      </c>
      <c r="F59" s="34" t="s">
        <v>100</v>
      </c>
      <c r="G59" s="34">
        <v>4</v>
      </c>
      <c r="H59" s="34" t="s">
        <v>25</v>
      </c>
      <c r="I59" s="34" t="s">
        <v>175</v>
      </c>
      <c r="J59" s="34" t="s">
        <v>169</v>
      </c>
      <c r="K59" s="34">
        <v>0</v>
      </c>
      <c r="L59" s="34" t="s">
        <v>149</v>
      </c>
      <c r="M59" s="34" t="s">
        <v>163</v>
      </c>
      <c r="N59" s="34" t="s">
        <v>179</v>
      </c>
      <c r="O59" s="34" t="s">
        <v>184</v>
      </c>
      <c r="P59" s="34" t="s">
        <v>172</v>
      </c>
      <c r="Q59" s="34" t="s">
        <v>145</v>
      </c>
      <c r="R59" s="37" t="s">
        <v>145</v>
      </c>
      <c r="S59" s="37" t="s">
        <v>145</v>
      </c>
      <c r="T59" s="34" t="s">
        <v>145</v>
      </c>
      <c r="U59" s="34" t="s">
        <v>145</v>
      </c>
      <c r="V59" s="34">
        <v>30</v>
      </c>
      <c r="W59" s="34">
        <v>27</v>
      </c>
      <c r="X59" s="34">
        <f>27/30</f>
        <v>0.9</v>
      </c>
      <c r="Y59" s="37">
        <v>-15.7</v>
      </c>
      <c r="Z59" s="34">
        <v>243</v>
      </c>
      <c r="AA59" s="39">
        <v>597</v>
      </c>
      <c r="AB59" s="34">
        <v>446</v>
      </c>
      <c r="AC59" s="34">
        <v>220</v>
      </c>
      <c r="AD59" s="34">
        <v>200</v>
      </c>
      <c r="AE59" s="34">
        <v>135</v>
      </c>
      <c r="AF59" s="34">
        <v>133</v>
      </c>
      <c r="AG59" s="34" t="s">
        <v>145</v>
      </c>
      <c r="AH59" s="34">
        <v>0</v>
      </c>
      <c r="AI59" s="34"/>
      <c r="AJ59" s="34">
        <f>IFERROR(IF(CADO_EMPREGOS_2022[[#This Row],[NOTA SEM FOULS]]=0,0,IF(COUNTIF(CADO_EMPREGOS_2022[[#This Row],[FOUL TVB]:[FOUL DE EIXO]],1)&gt;0,0,CADO_EMPREGOS_2022[[#This Row],[NOTA SEM FOULS]])),"")</f>
        <v>0</v>
      </c>
      <c r="AK59" s="34">
        <f>IF(CADO_EMPREGOS_2022[[#This Row],[MODALIDADE]]="TT",CADO_EMPREGOS_2022[[#This Row],[NOTA ACERTOS]],IF(COUNTA(CADO_EMPREGOS_2022[[#This Row],[MODALIDADE]])=0,"",CADO_EMPREGOS_2022[[#This Row],[NOTA DISTÂNCIA]]))</f>
        <v>9</v>
      </c>
      <c r="AL59" s="34">
        <f>IF(AND(CADO_EMPREGOS_2022[[#This Row],[MODALIDADE]]="BRB",CADO_EMPREGOS_2022[[#This Row],[TVB]]&lt;=3),1,0)</f>
        <v>0</v>
      </c>
      <c r="AM5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5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59" s="34">
        <f>IFERROR(IF(CADO_EMPREGOS_2022[[#This Row],[ALTURA DE RECUPERAÇÃO (FT)]]&lt;VLOOKUP(CADO_EMPREGOS_2022[[#This Row],[MODALIDADE]],Dados!$R$3:$AB$16,10,FALSE),1,0),"")</f>
        <v>0</v>
      </c>
      <c r="AP5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1</v>
      </c>
      <c r="AQ5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59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</v>
      </c>
      <c r="AS59" s="34" cm="1">
        <f t="array" ref="AS5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0</v>
      </c>
      <c r="AT59" s="34" t="s">
        <v>174</v>
      </c>
    </row>
    <row r="60" spans="1:46" x14ac:dyDescent="0.25">
      <c r="A60" s="35">
        <v>44698</v>
      </c>
      <c r="B60" s="36">
        <v>0.79166666666666663</v>
      </c>
      <c r="C60" s="34" t="s">
        <v>183</v>
      </c>
      <c r="D60" s="34" t="s">
        <v>127</v>
      </c>
      <c r="E60" s="34">
        <v>5921</v>
      </c>
      <c r="F60" s="34" t="s">
        <v>134</v>
      </c>
      <c r="G60" s="34">
        <v>3</v>
      </c>
      <c r="H60" s="34" t="s">
        <v>158</v>
      </c>
      <c r="I60" s="34" t="s">
        <v>175</v>
      </c>
      <c r="J60" s="34" t="s">
        <v>176</v>
      </c>
      <c r="K60" s="34">
        <v>1</v>
      </c>
      <c r="L60" s="34" t="s">
        <v>149</v>
      </c>
      <c r="M60" s="34" t="s">
        <v>163</v>
      </c>
      <c r="N60" s="34" t="s">
        <v>179</v>
      </c>
      <c r="O60" s="34" t="s">
        <v>184</v>
      </c>
      <c r="P60" s="34" t="s">
        <v>177</v>
      </c>
      <c r="Q60" s="34" t="s">
        <v>180</v>
      </c>
      <c r="R60" s="37">
        <v>24</v>
      </c>
      <c r="S60" s="37">
        <v>12</v>
      </c>
      <c r="T60" s="34">
        <v>22.1</v>
      </c>
      <c r="U60" s="34">
        <v>2.4</v>
      </c>
      <c r="V60" s="34" t="s">
        <v>145</v>
      </c>
      <c r="W60" s="34" t="s">
        <v>145</v>
      </c>
      <c r="X60" s="34" t="s">
        <v>145</v>
      </c>
      <c r="Y60" s="37">
        <v>-19.5</v>
      </c>
      <c r="Z60" s="34">
        <v>244</v>
      </c>
      <c r="AA60" s="39" t="s">
        <v>145</v>
      </c>
      <c r="AB60" s="34" t="s">
        <v>145</v>
      </c>
      <c r="AC60" s="34">
        <v>2240</v>
      </c>
      <c r="AD60" s="34">
        <v>1300</v>
      </c>
      <c r="AE60" s="34">
        <v>135</v>
      </c>
      <c r="AF60" s="34">
        <v>142</v>
      </c>
      <c r="AG60" s="34">
        <v>6</v>
      </c>
      <c r="AH60" s="34">
        <f>IF(CADO_EMPREGOS_2022[[#This Row],[ABORTIVA]]="METEORO","",IF(COUNTA(CADO_EMPREGOS_2022[[#This Row],[TRANSGRESSÕES]])&gt;0,0,CADO_EMPREGOS_2022[[#This Row],[NOTA COM PENALIDADES (FOULS)]]))</f>
        <v>7.7899999999999991</v>
      </c>
      <c r="AI60" s="34"/>
      <c r="AJ60" s="34">
        <f>IFERROR(IF(CADO_EMPREGOS_2022[[#This Row],[NOTA SEM FOULS]]=0,0,IF(COUNTIF(CADO_EMPREGOS_2022[[#This Row],[FOUL TVB]:[FOUL DE EIXO]],1)&gt;0,0,CADO_EMPREGOS_2022[[#This Row],[NOTA SEM FOULS]])),"")</f>
        <v>7.7899999999999991</v>
      </c>
      <c r="AK60" s="34">
        <f>IF(CADO_EMPREGOS_2022[[#This Row],[MODALIDADE]]="TT",CADO_EMPREGOS_2022[[#This Row],[NOTA ACERTOS]],IF(COUNTA(CADO_EMPREGOS_2022[[#This Row],[MODALIDADE]])=0,"",CADO_EMPREGOS_2022[[#This Row],[NOTA DISTÂNCIA]]))</f>
        <v>7.7899999999999991</v>
      </c>
      <c r="AL60" s="34">
        <f>IF(AND(CADO_EMPREGOS_2022[[#This Row],[MODALIDADE]]="BRB",CADO_EMPREGOS_2022[[#This Row],[TVB]]&lt;=3),1,0)</f>
        <v>0</v>
      </c>
      <c r="AM6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6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60" s="34">
        <f>IFERROR(IF(CADO_EMPREGOS_2022[[#This Row],[ALTURA DE RECUPERAÇÃO (FT)]]&lt;VLOOKUP(CADO_EMPREGOS_2022[[#This Row],[MODALIDADE]],Dados!$R$3:$AB$16,10,FALSE),1,0),"")</f>
        <v>0</v>
      </c>
      <c r="AP6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6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6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60" s="34" cm="1">
        <f t="array" ref="AS6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7.7899999999999991</v>
      </c>
      <c r="AT60" s="34" t="s">
        <v>174</v>
      </c>
    </row>
    <row r="61" spans="1:46" x14ac:dyDescent="0.25">
      <c r="A61" s="35">
        <v>44698</v>
      </c>
      <c r="B61" s="36">
        <v>0.79166666666666663</v>
      </c>
      <c r="C61" s="34" t="s">
        <v>183</v>
      </c>
      <c r="D61" s="34" t="s">
        <v>127</v>
      </c>
      <c r="E61" s="34">
        <v>5921</v>
      </c>
      <c r="F61" s="34" t="s">
        <v>134</v>
      </c>
      <c r="G61" s="34">
        <v>3</v>
      </c>
      <c r="H61" s="34" t="s">
        <v>158</v>
      </c>
      <c r="I61" s="34" t="s">
        <v>175</v>
      </c>
      <c r="J61" s="34" t="s">
        <v>176</v>
      </c>
      <c r="K61" s="34">
        <v>1</v>
      </c>
      <c r="L61" s="34" t="s">
        <v>149</v>
      </c>
      <c r="M61" s="34" t="s">
        <v>163</v>
      </c>
      <c r="N61" s="34" t="s">
        <v>179</v>
      </c>
      <c r="O61" s="34" t="s">
        <v>184</v>
      </c>
      <c r="P61" s="34" t="s">
        <v>177</v>
      </c>
      <c r="Q61" s="34" t="s">
        <v>180</v>
      </c>
      <c r="R61" s="37">
        <v>-39</v>
      </c>
      <c r="S61" s="37">
        <v>15</v>
      </c>
      <c r="T61" s="34">
        <v>33.299999999999997</v>
      </c>
      <c r="U61" s="34">
        <v>12</v>
      </c>
      <c r="V61" s="34" t="s">
        <v>145</v>
      </c>
      <c r="W61" s="34" t="s">
        <v>145</v>
      </c>
      <c r="X61" s="34" t="s">
        <v>145</v>
      </c>
      <c r="Y61" s="37">
        <v>-19</v>
      </c>
      <c r="Z61" s="34">
        <v>235</v>
      </c>
      <c r="AA61" s="39" t="s">
        <v>145</v>
      </c>
      <c r="AB61" s="34" t="s">
        <v>145</v>
      </c>
      <c r="AC61" s="34">
        <v>2380</v>
      </c>
      <c r="AD61" s="34">
        <v>1300</v>
      </c>
      <c r="AE61" s="34">
        <v>315</v>
      </c>
      <c r="AF61" s="34">
        <v>320</v>
      </c>
      <c r="AG61" s="34">
        <v>8</v>
      </c>
      <c r="AH61" s="34">
        <f>IF(CADO_EMPREGOS_2022[[#This Row],[ABORTIVA]]="METEORO","",IF(COUNTA(CADO_EMPREGOS_2022[[#This Row],[TRANSGRESSÕES]])&gt;0,0,CADO_EMPREGOS_2022[[#This Row],[NOTA COM PENALIDADES (FOULS)]]))</f>
        <v>6.67</v>
      </c>
      <c r="AI61" s="34"/>
      <c r="AJ61" s="34">
        <f>IFERROR(IF(CADO_EMPREGOS_2022[[#This Row],[NOTA SEM FOULS]]=0,0,IF(COUNTIF(CADO_EMPREGOS_2022[[#This Row],[FOUL TVB]:[FOUL DE EIXO]],1)&gt;0,0,CADO_EMPREGOS_2022[[#This Row],[NOTA SEM FOULS]])),"")</f>
        <v>6.67</v>
      </c>
      <c r="AK61" s="34">
        <f>IF(CADO_EMPREGOS_2022[[#This Row],[MODALIDADE]]="TT",CADO_EMPREGOS_2022[[#This Row],[NOTA ACERTOS]],IF(COUNTA(CADO_EMPREGOS_2022[[#This Row],[MODALIDADE]])=0,"",CADO_EMPREGOS_2022[[#This Row],[NOTA DISTÂNCIA]]))</f>
        <v>6.67</v>
      </c>
      <c r="AL61" s="34">
        <f>IF(AND(CADO_EMPREGOS_2022[[#This Row],[MODALIDADE]]="BRB",CADO_EMPREGOS_2022[[#This Row],[TVB]]&lt;=3),1,0)</f>
        <v>0</v>
      </c>
      <c r="AM6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6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61" s="34">
        <f>IFERROR(IF(CADO_EMPREGOS_2022[[#This Row],[ALTURA DE RECUPERAÇÃO (FT)]]&lt;VLOOKUP(CADO_EMPREGOS_2022[[#This Row],[MODALIDADE]],Dados!$R$3:$AB$16,10,FALSE),1,0),"")</f>
        <v>0</v>
      </c>
      <c r="AP6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6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61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61" s="34" cm="1">
        <f t="array" ref="AS6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6.67</v>
      </c>
      <c r="AT61" s="34" t="s">
        <v>174</v>
      </c>
    </row>
    <row r="62" spans="1:46" x14ac:dyDescent="0.25">
      <c r="A62" s="35">
        <v>44699</v>
      </c>
      <c r="B62" s="36">
        <v>0.57638888888888895</v>
      </c>
      <c r="C62" s="34" t="s">
        <v>187</v>
      </c>
      <c r="D62" s="34" t="s">
        <v>127</v>
      </c>
      <c r="E62" s="34">
        <v>5733</v>
      </c>
      <c r="F62" s="34" t="s">
        <v>134</v>
      </c>
      <c r="G62" s="34">
        <v>3</v>
      </c>
      <c r="H62" s="34" t="s">
        <v>158</v>
      </c>
      <c r="I62" s="34" t="s">
        <v>175</v>
      </c>
      <c r="J62" s="34" t="s">
        <v>176</v>
      </c>
      <c r="K62" s="34">
        <v>1</v>
      </c>
      <c r="L62" s="34" t="s">
        <v>149</v>
      </c>
      <c r="M62" s="34" t="s">
        <v>163</v>
      </c>
      <c r="N62" s="34" t="s">
        <v>179</v>
      </c>
      <c r="O62" s="34" t="s">
        <v>184</v>
      </c>
      <c r="P62" s="34" t="s">
        <v>177</v>
      </c>
      <c r="Q62" s="34" t="s">
        <v>180</v>
      </c>
      <c r="R62" s="37">
        <v>10</v>
      </c>
      <c r="S62" s="37">
        <v>-12</v>
      </c>
      <c r="T62" s="34">
        <v>12</v>
      </c>
      <c r="U62" s="34">
        <v>5.8</v>
      </c>
      <c r="V62" s="34" t="s">
        <v>145</v>
      </c>
      <c r="W62" s="34" t="s">
        <v>145</v>
      </c>
      <c r="X62" s="34" t="s">
        <v>145</v>
      </c>
      <c r="Y62" s="37">
        <v>-20.3</v>
      </c>
      <c r="Z62" s="34">
        <v>237</v>
      </c>
      <c r="AA62" s="39" t="s">
        <v>145</v>
      </c>
      <c r="AB62" s="34" t="s">
        <v>145</v>
      </c>
      <c r="AC62" s="34">
        <v>2300</v>
      </c>
      <c r="AD62" s="34">
        <v>1300</v>
      </c>
      <c r="AE62" s="34">
        <v>315</v>
      </c>
      <c r="AF62" s="34">
        <v>314</v>
      </c>
      <c r="AG62" s="34">
        <v>7</v>
      </c>
      <c r="AH62" s="34">
        <f>IF(CADO_EMPREGOS_2022[[#This Row],[ABORTIVA]]="METEORO","",IF(COUNTA(CADO_EMPREGOS_2022[[#This Row],[TRANSGRESSÕES]])&gt;0,0,CADO_EMPREGOS_2022[[#This Row],[NOTA COM PENALIDADES (FOULS)]]))</f>
        <v>8.8000000000000007</v>
      </c>
      <c r="AI62" s="34"/>
      <c r="AJ62" s="34">
        <f>IFERROR(IF(CADO_EMPREGOS_2022[[#This Row],[NOTA SEM FOULS]]=0,0,IF(COUNTIF(CADO_EMPREGOS_2022[[#This Row],[FOUL TVB]:[FOUL DE EIXO]],1)&gt;0,0,CADO_EMPREGOS_2022[[#This Row],[NOTA SEM FOULS]])),"")</f>
        <v>8.8000000000000007</v>
      </c>
      <c r="AK62" s="34">
        <f>IF(CADO_EMPREGOS_2022[[#This Row],[MODALIDADE]]="TT",CADO_EMPREGOS_2022[[#This Row],[NOTA ACERTOS]],IF(COUNTA(CADO_EMPREGOS_2022[[#This Row],[MODALIDADE]])=0,"",CADO_EMPREGOS_2022[[#This Row],[NOTA DISTÂNCIA]]))</f>
        <v>8.8000000000000007</v>
      </c>
      <c r="AL62" s="34">
        <f>IF(AND(CADO_EMPREGOS_2022[[#This Row],[MODALIDADE]]="BRB",CADO_EMPREGOS_2022[[#This Row],[TVB]]&lt;=3),1,0)</f>
        <v>0</v>
      </c>
      <c r="AM6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6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62" s="34">
        <f>IFERROR(IF(CADO_EMPREGOS_2022[[#This Row],[ALTURA DE RECUPERAÇÃO (FT)]]&lt;VLOOKUP(CADO_EMPREGOS_2022[[#This Row],[MODALIDADE]],Dados!$R$3:$AB$16,10,FALSE),1,0),"")</f>
        <v>0</v>
      </c>
      <c r="AP6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6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62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62" s="34" cm="1">
        <f t="array" ref="AS6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8.8000000000000007</v>
      </c>
      <c r="AT62" s="34" t="s">
        <v>174</v>
      </c>
    </row>
    <row r="63" spans="1:46" x14ac:dyDescent="0.25">
      <c r="A63" s="35">
        <v>44699</v>
      </c>
      <c r="B63" s="36">
        <v>0.57638888888888895</v>
      </c>
      <c r="C63" s="34" t="s">
        <v>187</v>
      </c>
      <c r="D63" s="34" t="s">
        <v>127</v>
      </c>
      <c r="E63" s="34">
        <v>5733</v>
      </c>
      <c r="F63" s="34" t="s">
        <v>134</v>
      </c>
      <c r="G63" s="34">
        <v>3</v>
      </c>
      <c r="H63" s="34" t="s">
        <v>158</v>
      </c>
      <c r="I63" s="34" t="s">
        <v>175</v>
      </c>
      <c r="J63" s="34" t="s">
        <v>176</v>
      </c>
      <c r="K63" s="34">
        <v>1</v>
      </c>
      <c r="L63" s="34" t="s">
        <v>149</v>
      </c>
      <c r="M63" s="34" t="s">
        <v>163</v>
      </c>
      <c r="N63" s="34" t="s">
        <v>179</v>
      </c>
      <c r="O63" s="34" t="s">
        <v>184</v>
      </c>
      <c r="P63" s="34" t="s">
        <v>177</v>
      </c>
      <c r="Q63" s="34" t="s">
        <v>180</v>
      </c>
      <c r="R63" s="37">
        <v>-7</v>
      </c>
      <c r="S63" s="37">
        <v>5</v>
      </c>
      <c r="T63" s="34">
        <v>6.8</v>
      </c>
      <c r="U63" s="34">
        <v>6.3</v>
      </c>
      <c r="V63" s="34" t="s">
        <v>145</v>
      </c>
      <c r="W63" s="34" t="s">
        <v>145</v>
      </c>
      <c r="X63" s="34" t="s">
        <v>145</v>
      </c>
      <c r="Y63" s="37">
        <v>-19.3</v>
      </c>
      <c r="Z63" s="34">
        <v>242</v>
      </c>
      <c r="AA63" s="39" t="s">
        <v>145</v>
      </c>
      <c r="AB63" s="34" t="s">
        <v>145</v>
      </c>
      <c r="AC63" s="34">
        <v>2090</v>
      </c>
      <c r="AD63" s="34">
        <v>1300</v>
      </c>
      <c r="AE63" s="34">
        <v>135</v>
      </c>
      <c r="AF63" s="34">
        <v>135</v>
      </c>
      <c r="AG63" s="34">
        <v>6</v>
      </c>
      <c r="AH63" s="34">
        <f>IF(CADO_EMPREGOS_2022[[#This Row],[ABORTIVA]]="METEORO","",IF(COUNTA(CADO_EMPREGOS_2022[[#This Row],[TRANSGRESSÕES]])&gt;0,0,CADO_EMPREGOS_2022[[#This Row],[NOTA COM PENALIDADES (FOULS)]]))</f>
        <v>9.32</v>
      </c>
      <c r="AI63" s="34"/>
      <c r="AJ63" s="34">
        <f>IFERROR(IF(CADO_EMPREGOS_2022[[#This Row],[NOTA SEM FOULS]]=0,0,IF(COUNTIF(CADO_EMPREGOS_2022[[#This Row],[FOUL TVB]:[FOUL DE EIXO]],1)&gt;0,0,CADO_EMPREGOS_2022[[#This Row],[NOTA SEM FOULS]])),"")</f>
        <v>9.32</v>
      </c>
      <c r="AK63" s="34">
        <f>IF(CADO_EMPREGOS_2022[[#This Row],[MODALIDADE]]="TT",CADO_EMPREGOS_2022[[#This Row],[NOTA ACERTOS]],IF(COUNTA(CADO_EMPREGOS_2022[[#This Row],[MODALIDADE]])=0,"",CADO_EMPREGOS_2022[[#This Row],[NOTA DISTÂNCIA]]))</f>
        <v>9.32</v>
      </c>
      <c r="AL63" s="34">
        <f>IF(AND(CADO_EMPREGOS_2022[[#This Row],[MODALIDADE]]="BRB",CADO_EMPREGOS_2022[[#This Row],[TVB]]&lt;=3),1,0)</f>
        <v>0</v>
      </c>
      <c r="AM6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6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63" s="34">
        <f>IFERROR(IF(CADO_EMPREGOS_2022[[#This Row],[ALTURA DE RECUPERAÇÃO (FT)]]&lt;VLOOKUP(CADO_EMPREGOS_2022[[#This Row],[MODALIDADE]],Dados!$R$3:$AB$16,10,FALSE),1,0),"")</f>
        <v>0</v>
      </c>
      <c r="AP63" s="34">
        <v>0</v>
      </c>
      <c r="AQ63" s="34">
        <v>0</v>
      </c>
      <c r="AR63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63" s="34" cm="1">
        <f t="array" ref="AS6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9.32</v>
      </c>
      <c r="AT63" s="34" t="s">
        <v>174</v>
      </c>
    </row>
    <row r="64" spans="1:46" x14ac:dyDescent="0.25">
      <c r="A64" s="35">
        <v>44698</v>
      </c>
      <c r="B64" s="36">
        <v>0.79166666666666663</v>
      </c>
      <c r="C64" s="34" t="s">
        <v>183</v>
      </c>
      <c r="D64" s="34" t="s">
        <v>127</v>
      </c>
      <c r="E64" s="34">
        <v>5921</v>
      </c>
      <c r="F64" s="34" t="s">
        <v>134</v>
      </c>
      <c r="G64" s="34">
        <v>3</v>
      </c>
      <c r="H64" s="34" t="s">
        <v>25</v>
      </c>
      <c r="I64" s="34" t="s">
        <v>175</v>
      </c>
      <c r="J64" s="34" t="s">
        <v>169</v>
      </c>
      <c r="K64" s="34">
        <v>0</v>
      </c>
      <c r="L64" s="34" t="s">
        <v>149</v>
      </c>
      <c r="M64" s="34" t="s">
        <v>163</v>
      </c>
      <c r="N64" s="34" t="s">
        <v>179</v>
      </c>
      <c r="O64" s="34" t="s">
        <v>184</v>
      </c>
      <c r="P64" s="34" t="s">
        <v>172</v>
      </c>
      <c r="Q64" s="34" t="s">
        <v>180</v>
      </c>
      <c r="R64" s="37" t="s">
        <v>145</v>
      </c>
      <c r="S64" s="37" t="s">
        <v>145</v>
      </c>
      <c r="T64" s="34" t="s">
        <v>145</v>
      </c>
      <c r="U64" s="34" t="s">
        <v>145</v>
      </c>
      <c r="V64" s="34">
        <v>30</v>
      </c>
      <c r="W64" s="34">
        <v>17</v>
      </c>
      <c r="X64" s="34">
        <v>0.56999999999999995</v>
      </c>
      <c r="Y64" s="37">
        <v>-18.399999999999999</v>
      </c>
      <c r="Z64" s="34">
        <v>241</v>
      </c>
      <c r="AA64" s="39">
        <v>907</v>
      </c>
      <c r="AB64" s="34">
        <v>727</v>
      </c>
      <c r="AC64" s="34">
        <v>440</v>
      </c>
      <c r="AD64" s="34">
        <v>200</v>
      </c>
      <c r="AE64" s="34">
        <v>135</v>
      </c>
      <c r="AF64" s="34">
        <v>135</v>
      </c>
      <c r="AG64" s="34" t="s">
        <v>145</v>
      </c>
      <c r="AH64" s="34">
        <f>IF(CADO_EMPREGOS_2022[[#This Row],[ABORTIVA]]="METEORO","",IF(COUNTA(CADO_EMPREGOS_2022[[#This Row],[TRANSGRESSÕES]])&gt;0,0,CADO_EMPREGOS_2022[[#This Row],[NOTA COM PENALIDADES (FOULS)]]))</f>
        <v>5.6666666666666661</v>
      </c>
      <c r="AI64" s="34"/>
      <c r="AJ64" s="34">
        <f>IFERROR(IF(CADO_EMPREGOS_2022[[#This Row],[NOTA SEM FOULS]]=0,0,IF(COUNTIF(CADO_EMPREGOS_2022[[#This Row],[FOUL TVB]:[FOUL DE EIXO]],1)&gt;0,0,CADO_EMPREGOS_2022[[#This Row],[NOTA SEM FOULS]])),"")</f>
        <v>5.6666666666666661</v>
      </c>
      <c r="AK64" s="34">
        <f>IF(CADO_EMPREGOS_2022[[#This Row],[MODALIDADE]]="TT",CADO_EMPREGOS_2022[[#This Row],[NOTA ACERTOS]],IF(COUNTA(CADO_EMPREGOS_2022[[#This Row],[MODALIDADE]])=0,"",CADO_EMPREGOS_2022[[#This Row],[NOTA DISTÂNCIA]]))</f>
        <v>5.6666666666666661</v>
      </c>
      <c r="AL64" s="34">
        <f>IF(AND(CADO_EMPREGOS_2022[[#This Row],[MODALIDADE]]="BRB",CADO_EMPREGOS_2022[[#This Row],[TVB]]&lt;=3),1,0)</f>
        <v>0</v>
      </c>
      <c r="AM6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6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64" s="34">
        <f>IFERROR(IF(CADO_EMPREGOS_2022[[#This Row],[ALTURA DE RECUPERAÇÃO (FT)]]&lt;VLOOKUP(CADO_EMPREGOS_2022[[#This Row],[MODALIDADE]],Dados!$R$3:$AB$16,10,FALSE),1,0),"")</f>
        <v>0</v>
      </c>
      <c r="AP6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6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64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5.6666666666666661</v>
      </c>
      <c r="AS64" s="34" cm="1">
        <f t="array" ref="AS6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64" s="34" t="s">
        <v>174</v>
      </c>
    </row>
    <row r="65" spans="1:46" x14ac:dyDescent="0.25">
      <c r="A65" s="35">
        <v>44699</v>
      </c>
      <c r="B65" s="36">
        <v>0.57638888888888895</v>
      </c>
      <c r="C65" s="34" t="s">
        <v>187</v>
      </c>
      <c r="D65" s="34" t="s">
        <v>127</v>
      </c>
      <c r="E65" s="34">
        <v>5733</v>
      </c>
      <c r="F65" s="34" t="s">
        <v>134</v>
      </c>
      <c r="G65" s="34">
        <v>3</v>
      </c>
      <c r="H65" s="34" t="s">
        <v>25</v>
      </c>
      <c r="I65" s="34" t="s">
        <v>175</v>
      </c>
      <c r="J65" s="34" t="s">
        <v>169</v>
      </c>
      <c r="K65" s="34">
        <v>0</v>
      </c>
      <c r="L65" s="34" t="s">
        <v>149</v>
      </c>
      <c r="M65" s="34" t="s">
        <v>163</v>
      </c>
      <c r="N65" s="34" t="s">
        <v>179</v>
      </c>
      <c r="O65" s="34" t="s">
        <v>184</v>
      </c>
      <c r="P65" s="34" t="s">
        <v>172</v>
      </c>
      <c r="Q65" s="34" t="s">
        <v>145</v>
      </c>
      <c r="R65" s="37" t="s">
        <v>145</v>
      </c>
      <c r="S65" s="37" t="s">
        <v>145</v>
      </c>
      <c r="T65" s="34" t="s">
        <v>145</v>
      </c>
      <c r="U65" s="34" t="s">
        <v>145</v>
      </c>
      <c r="V65" s="34">
        <v>30</v>
      </c>
      <c r="W65" s="34">
        <v>21</v>
      </c>
      <c r="X65" s="34">
        <v>0.7</v>
      </c>
      <c r="Y65" s="37">
        <v>-16</v>
      </c>
      <c r="Z65" s="34">
        <v>250</v>
      </c>
      <c r="AA65" s="39">
        <v>716</v>
      </c>
      <c r="AB65" s="34">
        <v>546</v>
      </c>
      <c r="AC65" s="34">
        <v>280</v>
      </c>
      <c r="AD65" s="34">
        <v>200</v>
      </c>
      <c r="AE65" s="34">
        <v>135</v>
      </c>
      <c r="AF65" s="34">
        <v>135</v>
      </c>
      <c r="AG65" s="34" t="s">
        <v>145</v>
      </c>
      <c r="AH65" s="34">
        <f>IF(CADO_EMPREGOS_2022[[#This Row],[ABORTIVA]]="METEORO","",IF(COUNTA(CADO_EMPREGOS_2022[[#This Row],[TRANSGRESSÕES]])&gt;0,0,CADO_EMPREGOS_2022[[#This Row],[NOTA COM PENALIDADES (FOULS)]]))</f>
        <v>7</v>
      </c>
      <c r="AI65" s="34"/>
      <c r="AJ65" s="34">
        <f>IFERROR(IF(CADO_EMPREGOS_2022[[#This Row],[NOTA SEM FOULS]]=0,0,IF(COUNTIF(CADO_EMPREGOS_2022[[#This Row],[FOUL TVB]:[FOUL DE EIXO]],1)&gt;0,0,CADO_EMPREGOS_2022[[#This Row],[NOTA SEM FOULS]])),"")</f>
        <v>7</v>
      </c>
      <c r="AK65" s="34">
        <f>IF(CADO_EMPREGOS_2022[[#This Row],[MODALIDADE]]="TT",CADO_EMPREGOS_2022[[#This Row],[NOTA ACERTOS]],IF(COUNTA(CADO_EMPREGOS_2022[[#This Row],[MODALIDADE]])=0,"",CADO_EMPREGOS_2022[[#This Row],[NOTA DISTÂNCIA]]))</f>
        <v>7</v>
      </c>
      <c r="AL65" s="34">
        <f>IF(AND(CADO_EMPREGOS_2022[[#This Row],[MODALIDADE]]="BRB",CADO_EMPREGOS_2022[[#This Row],[TVB]]&lt;=3),1,0)</f>
        <v>0</v>
      </c>
      <c r="AM6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6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65" s="34">
        <f>IFERROR(IF(CADO_EMPREGOS_2022[[#This Row],[ALTURA DE RECUPERAÇÃO (FT)]]&lt;VLOOKUP(CADO_EMPREGOS_2022[[#This Row],[MODALIDADE]],Dados!$R$3:$AB$16,10,FALSE),1,0),"")</f>
        <v>0</v>
      </c>
      <c r="AP6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6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65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7</v>
      </c>
      <c r="AS65" s="34" cm="1">
        <f t="array" ref="AS6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65" s="34" t="s">
        <v>174</v>
      </c>
    </row>
    <row r="66" spans="1:46" x14ac:dyDescent="0.25">
      <c r="A66" s="35">
        <v>44695</v>
      </c>
      <c r="B66" s="36">
        <v>0.6875</v>
      </c>
      <c r="C66" s="34" t="s">
        <v>183</v>
      </c>
      <c r="D66" s="34" t="s">
        <v>106</v>
      </c>
      <c r="E66" s="34">
        <v>5921</v>
      </c>
      <c r="F66" s="34" t="s">
        <v>133</v>
      </c>
      <c r="G66" s="34">
        <v>4</v>
      </c>
      <c r="H66" s="34" t="s">
        <v>158</v>
      </c>
      <c r="I66" s="34" t="s">
        <v>175</v>
      </c>
      <c r="J66" s="34" t="s">
        <v>176</v>
      </c>
      <c r="K66" s="34">
        <v>1</v>
      </c>
      <c r="L66" s="34" t="s">
        <v>149</v>
      </c>
      <c r="M66" s="34" t="s">
        <v>163</v>
      </c>
      <c r="N66" s="34" t="s">
        <v>179</v>
      </c>
      <c r="O66" s="34" t="s">
        <v>184</v>
      </c>
      <c r="P66" s="34" t="s">
        <v>177</v>
      </c>
      <c r="Q66" s="34" t="s">
        <v>180</v>
      </c>
      <c r="R66" s="37">
        <v>-6</v>
      </c>
      <c r="S66" s="37">
        <v>0</v>
      </c>
      <c r="T66" s="34">
        <v>4.9000000000000004</v>
      </c>
      <c r="U66" s="34">
        <v>1.5</v>
      </c>
      <c r="V66" s="34" t="s">
        <v>145</v>
      </c>
      <c r="W66" s="34" t="s">
        <v>145</v>
      </c>
      <c r="X66" s="34" t="s">
        <v>145</v>
      </c>
      <c r="Y66" s="37">
        <v>-21.6</v>
      </c>
      <c r="Z66" s="34">
        <v>227</v>
      </c>
      <c r="AA66" s="39" t="s">
        <v>145</v>
      </c>
      <c r="AB66" s="34" t="s">
        <v>145</v>
      </c>
      <c r="AC66" s="34">
        <v>1690</v>
      </c>
      <c r="AD66" s="34">
        <v>1300</v>
      </c>
      <c r="AE66" s="34">
        <v>315</v>
      </c>
      <c r="AF66" s="34">
        <v>314</v>
      </c>
      <c r="AG66" s="34">
        <v>6</v>
      </c>
      <c r="AH66" s="34">
        <f>IF(CADO_EMPREGOS_2022[[#This Row],[ABORTIVA]]="METEORO","",IF(COUNTA(CADO_EMPREGOS_2022[[#This Row],[TRANSGRESSÕES]])&gt;0,0,CADO_EMPREGOS_2022[[#This Row],[NOTA COM PENALIDADES (FOULS)]]))</f>
        <v>9.51</v>
      </c>
      <c r="AI66" s="34"/>
      <c r="AJ66" s="34">
        <f>IFERROR(IF(CADO_EMPREGOS_2022[[#This Row],[NOTA SEM FOULS]]=0,0,IF(COUNTIF(CADO_EMPREGOS_2022[[#This Row],[FOUL TVB]:[FOUL DE EIXO]],1)&gt;0,0,CADO_EMPREGOS_2022[[#This Row],[NOTA SEM FOULS]])),"")</f>
        <v>9.51</v>
      </c>
      <c r="AK66" s="34">
        <f>IF(CADO_EMPREGOS_2022[[#This Row],[MODALIDADE]]="TT",CADO_EMPREGOS_2022[[#This Row],[NOTA ACERTOS]],IF(COUNTA(CADO_EMPREGOS_2022[[#This Row],[MODALIDADE]])=0,"",CADO_EMPREGOS_2022[[#This Row],[NOTA DISTÂNCIA]]))</f>
        <v>9.51</v>
      </c>
      <c r="AL66" s="34">
        <f>IF(AND(CADO_EMPREGOS_2022[[#This Row],[MODALIDADE]]="BRB",CADO_EMPREGOS_2022[[#This Row],[TVB]]&lt;=3),1,0)</f>
        <v>0</v>
      </c>
      <c r="AM6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6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66" s="34">
        <f>IFERROR(IF(CADO_EMPREGOS_2022[[#This Row],[ALTURA DE RECUPERAÇÃO (FT)]]&lt;VLOOKUP(CADO_EMPREGOS_2022[[#This Row],[MODALIDADE]],Dados!$R$3:$AB$16,10,FALSE),1,0),"")</f>
        <v>0</v>
      </c>
      <c r="AP6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6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6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66" s="34" cm="1">
        <f t="array" ref="AS6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9.51</v>
      </c>
      <c r="AT66" s="34" t="s">
        <v>174</v>
      </c>
    </row>
    <row r="67" spans="1:46" x14ac:dyDescent="0.25">
      <c r="A67" s="35">
        <v>44695</v>
      </c>
      <c r="B67" s="36">
        <v>0.6875</v>
      </c>
      <c r="C67" s="34" t="s">
        <v>183</v>
      </c>
      <c r="D67" s="34" t="s">
        <v>106</v>
      </c>
      <c r="E67" s="34">
        <v>5921</v>
      </c>
      <c r="F67" s="34" t="s">
        <v>133</v>
      </c>
      <c r="G67" s="34">
        <v>4</v>
      </c>
      <c r="H67" s="34" t="s">
        <v>158</v>
      </c>
      <c r="I67" s="34" t="s">
        <v>175</v>
      </c>
      <c r="J67" s="34" t="s">
        <v>176</v>
      </c>
      <c r="K67" s="34">
        <v>1</v>
      </c>
      <c r="L67" s="34" t="s">
        <v>149</v>
      </c>
      <c r="M67" s="34" t="s">
        <v>163</v>
      </c>
      <c r="N67" s="34" t="s">
        <v>179</v>
      </c>
      <c r="O67" s="34" t="s">
        <v>184</v>
      </c>
      <c r="P67" s="34" t="s">
        <v>177</v>
      </c>
      <c r="Q67" s="34" t="s">
        <v>180</v>
      </c>
      <c r="R67" s="37">
        <v>1</v>
      </c>
      <c r="S67" s="37">
        <v>7</v>
      </c>
      <c r="T67" s="34">
        <v>5.7</v>
      </c>
      <c r="U67" s="34">
        <v>4.2</v>
      </c>
      <c r="V67" s="34" t="s">
        <v>145</v>
      </c>
      <c r="W67" s="34" t="s">
        <v>145</v>
      </c>
      <c r="X67" s="34" t="s">
        <v>145</v>
      </c>
      <c r="Y67" s="37">
        <v>-15.2</v>
      </c>
      <c r="Z67" s="34">
        <v>234</v>
      </c>
      <c r="AA67" s="39" t="s">
        <v>145</v>
      </c>
      <c r="AB67" s="34" t="s">
        <v>145</v>
      </c>
      <c r="AC67" s="34">
        <v>1730</v>
      </c>
      <c r="AD67" s="34">
        <v>1300</v>
      </c>
      <c r="AE67" s="34">
        <v>135</v>
      </c>
      <c r="AF67" s="34">
        <v>139</v>
      </c>
      <c r="AG67" s="34">
        <v>7</v>
      </c>
      <c r="AH67" s="34">
        <f>IF(CADO_EMPREGOS_2022[[#This Row],[ABORTIVA]]="METEORO","",IF(COUNTA(CADO_EMPREGOS_2022[[#This Row],[TRANSGRESSÕES]])&gt;0,0,CADO_EMPREGOS_2022[[#This Row],[NOTA COM PENALIDADES (FOULS)]]))</f>
        <v>9.43</v>
      </c>
      <c r="AI67" s="34"/>
      <c r="AJ67" s="34">
        <f>IFERROR(IF(CADO_EMPREGOS_2022[[#This Row],[NOTA SEM FOULS]]=0,0,IF(COUNTIF(CADO_EMPREGOS_2022[[#This Row],[FOUL TVB]:[FOUL DE EIXO]],1)&gt;0,0,CADO_EMPREGOS_2022[[#This Row],[NOTA SEM FOULS]])),"")</f>
        <v>9.43</v>
      </c>
      <c r="AK67" s="34">
        <f>IF(CADO_EMPREGOS_2022[[#This Row],[MODALIDADE]]="TT",CADO_EMPREGOS_2022[[#This Row],[NOTA ACERTOS]],IF(COUNTA(CADO_EMPREGOS_2022[[#This Row],[MODALIDADE]])=0,"",CADO_EMPREGOS_2022[[#This Row],[NOTA DISTÂNCIA]]))</f>
        <v>9.43</v>
      </c>
      <c r="AL67" s="34">
        <f>IF(AND(CADO_EMPREGOS_2022[[#This Row],[MODALIDADE]]="BRB",CADO_EMPREGOS_2022[[#This Row],[TVB]]&lt;=3),1,0)</f>
        <v>0</v>
      </c>
      <c r="AM6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6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67" s="34">
        <f>IFERROR(IF(CADO_EMPREGOS_2022[[#This Row],[ALTURA DE RECUPERAÇÃO (FT)]]&lt;VLOOKUP(CADO_EMPREGOS_2022[[#This Row],[MODALIDADE]],Dados!$R$3:$AB$16,10,FALSE),1,0),"")</f>
        <v>0</v>
      </c>
      <c r="AP6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6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6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67" s="34" cm="1">
        <f t="array" ref="AS6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9.43</v>
      </c>
      <c r="AT67" s="34" t="s">
        <v>174</v>
      </c>
    </row>
    <row r="68" spans="1:46" x14ac:dyDescent="0.25">
      <c r="A68" s="35">
        <v>44698</v>
      </c>
      <c r="B68" s="36">
        <v>0.57638888888888895</v>
      </c>
      <c r="C68" s="34" t="s">
        <v>183</v>
      </c>
      <c r="D68" s="34" t="s">
        <v>106</v>
      </c>
      <c r="E68" s="34">
        <v>5959</v>
      </c>
      <c r="F68" s="34" t="s">
        <v>134</v>
      </c>
      <c r="G68" s="34">
        <v>2</v>
      </c>
      <c r="H68" s="34" t="s">
        <v>158</v>
      </c>
      <c r="I68" s="34" t="s">
        <v>175</v>
      </c>
      <c r="J68" s="34" t="s">
        <v>176</v>
      </c>
      <c r="K68" s="34">
        <v>1</v>
      </c>
      <c r="L68" s="34" t="s">
        <v>149</v>
      </c>
      <c r="M68" s="34" t="s">
        <v>163</v>
      </c>
      <c r="N68" s="34" t="s">
        <v>179</v>
      </c>
      <c r="O68" s="34" t="s">
        <v>184</v>
      </c>
      <c r="P68" s="34" t="s">
        <v>177</v>
      </c>
      <c r="Q68" s="34" t="s">
        <v>180</v>
      </c>
      <c r="R68" s="37">
        <v>10</v>
      </c>
      <c r="S68" s="37">
        <v>1</v>
      </c>
      <c r="T68" s="34">
        <v>8.1999999999999993</v>
      </c>
      <c r="U68" s="34">
        <v>7.7</v>
      </c>
      <c r="V68" s="34" t="s">
        <v>145</v>
      </c>
      <c r="W68" s="34" t="s">
        <v>145</v>
      </c>
      <c r="X68" s="34" t="s">
        <v>145</v>
      </c>
      <c r="Y68" s="37">
        <v>-17.5</v>
      </c>
      <c r="Z68" s="34">
        <v>245</v>
      </c>
      <c r="AA68" s="39" t="s">
        <v>145</v>
      </c>
      <c r="AB68" s="34" t="s">
        <v>145</v>
      </c>
      <c r="AC68" s="34">
        <v>1460</v>
      </c>
      <c r="AD68" s="34">
        <v>1300</v>
      </c>
      <c r="AE68" s="34">
        <v>315</v>
      </c>
      <c r="AF68" s="34">
        <v>311</v>
      </c>
      <c r="AG68" s="34">
        <v>5</v>
      </c>
      <c r="AH68" s="34">
        <f>IF(CADO_EMPREGOS_2022[[#This Row],[ABORTIVA]]="METEORO","",IF(COUNTA(CADO_EMPREGOS_2022[[#This Row],[TRANSGRESSÕES]])&gt;0,0,CADO_EMPREGOS_2022[[#This Row],[NOTA COM PENALIDADES (FOULS)]]))</f>
        <v>9.18</v>
      </c>
      <c r="AI68" s="34"/>
      <c r="AJ68" s="34">
        <f>IFERROR(IF(CADO_EMPREGOS_2022[[#This Row],[NOTA SEM FOULS]]=0,0,IF(COUNTIF(CADO_EMPREGOS_2022[[#This Row],[FOUL TVB]:[FOUL DE EIXO]],1)&gt;0,0,CADO_EMPREGOS_2022[[#This Row],[NOTA SEM FOULS]])),"")</f>
        <v>9.18</v>
      </c>
      <c r="AK68" s="34">
        <f>IF(CADO_EMPREGOS_2022[[#This Row],[MODALIDADE]]="TT",CADO_EMPREGOS_2022[[#This Row],[NOTA ACERTOS]],IF(COUNTA(CADO_EMPREGOS_2022[[#This Row],[MODALIDADE]])=0,"",CADO_EMPREGOS_2022[[#This Row],[NOTA DISTÂNCIA]]))</f>
        <v>9.18</v>
      </c>
      <c r="AL68" s="34">
        <f>IF(AND(CADO_EMPREGOS_2022[[#This Row],[MODALIDADE]]="BRB",CADO_EMPREGOS_2022[[#This Row],[TVB]]&lt;=3),1,0)</f>
        <v>0</v>
      </c>
      <c r="AM6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6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68" s="34">
        <f>IFERROR(IF(CADO_EMPREGOS_2022[[#This Row],[ALTURA DE RECUPERAÇÃO (FT)]]&lt;VLOOKUP(CADO_EMPREGOS_2022[[#This Row],[MODALIDADE]],Dados!$R$3:$AB$16,10,FALSE),1,0),"")</f>
        <v>0</v>
      </c>
      <c r="AP6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6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68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68" s="34" cm="1">
        <f t="array" ref="AS6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9.18</v>
      </c>
      <c r="AT68" s="34" t="s">
        <v>174</v>
      </c>
    </row>
    <row r="69" spans="1:46" x14ac:dyDescent="0.25">
      <c r="A69" s="35">
        <v>44698</v>
      </c>
      <c r="B69" s="36">
        <v>0.57638888888888895</v>
      </c>
      <c r="C69" s="34" t="s">
        <v>183</v>
      </c>
      <c r="D69" s="34" t="s">
        <v>106</v>
      </c>
      <c r="E69" s="34">
        <v>5959</v>
      </c>
      <c r="F69" s="34" t="s">
        <v>134</v>
      </c>
      <c r="G69" s="34">
        <v>2</v>
      </c>
      <c r="H69" s="34" t="s">
        <v>158</v>
      </c>
      <c r="I69" s="34" t="s">
        <v>175</v>
      </c>
      <c r="J69" s="34" t="s">
        <v>176</v>
      </c>
      <c r="K69" s="34">
        <v>1</v>
      </c>
      <c r="L69" s="34" t="s">
        <v>149</v>
      </c>
      <c r="M69" s="34" t="s">
        <v>163</v>
      </c>
      <c r="N69" s="34" t="s">
        <v>179</v>
      </c>
      <c r="O69" s="34" t="s">
        <v>184</v>
      </c>
      <c r="P69" s="34" t="s">
        <v>177</v>
      </c>
      <c r="Q69" s="34" t="s">
        <v>180</v>
      </c>
      <c r="R69" s="37">
        <v>-10</v>
      </c>
      <c r="S69" s="37">
        <v>-6</v>
      </c>
      <c r="T69" s="34">
        <v>9.6</v>
      </c>
      <c r="U69" s="34">
        <v>8.5</v>
      </c>
      <c r="V69" s="34" t="s">
        <v>145</v>
      </c>
      <c r="W69" s="34" t="s">
        <v>145</v>
      </c>
      <c r="X69" s="34" t="s">
        <v>145</v>
      </c>
      <c r="Y69" s="37">
        <v>-19.5</v>
      </c>
      <c r="Z69" s="34">
        <v>253</v>
      </c>
      <c r="AA69" s="39" t="s">
        <v>145</v>
      </c>
      <c r="AB69" s="34" t="s">
        <v>145</v>
      </c>
      <c r="AC69" s="34">
        <v>1740</v>
      </c>
      <c r="AD69" s="34">
        <v>1300</v>
      </c>
      <c r="AE69" s="34">
        <v>135</v>
      </c>
      <c r="AF69" s="34">
        <v>136</v>
      </c>
      <c r="AG69" s="34">
        <v>6</v>
      </c>
      <c r="AH69" s="34">
        <f>IF(CADO_EMPREGOS_2022[[#This Row],[ABORTIVA]]="METEORO","",IF(COUNTA(CADO_EMPREGOS_2022[[#This Row],[TRANSGRESSÕES]])&gt;0,0,CADO_EMPREGOS_2022[[#This Row],[NOTA COM PENALIDADES (FOULS)]]))</f>
        <v>9.0399999999999991</v>
      </c>
      <c r="AI69" s="34"/>
      <c r="AJ69" s="34">
        <f>IFERROR(IF(CADO_EMPREGOS_2022[[#This Row],[NOTA SEM FOULS]]=0,0,IF(COUNTIF(CADO_EMPREGOS_2022[[#This Row],[FOUL TVB]:[FOUL DE EIXO]],1)&gt;0,0,CADO_EMPREGOS_2022[[#This Row],[NOTA SEM FOULS]])),"")</f>
        <v>9.0399999999999991</v>
      </c>
      <c r="AK69" s="34">
        <f>IF(CADO_EMPREGOS_2022[[#This Row],[MODALIDADE]]="TT",CADO_EMPREGOS_2022[[#This Row],[NOTA ACERTOS]],IF(COUNTA(CADO_EMPREGOS_2022[[#This Row],[MODALIDADE]])=0,"",CADO_EMPREGOS_2022[[#This Row],[NOTA DISTÂNCIA]]))</f>
        <v>9.0399999999999991</v>
      </c>
      <c r="AL69" s="34">
        <f>IF(AND(CADO_EMPREGOS_2022[[#This Row],[MODALIDADE]]="BRB",CADO_EMPREGOS_2022[[#This Row],[TVB]]&lt;=3),1,0)</f>
        <v>0</v>
      </c>
      <c r="AM6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6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69" s="34">
        <f>IFERROR(IF(CADO_EMPREGOS_2022[[#This Row],[ALTURA DE RECUPERAÇÃO (FT)]]&lt;VLOOKUP(CADO_EMPREGOS_2022[[#This Row],[MODALIDADE]],Dados!$R$3:$AB$16,10,FALSE),1,0),"")</f>
        <v>0</v>
      </c>
      <c r="AP6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6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69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69" s="34" cm="1">
        <f t="array" ref="AS6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9.0399999999999991</v>
      </c>
      <c r="AT69" s="34" t="s">
        <v>174</v>
      </c>
    </row>
    <row r="70" spans="1:46" x14ac:dyDescent="0.25">
      <c r="A70" s="35">
        <v>44695</v>
      </c>
      <c r="B70" s="36">
        <v>0.6875</v>
      </c>
      <c r="C70" s="34" t="s">
        <v>183</v>
      </c>
      <c r="D70" s="34" t="s">
        <v>106</v>
      </c>
      <c r="E70" s="34">
        <v>5921</v>
      </c>
      <c r="F70" s="34" t="s">
        <v>133</v>
      </c>
      <c r="G70" s="34">
        <v>4</v>
      </c>
      <c r="H70" s="34" t="s">
        <v>25</v>
      </c>
      <c r="I70" s="34" t="s">
        <v>175</v>
      </c>
      <c r="J70" s="34" t="s">
        <v>169</v>
      </c>
      <c r="K70" s="34">
        <v>1</v>
      </c>
      <c r="L70" s="34" t="s">
        <v>149</v>
      </c>
      <c r="M70" s="34" t="s">
        <v>163</v>
      </c>
      <c r="N70" s="34" t="s">
        <v>179</v>
      </c>
      <c r="O70" s="34" t="s">
        <v>184</v>
      </c>
      <c r="P70" s="34" t="s">
        <v>172</v>
      </c>
      <c r="Q70" s="34" t="s">
        <v>145</v>
      </c>
      <c r="R70" s="37" t="s">
        <v>145</v>
      </c>
      <c r="S70" s="37" t="s">
        <v>145</v>
      </c>
      <c r="T70" s="34" t="s">
        <v>145</v>
      </c>
      <c r="U70" s="34" t="s">
        <v>145</v>
      </c>
      <c r="V70" s="34">
        <v>30</v>
      </c>
      <c r="W70" s="34">
        <v>2</v>
      </c>
      <c r="X70" s="34">
        <v>0.13</v>
      </c>
      <c r="Y70" s="37">
        <v>-16.399999999999999</v>
      </c>
      <c r="Z70" s="34">
        <v>240</v>
      </c>
      <c r="AA70" s="39">
        <v>722</v>
      </c>
      <c r="AB70" s="34">
        <v>509</v>
      </c>
      <c r="AC70" s="34">
        <v>300</v>
      </c>
      <c r="AD70" s="34">
        <v>200</v>
      </c>
      <c r="AE70" s="34">
        <v>135</v>
      </c>
      <c r="AF70" s="34">
        <v>137</v>
      </c>
      <c r="AG70" s="34" t="s">
        <v>145</v>
      </c>
      <c r="AH70" s="34">
        <f>IF(CADO_EMPREGOS_2022[[#This Row],[ABORTIVA]]="METEORO","",IF(COUNTA(CADO_EMPREGOS_2022[[#This Row],[TRANSGRESSÕES]])&gt;0,0,CADO_EMPREGOS_2022[[#This Row],[NOTA COM PENALIDADES (FOULS)]]))</f>
        <v>0.66666666666666663</v>
      </c>
      <c r="AI70" s="34"/>
      <c r="AJ70" s="34">
        <f>IFERROR(IF(CADO_EMPREGOS_2022[[#This Row],[NOTA SEM FOULS]]=0,0,IF(COUNTIF(CADO_EMPREGOS_2022[[#This Row],[FOUL TVB]:[FOUL DE EIXO]],1)&gt;0,0,CADO_EMPREGOS_2022[[#This Row],[NOTA SEM FOULS]])),"")</f>
        <v>0.66666666666666663</v>
      </c>
      <c r="AK70" s="34">
        <f>IF(CADO_EMPREGOS_2022[[#This Row],[MODALIDADE]]="TT",CADO_EMPREGOS_2022[[#This Row],[NOTA ACERTOS]],IF(COUNTA(CADO_EMPREGOS_2022[[#This Row],[MODALIDADE]])=0,"",CADO_EMPREGOS_2022[[#This Row],[NOTA DISTÂNCIA]]))</f>
        <v>0.66666666666666663</v>
      </c>
      <c r="AL70" s="34">
        <f>IF(AND(CADO_EMPREGOS_2022[[#This Row],[MODALIDADE]]="BRB",CADO_EMPREGOS_2022[[#This Row],[TVB]]&lt;=3),1,0)</f>
        <v>0</v>
      </c>
      <c r="AM7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7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70" s="34">
        <f>IFERROR(IF(CADO_EMPREGOS_2022[[#This Row],[ALTURA DE RECUPERAÇÃO (FT)]]&lt;VLOOKUP(CADO_EMPREGOS_2022[[#This Row],[MODALIDADE]],Dados!$R$3:$AB$16,10,FALSE),1,0),"")</f>
        <v>0</v>
      </c>
      <c r="AP7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7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70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0.66666666666666663</v>
      </c>
      <c r="AS70" s="34" cm="1">
        <f t="array" ref="AS7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70" s="34" t="s">
        <v>189</v>
      </c>
    </row>
    <row r="71" spans="1:46" x14ac:dyDescent="0.25">
      <c r="A71" s="35">
        <v>44698</v>
      </c>
      <c r="B71" s="36">
        <v>0.57638888888888895</v>
      </c>
      <c r="C71" s="34" t="s">
        <v>183</v>
      </c>
      <c r="D71" s="34" t="s">
        <v>106</v>
      </c>
      <c r="E71" s="34">
        <v>5959</v>
      </c>
      <c r="F71" s="34" t="s">
        <v>134</v>
      </c>
      <c r="G71" s="34">
        <v>2</v>
      </c>
      <c r="H71" s="34" t="s">
        <v>25</v>
      </c>
      <c r="I71" s="34" t="s">
        <v>175</v>
      </c>
      <c r="J71" s="34" t="s">
        <v>169</v>
      </c>
      <c r="K71" s="34">
        <v>1</v>
      </c>
      <c r="L71" s="34" t="s">
        <v>149</v>
      </c>
      <c r="M71" s="34" t="s">
        <v>163</v>
      </c>
      <c r="N71" s="34" t="s">
        <v>179</v>
      </c>
      <c r="O71" s="34" t="s">
        <v>184</v>
      </c>
      <c r="P71" s="34" t="s">
        <v>172</v>
      </c>
      <c r="Q71" s="34" t="s">
        <v>145</v>
      </c>
      <c r="R71" s="37" t="s">
        <v>145</v>
      </c>
      <c r="S71" s="37" t="s">
        <v>145</v>
      </c>
      <c r="T71" s="34" t="s">
        <v>145</v>
      </c>
      <c r="U71" s="34" t="s">
        <v>145</v>
      </c>
      <c r="V71" s="34">
        <v>30</v>
      </c>
      <c r="W71" s="34">
        <v>17</v>
      </c>
      <c r="X71" s="34">
        <v>0.56999999999999995</v>
      </c>
      <c r="Y71" s="37">
        <v>-17.3</v>
      </c>
      <c r="Z71" s="34">
        <v>239</v>
      </c>
      <c r="AA71" s="39">
        <v>841</v>
      </c>
      <c r="AB71" s="34">
        <v>686</v>
      </c>
      <c r="AC71" s="34">
        <v>380</v>
      </c>
      <c r="AD71" s="34">
        <v>200</v>
      </c>
      <c r="AE71" s="34">
        <v>135</v>
      </c>
      <c r="AF71" s="34">
        <v>137</v>
      </c>
      <c r="AG71" s="34" t="s">
        <v>145</v>
      </c>
      <c r="AH71" s="34">
        <f>IF(CADO_EMPREGOS_2022[[#This Row],[ABORTIVA]]="METEORO","",IF(COUNTA(CADO_EMPREGOS_2022[[#This Row],[TRANSGRESSÕES]])&gt;0,0,CADO_EMPREGOS_2022[[#This Row],[NOTA COM PENALIDADES (FOULS)]]))</f>
        <v>5.6666666666666661</v>
      </c>
      <c r="AI71" s="34"/>
      <c r="AJ71" s="34">
        <f>IFERROR(IF(CADO_EMPREGOS_2022[[#This Row],[NOTA SEM FOULS]]=0,0,IF(COUNTIF(CADO_EMPREGOS_2022[[#This Row],[FOUL TVB]:[FOUL DE EIXO]],1)&gt;0,0,CADO_EMPREGOS_2022[[#This Row],[NOTA SEM FOULS]])),"")</f>
        <v>5.6666666666666661</v>
      </c>
      <c r="AK71" s="34">
        <f>IF(CADO_EMPREGOS_2022[[#This Row],[MODALIDADE]]="TT",CADO_EMPREGOS_2022[[#This Row],[NOTA ACERTOS]],IF(COUNTA(CADO_EMPREGOS_2022[[#This Row],[MODALIDADE]])=0,"",CADO_EMPREGOS_2022[[#This Row],[NOTA DISTÂNCIA]]))</f>
        <v>5.6666666666666661</v>
      </c>
      <c r="AL71" s="34">
        <f>IF(AND(CADO_EMPREGOS_2022[[#This Row],[MODALIDADE]]="BRB",CADO_EMPREGOS_2022[[#This Row],[TVB]]&lt;=3),1,0)</f>
        <v>0</v>
      </c>
      <c r="AM7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7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71" s="34">
        <f>IFERROR(IF(CADO_EMPREGOS_2022[[#This Row],[ALTURA DE RECUPERAÇÃO (FT)]]&lt;VLOOKUP(CADO_EMPREGOS_2022[[#This Row],[MODALIDADE]],Dados!$R$3:$AB$16,10,FALSE),1,0),"")</f>
        <v>0</v>
      </c>
      <c r="AP7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7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71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5.6666666666666661</v>
      </c>
      <c r="AS71" s="34" cm="1">
        <f t="array" ref="AS7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71" s="34" t="s">
        <v>174</v>
      </c>
    </row>
    <row r="72" spans="1:46" x14ac:dyDescent="0.25">
      <c r="A72" s="35">
        <v>44698</v>
      </c>
      <c r="B72" s="36">
        <v>0.47222222222222227</v>
      </c>
      <c r="C72" s="34" t="s">
        <v>183</v>
      </c>
      <c r="D72" s="34" t="s">
        <v>110</v>
      </c>
      <c r="E72" s="34">
        <v>5920</v>
      </c>
      <c r="F72" s="34" t="s">
        <v>100</v>
      </c>
      <c r="G72" s="34">
        <v>2</v>
      </c>
      <c r="H72" s="34" t="s">
        <v>158</v>
      </c>
      <c r="I72" s="34" t="s">
        <v>175</v>
      </c>
      <c r="J72" s="34" t="s">
        <v>176</v>
      </c>
      <c r="K72" s="34">
        <v>1</v>
      </c>
      <c r="L72" s="34" t="s">
        <v>149</v>
      </c>
      <c r="M72" s="34" t="s">
        <v>163</v>
      </c>
      <c r="N72" s="34" t="s">
        <v>179</v>
      </c>
      <c r="O72" s="34" t="s">
        <v>184</v>
      </c>
      <c r="P72" s="34" t="s">
        <v>177</v>
      </c>
      <c r="Q72" s="34" t="s">
        <v>180</v>
      </c>
      <c r="R72" s="37">
        <v>-11</v>
      </c>
      <c r="S72" s="37">
        <v>25</v>
      </c>
      <c r="T72" s="34">
        <v>21.5</v>
      </c>
      <c r="U72" s="34">
        <v>11.3</v>
      </c>
      <c r="V72" s="34" t="s">
        <v>145</v>
      </c>
      <c r="W72" s="34" t="s">
        <v>145</v>
      </c>
      <c r="X72" s="34" t="s">
        <v>145</v>
      </c>
      <c r="Y72" s="37">
        <v>-21.6</v>
      </c>
      <c r="Z72" s="34">
        <v>224</v>
      </c>
      <c r="AA72" s="39" t="s">
        <v>145</v>
      </c>
      <c r="AB72" s="34" t="s">
        <v>145</v>
      </c>
      <c r="AC72" s="34">
        <v>1970</v>
      </c>
      <c r="AD72" s="34">
        <v>1300</v>
      </c>
      <c r="AE72" s="34">
        <v>315</v>
      </c>
      <c r="AF72" s="34">
        <v>310</v>
      </c>
      <c r="AG72" s="34">
        <v>7</v>
      </c>
      <c r="AH72" s="34">
        <f>IF(CADO_EMPREGOS_2022[[#This Row],[ABORTIVA]]="METEORO","",IF(COUNTA(CADO_EMPREGOS_2022[[#This Row],[TRANSGRESSÕES]])&gt;0,0,CADO_EMPREGOS_2022[[#This Row],[NOTA COM PENALIDADES (FOULS)]]))</f>
        <v>0</v>
      </c>
      <c r="AI72" s="34"/>
      <c r="AJ72" s="34">
        <f>IFERROR(IF(CADO_EMPREGOS_2022[[#This Row],[NOTA SEM FOULS]]=0,0,IF(COUNTIF(CADO_EMPREGOS_2022[[#This Row],[FOUL TVB]:[FOUL DE EIXO]],1)&gt;0,0,CADO_EMPREGOS_2022[[#This Row],[NOTA SEM FOULS]])),"")</f>
        <v>0</v>
      </c>
      <c r="AK72" s="34">
        <f>IF(CADO_EMPREGOS_2022[[#This Row],[MODALIDADE]]="TT",CADO_EMPREGOS_2022[[#This Row],[NOTA ACERTOS]],IF(COUNTA(CADO_EMPREGOS_2022[[#This Row],[MODALIDADE]])=0,"",CADO_EMPREGOS_2022[[#This Row],[NOTA DISTÂNCIA]]))</f>
        <v>7.85</v>
      </c>
      <c r="AL72" s="34">
        <f>IF(AND(CADO_EMPREGOS_2022[[#This Row],[MODALIDADE]]="BRB",CADO_EMPREGOS_2022[[#This Row],[TVB]]&lt;=3),1,0)</f>
        <v>0</v>
      </c>
      <c r="AM7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7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1</v>
      </c>
      <c r="AO72" s="34">
        <f>IFERROR(IF(CADO_EMPREGOS_2022[[#This Row],[ALTURA DE RECUPERAÇÃO (FT)]]&lt;VLOOKUP(CADO_EMPREGOS_2022[[#This Row],[MODALIDADE]],Dados!$R$3:$AB$16,10,FALSE),1,0),"")</f>
        <v>0</v>
      </c>
      <c r="AP7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7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72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72" s="34" cm="1">
        <f t="array" ref="AS7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7.85</v>
      </c>
      <c r="AT72" s="34" t="s">
        <v>174</v>
      </c>
    </row>
    <row r="73" spans="1:46" x14ac:dyDescent="0.25">
      <c r="A73" s="35">
        <v>44698</v>
      </c>
      <c r="B73" s="36">
        <v>0.47222222222222227</v>
      </c>
      <c r="C73" s="34" t="s">
        <v>183</v>
      </c>
      <c r="D73" s="34" t="s">
        <v>110</v>
      </c>
      <c r="E73" s="34">
        <v>5920</v>
      </c>
      <c r="F73" s="34" t="s">
        <v>100</v>
      </c>
      <c r="G73" s="34">
        <v>2</v>
      </c>
      <c r="H73" s="34" t="s">
        <v>158</v>
      </c>
      <c r="I73" s="34" t="s">
        <v>175</v>
      </c>
      <c r="J73" s="34" t="s">
        <v>176</v>
      </c>
      <c r="K73" s="34">
        <v>1</v>
      </c>
      <c r="L73" s="34" t="s">
        <v>149</v>
      </c>
      <c r="M73" s="34" t="s">
        <v>163</v>
      </c>
      <c r="N73" s="34" t="s">
        <v>179</v>
      </c>
      <c r="O73" s="34" t="s">
        <v>184</v>
      </c>
      <c r="P73" s="34" t="s">
        <v>177</v>
      </c>
      <c r="Q73" s="34" t="s">
        <v>180</v>
      </c>
      <c r="R73" s="37">
        <v>-7</v>
      </c>
      <c r="S73" s="37">
        <v>20</v>
      </c>
      <c r="T73" s="34">
        <v>16.8</v>
      </c>
      <c r="U73" s="34">
        <v>11.1</v>
      </c>
      <c r="V73" s="34" t="s">
        <v>145</v>
      </c>
      <c r="W73" s="34" t="s">
        <v>145</v>
      </c>
      <c r="X73" s="34" t="s">
        <v>145</v>
      </c>
      <c r="Y73" s="37">
        <v>-22.3</v>
      </c>
      <c r="Z73" s="34">
        <v>232</v>
      </c>
      <c r="AA73" s="39" t="s">
        <v>145</v>
      </c>
      <c r="AB73" s="34" t="s">
        <v>145</v>
      </c>
      <c r="AC73" s="34">
        <v>2170</v>
      </c>
      <c r="AD73" s="34">
        <v>1300</v>
      </c>
      <c r="AE73" s="34">
        <v>315</v>
      </c>
      <c r="AF73" s="34">
        <v>315</v>
      </c>
      <c r="AG73" s="34">
        <v>7</v>
      </c>
      <c r="AH73" s="34">
        <f>IF(CADO_EMPREGOS_2022[[#This Row],[ABORTIVA]]="METEORO","",IF(COUNTA(CADO_EMPREGOS_2022[[#This Row],[TRANSGRESSÕES]])&gt;0,0,CADO_EMPREGOS_2022[[#This Row],[NOTA COM PENALIDADES (FOULS)]]))</f>
        <v>8.32</v>
      </c>
      <c r="AI73" s="34"/>
      <c r="AJ73" s="34">
        <f>IFERROR(IF(CADO_EMPREGOS_2022[[#This Row],[NOTA SEM FOULS]]=0,0,IF(COUNTIF(CADO_EMPREGOS_2022[[#This Row],[FOUL TVB]:[FOUL DE EIXO]],1)&gt;0,0,CADO_EMPREGOS_2022[[#This Row],[NOTA SEM FOULS]])),"")</f>
        <v>8.32</v>
      </c>
      <c r="AK73" s="34">
        <f>IF(CADO_EMPREGOS_2022[[#This Row],[MODALIDADE]]="TT",CADO_EMPREGOS_2022[[#This Row],[NOTA ACERTOS]],IF(COUNTA(CADO_EMPREGOS_2022[[#This Row],[MODALIDADE]])=0,"",CADO_EMPREGOS_2022[[#This Row],[NOTA DISTÂNCIA]]))</f>
        <v>8.32</v>
      </c>
      <c r="AL73" s="34">
        <f>IF(AND(CADO_EMPREGOS_2022[[#This Row],[MODALIDADE]]="BRB",CADO_EMPREGOS_2022[[#This Row],[TVB]]&lt;=3),1,0)</f>
        <v>0</v>
      </c>
      <c r="AM7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7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73" s="34">
        <f>IFERROR(IF(CADO_EMPREGOS_2022[[#This Row],[ALTURA DE RECUPERAÇÃO (FT)]]&lt;VLOOKUP(CADO_EMPREGOS_2022[[#This Row],[MODALIDADE]],Dados!$R$3:$AB$16,10,FALSE),1,0),"")</f>
        <v>0</v>
      </c>
      <c r="AP7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7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73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73" s="34" cm="1">
        <f t="array" ref="AS7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8.32</v>
      </c>
      <c r="AT73" s="34" t="s">
        <v>174</v>
      </c>
    </row>
    <row r="74" spans="1:46" x14ac:dyDescent="0.25">
      <c r="A74" s="35">
        <v>44699</v>
      </c>
      <c r="B74" s="36">
        <v>0.36805555555555558</v>
      </c>
      <c r="C74" s="34" t="s">
        <v>187</v>
      </c>
      <c r="D74" s="34" t="s">
        <v>110</v>
      </c>
      <c r="E74" s="34">
        <v>5921</v>
      </c>
      <c r="F74" s="34" t="s">
        <v>132</v>
      </c>
      <c r="G74" s="34">
        <v>4</v>
      </c>
      <c r="H74" s="34" t="s">
        <v>158</v>
      </c>
      <c r="I74" s="34" t="s">
        <v>175</v>
      </c>
      <c r="J74" s="34" t="s">
        <v>176</v>
      </c>
      <c r="K74" s="34">
        <v>1</v>
      </c>
      <c r="L74" s="34" t="s">
        <v>149</v>
      </c>
      <c r="M74" s="34" t="s">
        <v>163</v>
      </c>
      <c r="N74" s="34" t="s">
        <v>179</v>
      </c>
      <c r="O74" s="34" t="s">
        <v>184</v>
      </c>
      <c r="P74" s="34" t="s">
        <v>177</v>
      </c>
      <c r="Q74" s="34" t="s">
        <v>180</v>
      </c>
      <c r="R74" s="37">
        <v>-2</v>
      </c>
      <c r="S74" s="37">
        <v>2</v>
      </c>
      <c r="T74" s="34">
        <v>2.2000000000000002</v>
      </c>
      <c r="U74" s="34">
        <v>6</v>
      </c>
      <c r="V74" s="34" t="s">
        <v>145</v>
      </c>
      <c r="W74" s="34" t="s">
        <v>145</v>
      </c>
      <c r="X74" s="34" t="s">
        <v>145</v>
      </c>
      <c r="Y74" s="37">
        <v>-20</v>
      </c>
      <c r="Z74" s="34">
        <v>252</v>
      </c>
      <c r="AA74" s="39" t="s">
        <v>145</v>
      </c>
      <c r="AB74" s="34" t="s">
        <v>145</v>
      </c>
      <c r="AC74" s="34">
        <v>1800</v>
      </c>
      <c r="AD74" s="34">
        <v>1300</v>
      </c>
      <c r="AE74" s="34">
        <v>135</v>
      </c>
      <c r="AF74" s="34">
        <v>136</v>
      </c>
      <c r="AG74" s="34">
        <v>6</v>
      </c>
      <c r="AH74" s="34">
        <f>IF(CADO_EMPREGOS_2022[[#This Row],[ABORTIVA]]="METEORO","",IF(COUNTA(CADO_EMPREGOS_2022[[#This Row],[TRANSGRESSÕES]])&gt;0,0,CADO_EMPREGOS_2022[[#This Row],[NOTA COM PENALIDADES (FOULS)]]))</f>
        <v>9.7799999999999994</v>
      </c>
      <c r="AI74" s="34"/>
      <c r="AJ74" s="34">
        <f>IFERROR(IF(CADO_EMPREGOS_2022[[#This Row],[NOTA SEM FOULS]]=0,0,IF(COUNTIF(CADO_EMPREGOS_2022[[#This Row],[FOUL TVB]:[FOUL DE EIXO]],1)&gt;0,0,CADO_EMPREGOS_2022[[#This Row],[NOTA SEM FOULS]])),"")</f>
        <v>9.7799999999999994</v>
      </c>
      <c r="AK74" s="34">
        <f>IF(CADO_EMPREGOS_2022[[#This Row],[MODALIDADE]]="TT",CADO_EMPREGOS_2022[[#This Row],[NOTA ACERTOS]],IF(COUNTA(CADO_EMPREGOS_2022[[#This Row],[MODALIDADE]])=0,"",CADO_EMPREGOS_2022[[#This Row],[NOTA DISTÂNCIA]]))</f>
        <v>9.7799999999999994</v>
      </c>
      <c r="AL74" s="34">
        <f>IF(AND(CADO_EMPREGOS_2022[[#This Row],[MODALIDADE]]="BRB",CADO_EMPREGOS_2022[[#This Row],[TVB]]&lt;=3),1,0)</f>
        <v>0</v>
      </c>
      <c r="AM7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7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74" s="34">
        <f>IFERROR(IF(CADO_EMPREGOS_2022[[#This Row],[ALTURA DE RECUPERAÇÃO (FT)]]&lt;VLOOKUP(CADO_EMPREGOS_2022[[#This Row],[MODALIDADE]],Dados!$R$3:$AB$16,10,FALSE),1,0),"")</f>
        <v>0</v>
      </c>
      <c r="AP7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7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74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74" s="34" cm="1">
        <f t="array" ref="AS7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9.7799999999999994</v>
      </c>
      <c r="AT74" s="34" t="s">
        <v>174</v>
      </c>
    </row>
    <row r="75" spans="1:46" x14ac:dyDescent="0.25">
      <c r="A75" s="35">
        <v>44699</v>
      </c>
      <c r="B75" s="36">
        <v>0.36805555555555558</v>
      </c>
      <c r="C75" s="34" t="s">
        <v>187</v>
      </c>
      <c r="D75" s="34" t="s">
        <v>110</v>
      </c>
      <c r="E75" s="34">
        <v>5921</v>
      </c>
      <c r="F75" s="34" t="s">
        <v>132</v>
      </c>
      <c r="G75" s="34">
        <v>4</v>
      </c>
      <c r="H75" s="34" t="s">
        <v>158</v>
      </c>
      <c r="I75" s="34" t="s">
        <v>175</v>
      </c>
      <c r="J75" s="34" t="s">
        <v>176</v>
      </c>
      <c r="K75" s="34">
        <v>1</v>
      </c>
      <c r="L75" s="34" t="s">
        <v>149</v>
      </c>
      <c r="M75" s="34" t="s">
        <v>163</v>
      </c>
      <c r="N75" s="34" t="s">
        <v>179</v>
      </c>
      <c r="O75" s="34" t="s">
        <v>184</v>
      </c>
      <c r="P75" s="34" t="s">
        <v>177</v>
      </c>
      <c r="Q75" s="34" t="s">
        <v>180</v>
      </c>
      <c r="R75" s="37">
        <v>-5</v>
      </c>
      <c r="S75" s="37">
        <v>-4</v>
      </c>
      <c r="T75" s="34">
        <v>5.3</v>
      </c>
      <c r="U75" s="34">
        <v>2.8</v>
      </c>
      <c r="V75" s="34" t="s">
        <v>145</v>
      </c>
      <c r="W75" s="34" t="s">
        <v>145</v>
      </c>
      <c r="X75" s="34" t="s">
        <v>145</v>
      </c>
      <c r="Y75" s="37">
        <v>-20.5</v>
      </c>
      <c r="Z75" s="34">
        <v>235</v>
      </c>
      <c r="AA75" s="39" t="s">
        <v>145</v>
      </c>
      <c r="AB75" s="34" t="s">
        <v>145</v>
      </c>
      <c r="AC75" s="34">
        <v>1850</v>
      </c>
      <c r="AD75" s="34">
        <v>1300</v>
      </c>
      <c r="AE75" s="34">
        <v>315</v>
      </c>
      <c r="AF75" s="34">
        <v>319</v>
      </c>
      <c r="AG75" s="34">
        <v>6</v>
      </c>
      <c r="AH75" s="34">
        <f>IF(CADO_EMPREGOS_2022[[#This Row],[ABORTIVA]]="METEORO","",IF(COUNTA(CADO_EMPREGOS_2022[[#This Row],[TRANSGRESSÕES]])&gt;0,0,CADO_EMPREGOS_2022[[#This Row],[NOTA COM PENALIDADES (FOULS)]]))</f>
        <v>9.4700000000000006</v>
      </c>
      <c r="AI75" s="34"/>
      <c r="AJ75" s="34">
        <f>IFERROR(IF(CADO_EMPREGOS_2022[[#This Row],[NOTA SEM FOULS]]=0,0,IF(COUNTIF(CADO_EMPREGOS_2022[[#This Row],[FOUL TVB]:[FOUL DE EIXO]],1)&gt;0,0,CADO_EMPREGOS_2022[[#This Row],[NOTA SEM FOULS]])),"")</f>
        <v>9.4700000000000006</v>
      </c>
      <c r="AK75" s="34">
        <f>IF(CADO_EMPREGOS_2022[[#This Row],[MODALIDADE]]="TT",CADO_EMPREGOS_2022[[#This Row],[NOTA ACERTOS]],IF(COUNTA(CADO_EMPREGOS_2022[[#This Row],[MODALIDADE]])=0,"",CADO_EMPREGOS_2022[[#This Row],[NOTA DISTÂNCIA]]))</f>
        <v>9.4700000000000006</v>
      </c>
      <c r="AL75" s="34">
        <f>IF(AND(CADO_EMPREGOS_2022[[#This Row],[MODALIDADE]]="BRB",CADO_EMPREGOS_2022[[#This Row],[TVB]]&lt;=3),1,0)</f>
        <v>0</v>
      </c>
      <c r="AM7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7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75" s="34">
        <f>IFERROR(IF(CADO_EMPREGOS_2022[[#This Row],[ALTURA DE RECUPERAÇÃO (FT)]]&lt;VLOOKUP(CADO_EMPREGOS_2022[[#This Row],[MODALIDADE]],Dados!$R$3:$AB$16,10,FALSE),1,0),"")</f>
        <v>0</v>
      </c>
      <c r="AP7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7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75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75" s="34" cm="1">
        <f t="array" ref="AS7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9.4700000000000006</v>
      </c>
      <c r="AT75" s="34" t="s">
        <v>174</v>
      </c>
    </row>
    <row r="76" spans="1:46" x14ac:dyDescent="0.25">
      <c r="A76" s="35">
        <v>44698</v>
      </c>
      <c r="B76" s="36">
        <v>0.47222222222222227</v>
      </c>
      <c r="C76" s="34" t="s">
        <v>183</v>
      </c>
      <c r="D76" s="34" t="s">
        <v>110</v>
      </c>
      <c r="E76" s="34">
        <v>5920</v>
      </c>
      <c r="F76" s="34" t="s">
        <v>100</v>
      </c>
      <c r="G76" s="34">
        <v>2</v>
      </c>
      <c r="H76" s="34" t="s">
        <v>25</v>
      </c>
      <c r="I76" s="34" t="s">
        <v>175</v>
      </c>
      <c r="J76" s="34" t="s">
        <v>169</v>
      </c>
      <c r="K76" s="34">
        <v>1</v>
      </c>
      <c r="L76" s="34" t="s">
        <v>149</v>
      </c>
      <c r="M76" s="34" t="s">
        <v>163</v>
      </c>
      <c r="N76" s="34" t="s">
        <v>179</v>
      </c>
      <c r="O76" s="34" t="s">
        <v>184</v>
      </c>
      <c r="P76" s="34" t="s">
        <v>172</v>
      </c>
      <c r="Q76" s="34" t="s">
        <v>145</v>
      </c>
      <c r="R76" s="37" t="s">
        <v>145</v>
      </c>
      <c r="S76" s="37" t="s">
        <v>145</v>
      </c>
      <c r="T76" s="34" t="s">
        <v>145</v>
      </c>
      <c r="U76" s="34" t="s">
        <v>145</v>
      </c>
      <c r="V76" s="34">
        <v>30</v>
      </c>
      <c r="W76" s="34">
        <v>28</v>
      </c>
      <c r="X76" s="34">
        <v>0.93</v>
      </c>
      <c r="Y76" s="37">
        <v>-15.2</v>
      </c>
      <c r="Z76" s="34">
        <v>241</v>
      </c>
      <c r="AA76" s="39">
        <v>848</v>
      </c>
      <c r="AB76" s="34">
        <v>670</v>
      </c>
      <c r="AC76" s="34">
        <v>330</v>
      </c>
      <c r="AD76" s="34">
        <v>200</v>
      </c>
      <c r="AE76" s="34">
        <v>135</v>
      </c>
      <c r="AF76" s="34">
        <v>136</v>
      </c>
      <c r="AG76" s="34" t="s">
        <v>145</v>
      </c>
      <c r="AH76" s="34">
        <f>IF(CADO_EMPREGOS_2022[[#This Row],[ABORTIVA]]="METEORO","",IF(COUNTA(CADO_EMPREGOS_2022[[#This Row],[TRANSGRESSÕES]])&gt;0,0,CADO_EMPREGOS_2022[[#This Row],[NOTA COM PENALIDADES (FOULS)]]))</f>
        <v>9.3333333333333339</v>
      </c>
      <c r="AI76" s="34"/>
      <c r="AJ76" s="34">
        <f>IFERROR(IF(CADO_EMPREGOS_2022[[#This Row],[NOTA SEM FOULS]]=0,0,IF(COUNTIF(CADO_EMPREGOS_2022[[#This Row],[FOUL TVB]:[FOUL DE EIXO]],1)&gt;0,0,CADO_EMPREGOS_2022[[#This Row],[NOTA SEM FOULS]])),"")</f>
        <v>9.3333333333333339</v>
      </c>
      <c r="AK76" s="34">
        <f>IF(CADO_EMPREGOS_2022[[#This Row],[MODALIDADE]]="TT",CADO_EMPREGOS_2022[[#This Row],[NOTA ACERTOS]],IF(COUNTA(CADO_EMPREGOS_2022[[#This Row],[MODALIDADE]])=0,"",CADO_EMPREGOS_2022[[#This Row],[NOTA DISTÂNCIA]]))</f>
        <v>9.3333333333333339</v>
      </c>
      <c r="AL76" s="34">
        <f>IF(AND(CADO_EMPREGOS_2022[[#This Row],[MODALIDADE]]="BRB",CADO_EMPREGOS_2022[[#This Row],[TVB]]&lt;=3),1,0)</f>
        <v>0</v>
      </c>
      <c r="AM7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7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76" s="34">
        <f>IFERROR(IF(CADO_EMPREGOS_2022[[#This Row],[ALTURA DE RECUPERAÇÃO (FT)]]&lt;VLOOKUP(CADO_EMPREGOS_2022[[#This Row],[MODALIDADE]],Dados!$R$3:$AB$16,10,FALSE),1,0),"")</f>
        <v>0</v>
      </c>
      <c r="AP7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7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76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9.3333333333333339</v>
      </c>
      <c r="AS76" s="34" cm="1">
        <f t="array" ref="AS7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76" s="34" t="s">
        <v>174</v>
      </c>
    </row>
    <row r="77" spans="1:46" x14ac:dyDescent="0.25">
      <c r="A77" s="35">
        <v>44699</v>
      </c>
      <c r="B77" s="36">
        <v>0.36805555555555558</v>
      </c>
      <c r="C77" s="34" t="s">
        <v>187</v>
      </c>
      <c r="D77" s="34" t="s">
        <v>110</v>
      </c>
      <c r="E77" s="34">
        <v>5921</v>
      </c>
      <c r="F77" s="34" t="s">
        <v>132</v>
      </c>
      <c r="G77" s="34">
        <v>4</v>
      </c>
      <c r="H77" s="34" t="s">
        <v>25</v>
      </c>
      <c r="I77" s="34" t="s">
        <v>175</v>
      </c>
      <c r="J77" s="34" t="s">
        <v>169</v>
      </c>
      <c r="K77" s="34">
        <v>1</v>
      </c>
      <c r="L77" s="34" t="s">
        <v>149</v>
      </c>
      <c r="M77" s="34" t="s">
        <v>163</v>
      </c>
      <c r="N77" s="34" t="s">
        <v>179</v>
      </c>
      <c r="O77" s="34" t="s">
        <v>184</v>
      </c>
      <c r="P77" s="34" t="s">
        <v>172</v>
      </c>
      <c r="Q77" s="34" t="s">
        <v>145</v>
      </c>
      <c r="R77" s="37" t="s">
        <v>145</v>
      </c>
      <c r="S77" s="37" t="s">
        <v>145</v>
      </c>
      <c r="T77" s="34" t="s">
        <v>145</v>
      </c>
      <c r="U77" s="34" t="s">
        <v>145</v>
      </c>
      <c r="V77" s="34">
        <v>15</v>
      </c>
      <c r="W77" s="34">
        <v>15</v>
      </c>
      <c r="X77" s="34">
        <v>1</v>
      </c>
      <c r="Y77" s="37">
        <v>-15.8</v>
      </c>
      <c r="Z77" s="34">
        <v>240</v>
      </c>
      <c r="AA77" s="39">
        <v>707</v>
      </c>
      <c r="AB77" s="34">
        <v>541</v>
      </c>
      <c r="AC77" s="34">
        <v>280</v>
      </c>
      <c r="AD77" s="34">
        <v>200</v>
      </c>
      <c r="AE77" s="34">
        <v>135</v>
      </c>
      <c r="AF77" s="34">
        <v>136</v>
      </c>
      <c r="AG77" s="34" t="s">
        <v>145</v>
      </c>
      <c r="AH77" s="34">
        <f>IF(CADO_EMPREGOS_2022[[#This Row],[ABORTIVA]]="METEORO","",IF(COUNTA(CADO_EMPREGOS_2022[[#This Row],[TRANSGRESSÕES]])&gt;0,0,CADO_EMPREGOS_2022[[#This Row],[NOTA COM PENALIDADES (FOULS)]]))</f>
        <v>5</v>
      </c>
      <c r="AI77" s="34"/>
      <c r="AJ77" s="34">
        <f>IFERROR(IF(CADO_EMPREGOS_2022[[#This Row],[NOTA SEM FOULS]]=0,0,IF(COUNTIF(CADO_EMPREGOS_2022[[#This Row],[FOUL TVB]:[FOUL DE EIXO]],1)&gt;0,0,CADO_EMPREGOS_2022[[#This Row],[NOTA SEM FOULS]])),"")</f>
        <v>5</v>
      </c>
      <c r="AK77" s="34">
        <f>IF(CADO_EMPREGOS_2022[[#This Row],[MODALIDADE]]="TT",CADO_EMPREGOS_2022[[#This Row],[NOTA ACERTOS]],IF(COUNTA(CADO_EMPREGOS_2022[[#This Row],[MODALIDADE]])=0,"",CADO_EMPREGOS_2022[[#This Row],[NOTA DISTÂNCIA]]))</f>
        <v>5</v>
      </c>
      <c r="AL77" s="34">
        <f>IF(AND(CADO_EMPREGOS_2022[[#This Row],[MODALIDADE]]="BRB",CADO_EMPREGOS_2022[[#This Row],[TVB]]&lt;=3),1,0)</f>
        <v>0</v>
      </c>
      <c r="AM7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7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77" s="34">
        <f>IFERROR(IF(CADO_EMPREGOS_2022[[#This Row],[ALTURA DE RECUPERAÇÃO (FT)]]&lt;VLOOKUP(CADO_EMPREGOS_2022[[#This Row],[MODALIDADE]],Dados!$R$3:$AB$16,10,FALSE),1,0),"")</f>
        <v>0</v>
      </c>
      <c r="AP7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7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77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5</v>
      </c>
      <c r="AS77" s="34" cm="1">
        <f t="array" ref="AS7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77" s="34" t="s">
        <v>189</v>
      </c>
    </row>
    <row r="78" spans="1:46" x14ac:dyDescent="0.25">
      <c r="A78" s="35">
        <v>44685</v>
      </c>
      <c r="B78" s="36">
        <v>0.57638888888888895</v>
      </c>
      <c r="C78" s="34" t="s">
        <v>183</v>
      </c>
      <c r="D78" s="34" t="s">
        <v>113</v>
      </c>
      <c r="E78" s="34">
        <v>5921</v>
      </c>
      <c r="F78" s="34" t="s">
        <v>132</v>
      </c>
      <c r="G78" s="34">
        <v>2</v>
      </c>
      <c r="H78" s="34" t="s">
        <v>158</v>
      </c>
      <c r="I78" s="34" t="s">
        <v>175</v>
      </c>
      <c r="J78" s="34" t="s">
        <v>176</v>
      </c>
      <c r="K78" s="34">
        <v>1</v>
      </c>
      <c r="L78" s="34" t="s">
        <v>149</v>
      </c>
      <c r="M78" s="34" t="s">
        <v>163</v>
      </c>
      <c r="N78" s="34" t="s">
        <v>179</v>
      </c>
      <c r="O78" s="34" t="s">
        <v>184</v>
      </c>
      <c r="P78" s="34" t="s">
        <v>177</v>
      </c>
      <c r="Q78" s="34" t="s">
        <v>180</v>
      </c>
      <c r="R78" s="37">
        <v>-7</v>
      </c>
      <c r="S78" s="37">
        <v>10</v>
      </c>
      <c r="T78" s="34">
        <v>9.6</v>
      </c>
      <c r="U78" s="34">
        <v>5.7</v>
      </c>
      <c r="V78" s="34" t="s">
        <v>145</v>
      </c>
      <c r="W78" s="34" t="s">
        <v>145</v>
      </c>
      <c r="X78" s="34" t="s">
        <v>145</v>
      </c>
      <c r="Y78" s="37">
        <v>-21.1</v>
      </c>
      <c r="Z78" s="34">
        <v>229</v>
      </c>
      <c r="AA78" s="39" t="s">
        <v>145</v>
      </c>
      <c r="AB78" s="34" t="s">
        <v>145</v>
      </c>
      <c r="AC78" s="34">
        <v>1730</v>
      </c>
      <c r="AD78" s="34">
        <v>1300</v>
      </c>
      <c r="AE78" s="34">
        <v>315</v>
      </c>
      <c r="AF78" s="34">
        <v>307</v>
      </c>
      <c r="AG78" s="34" t="s">
        <v>145</v>
      </c>
      <c r="AH78" s="34">
        <f>IF(CADO_EMPREGOS_2022[[#This Row],[ABORTIVA]]="METEORO","",IF(COUNTA(CADO_EMPREGOS_2022[[#This Row],[TRANSGRESSÕES]])&gt;0,0,CADO_EMPREGOS_2022[[#This Row],[NOTA COM PENALIDADES (FOULS)]]))</f>
        <v>9.0399999999999991</v>
      </c>
      <c r="AI78" s="34"/>
      <c r="AJ78" s="34">
        <f>IFERROR(IF(CADO_EMPREGOS_2022[[#This Row],[NOTA SEM FOULS]]=0,0,IF(COUNTIF(CADO_EMPREGOS_2022[[#This Row],[FOUL TVB]:[FOUL DE EIXO]],1)&gt;0,0,CADO_EMPREGOS_2022[[#This Row],[NOTA SEM FOULS]])),"")</f>
        <v>9.0399999999999991</v>
      </c>
      <c r="AK78" s="34">
        <f>IF(CADO_EMPREGOS_2022[[#This Row],[MODALIDADE]]="TT",CADO_EMPREGOS_2022[[#This Row],[NOTA ACERTOS]],IF(COUNTA(CADO_EMPREGOS_2022[[#This Row],[MODALIDADE]])=0,"",CADO_EMPREGOS_2022[[#This Row],[NOTA DISTÂNCIA]]))</f>
        <v>9.0399999999999991</v>
      </c>
      <c r="AL78" s="34">
        <f>IF(AND(CADO_EMPREGOS_2022[[#This Row],[MODALIDADE]]="BRB",CADO_EMPREGOS_2022[[#This Row],[TVB]]&lt;=3),1,0)</f>
        <v>0</v>
      </c>
      <c r="AM7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7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78" s="34">
        <f>IFERROR(IF(CADO_EMPREGOS_2022[[#This Row],[ALTURA DE RECUPERAÇÃO (FT)]]&lt;VLOOKUP(CADO_EMPREGOS_2022[[#This Row],[MODALIDADE]],Dados!$R$3:$AB$16,10,FALSE),1,0),"")</f>
        <v>0</v>
      </c>
      <c r="AP7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7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78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78" s="34" cm="1">
        <f t="array" ref="AS7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9.0399999999999991</v>
      </c>
      <c r="AT78" s="34" t="s">
        <v>174</v>
      </c>
    </row>
    <row r="79" spans="1:46" x14ac:dyDescent="0.25">
      <c r="A79" s="35">
        <v>44685</v>
      </c>
      <c r="B79" s="36">
        <v>0.57638888888888895</v>
      </c>
      <c r="C79" s="34" t="s">
        <v>183</v>
      </c>
      <c r="D79" s="34" t="s">
        <v>113</v>
      </c>
      <c r="E79" s="34">
        <v>5921</v>
      </c>
      <c r="F79" s="34" t="s">
        <v>132</v>
      </c>
      <c r="G79" s="34">
        <v>2</v>
      </c>
      <c r="H79" s="34" t="s">
        <v>158</v>
      </c>
      <c r="I79" s="34" t="s">
        <v>175</v>
      </c>
      <c r="J79" s="34" t="s">
        <v>176</v>
      </c>
      <c r="K79" s="34">
        <v>1</v>
      </c>
      <c r="L79" s="34" t="s">
        <v>149</v>
      </c>
      <c r="M79" s="34" t="s">
        <v>163</v>
      </c>
      <c r="N79" s="34" t="s">
        <v>179</v>
      </c>
      <c r="O79" s="34" t="s">
        <v>184</v>
      </c>
      <c r="P79" s="34" t="s">
        <v>177</v>
      </c>
      <c r="Q79" s="34" t="s">
        <v>180</v>
      </c>
      <c r="R79" s="37">
        <v>20</v>
      </c>
      <c r="S79" s="37">
        <v>-5</v>
      </c>
      <c r="T79" s="34">
        <v>16.8</v>
      </c>
      <c r="U79" s="34">
        <v>1</v>
      </c>
      <c r="V79" s="34" t="s">
        <v>145</v>
      </c>
      <c r="W79" s="34" t="s">
        <v>145</v>
      </c>
      <c r="X79" s="34" t="s">
        <v>145</v>
      </c>
      <c r="Y79" s="37">
        <v>-19.600000000000001</v>
      </c>
      <c r="Z79" s="34">
        <v>247</v>
      </c>
      <c r="AA79" s="39" t="s">
        <v>145</v>
      </c>
      <c r="AB79" s="34" t="s">
        <v>145</v>
      </c>
      <c r="AC79" s="34">
        <v>1220</v>
      </c>
      <c r="AD79" s="34">
        <v>1300</v>
      </c>
      <c r="AE79" s="34">
        <v>135</v>
      </c>
      <c r="AF79" s="34">
        <v>143</v>
      </c>
      <c r="AG79" s="34" t="s">
        <v>145</v>
      </c>
      <c r="AH79" s="34">
        <f>IF(CADO_EMPREGOS_2022[[#This Row],[ABORTIVA]]="METEORO","",IF(COUNTA(CADO_EMPREGOS_2022[[#This Row],[TRANSGRESSÕES]])&gt;0,0,CADO_EMPREGOS_2022[[#This Row],[NOTA COM PENALIDADES (FOULS)]]))</f>
        <v>0</v>
      </c>
      <c r="AI79" s="34"/>
      <c r="AJ79" s="34">
        <f>IFERROR(IF(CADO_EMPREGOS_2022[[#This Row],[NOTA SEM FOULS]]=0,0,IF(COUNTIF(CADO_EMPREGOS_2022[[#This Row],[FOUL TVB]:[FOUL DE EIXO]],1)&gt;0,0,CADO_EMPREGOS_2022[[#This Row],[NOTA SEM FOULS]])),"")</f>
        <v>0</v>
      </c>
      <c r="AK79" s="34">
        <f>IF(CADO_EMPREGOS_2022[[#This Row],[MODALIDADE]]="TT",CADO_EMPREGOS_2022[[#This Row],[NOTA ACERTOS]],IF(COUNTA(CADO_EMPREGOS_2022[[#This Row],[MODALIDADE]])=0,"",CADO_EMPREGOS_2022[[#This Row],[NOTA DISTÂNCIA]]))</f>
        <v>8.32</v>
      </c>
      <c r="AL79" s="34">
        <f>IF(AND(CADO_EMPREGOS_2022[[#This Row],[MODALIDADE]]="BRB",CADO_EMPREGOS_2022[[#This Row],[TVB]]&lt;=3),1,0)</f>
        <v>0</v>
      </c>
      <c r="AM7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7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79" s="34">
        <f>IFERROR(IF(CADO_EMPREGOS_2022[[#This Row],[ALTURA DE RECUPERAÇÃO (FT)]]&lt;VLOOKUP(CADO_EMPREGOS_2022[[#This Row],[MODALIDADE]],Dados!$R$3:$AB$16,10,FALSE),1,0),"")</f>
        <v>1</v>
      </c>
      <c r="AP7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7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79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79" s="34" cm="1">
        <f t="array" ref="AS7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8.32</v>
      </c>
      <c r="AT79" s="34" t="s">
        <v>174</v>
      </c>
    </row>
    <row r="80" spans="1:46" x14ac:dyDescent="0.25">
      <c r="A80" s="35">
        <v>44686</v>
      </c>
      <c r="B80" s="36">
        <v>0.36805555555555558</v>
      </c>
      <c r="C80" s="34" t="s">
        <v>183</v>
      </c>
      <c r="D80" s="34" t="s">
        <v>113</v>
      </c>
      <c r="E80" s="34">
        <v>5920</v>
      </c>
      <c r="F80" s="34" t="s">
        <v>133</v>
      </c>
      <c r="G80" s="34">
        <v>4</v>
      </c>
      <c r="H80" s="34" t="s">
        <v>158</v>
      </c>
      <c r="I80" s="34" t="s">
        <v>175</v>
      </c>
      <c r="J80" s="34" t="s">
        <v>176</v>
      </c>
      <c r="K80" s="34">
        <v>1</v>
      </c>
      <c r="L80" s="34" t="s">
        <v>149</v>
      </c>
      <c r="M80" s="34" t="s">
        <v>163</v>
      </c>
      <c r="N80" s="34" t="s">
        <v>179</v>
      </c>
      <c r="O80" s="34" t="s">
        <v>184</v>
      </c>
      <c r="P80" s="34" t="s">
        <v>177</v>
      </c>
      <c r="Q80" s="34" t="s">
        <v>180</v>
      </c>
      <c r="R80" s="37">
        <v>-10</v>
      </c>
      <c r="S80" s="37">
        <v>-2</v>
      </c>
      <c r="T80" s="34">
        <v>8.4</v>
      </c>
      <c r="U80" s="34">
        <v>1.5</v>
      </c>
      <c r="V80" s="34" t="s">
        <v>145</v>
      </c>
      <c r="W80" s="34" t="s">
        <v>145</v>
      </c>
      <c r="X80" s="34" t="s">
        <v>145</v>
      </c>
      <c r="Y80" s="37">
        <v>-22.5</v>
      </c>
      <c r="Z80" s="34">
        <v>233</v>
      </c>
      <c r="AA80" s="39" t="s">
        <v>145</v>
      </c>
      <c r="AB80" s="34" t="s">
        <v>145</v>
      </c>
      <c r="AC80" s="34">
        <v>2170</v>
      </c>
      <c r="AD80" s="34">
        <v>1300</v>
      </c>
      <c r="AE80" s="34">
        <v>315</v>
      </c>
      <c r="AF80" s="34">
        <v>312</v>
      </c>
      <c r="AG80" s="34">
        <v>6</v>
      </c>
      <c r="AH80" s="34">
        <f>IF(CADO_EMPREGOS_2022[[#This Row],[ABORTIVA]]="METEORO","",IF(COUNTA(CADO_EMPREGOS_2022[[#This Row],[TRANSGRESSÕES]])&gt;0,0,CADO_EMPREGOS_2022[[#This Row],[NOTA COM PENALIDADES (FOULS)]]))</f>
        <v>9.16</v>
      </c>
      <c r="AI80" s="34"/>
      <c r="AJ80" s="34">
        <f>IFERROR(IF(CADO_EMPREGOS_2022[[#This Row],[NOTA SEM FOULS]]=0,0,IF(COUNTIF(CADO_EMPREGOS_2022[[#This Row],[FOUL TVB]:[FOUL DE EIXO]],1)&gt;0,0,CADO_EMPREGOS_2022[[#This Row],[NOTA SEM FOULS]])),"")</f>
        <v>9.16</v>
      </c>
      <c r="AK80" s="34">
        <f>IF(CADO_EMPREGOS_2022[[#This Row],[MODALIDADE]]="TT",CADO_EMPREGOS_2022[[#This Row],[NOTA ACERTOS]],IF(COUNTA(CADO_EMPREGOS_2022[[#This Row],[MODALIDADE]])=0,"",CADO_EMPREGOS_2022[[#This Row],[NOTA DISTÂNCIA]]))</f>
        <v>9.16</v>
      </c>
      <c r="AL80" s="34">
        <f>IF(AND(CADO_EMPREGOS_2022[[#This Row],[MODALIDADE]]="BRB",CADO_EMPREGOS_2022[[#This Row],[TVB]]&lt;=3),1,0)</f>
        <v>0</v>
      </c>
      <c r="AM8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8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80" s="34">
        <f>IFERROR(IF(CADO_EMPREGOS_2022[[#This Row],[ALTURA DE RECUPERAÇÃO (FT)]]&lt;VLOOKUP(CADO_EMPREGOS_2022[[#This Row],[MODALIDADE]],Dados!$R$3:$AB$16,10,FALSE),1,0),"")</f>
        <v>0</v>
      </c>
      <c r="AP8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8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8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80" s="34" cm="1">
        <f t="array" ref="AS8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9.16</v>
      </c>
      <c r="AT80" s="34" t="s">
        <v>174</v>
      </c>
    </row>
    <row r="81" spans="1:46" x14ac:dyDescent="0.25">
      <c r="A81" s="35">
        <v>44685</v>
      </c>
      <c r="B81" s="36">
        <v>0.57638888888888895</v>
      </c>
      <c r="C81" s="34" t="s">
        <v>183</v>
      </c>
      <c r="D81" s="34" t="s">
        <v>113</v>
      </c>
      <c r="E81" s="34">
        <v>5921</v>
      </c>
      <c r="F81" s="34" t="s">
        <v>132</v>
      </c>
      <c r="G81" s="34">
        <v>2</v>
      </c>
      <c r="H81" s="34" t="s">
        <v>25</v>
      </c>
      <c r="I81" s="34" t="s">
        <v>175</v>
      </c>
      <c r="J81" s="34" t="s">
        <v>169</v>
      </c>
      <c r="K81" s="34">
        <f>IF(AND(CADO_EMPREGOS_2022[[#This Row],[R/S]]="R",CADO_EMPREGOS_2022[[#This Row],[ARMAMENTO]]="BEX",CADO_EMPREGOS_2022[[#This Row],[RECEPÇÃO]]&lt;&gt;"BOMBA PRESA"),1,0)</f>
        <v>0</v>
      </c>
      <c r="L81" s="34" t="s">
        <v>149</v>
      </c>
      <c r="M81" s="34" t="s">
        <v>163</v>
      </c>
      <c r="N81" s="34" t="s">
        <v>179</v>
      </c>
      <c r="O81" s="34" t="s">
        <v>184</v>
      </c>
      <c r="P81" s="34" t="s">
        <v>172</v>
      </c>
      <c r="Q81" s="34" t="s">
        <v>145</v>
      </c>
      <c r="R81" s="37" t="s">
        <v>145</v>
      </c>
      <c r="S81" s="37" t="s">
        <v>145</v>
      </c>
      <c r="T81" s="34" t="s">
        <v>145</v>
      </c>
      <c r="U81" s="34" t="s">
        <v>145</v>
      </c>
      <c r="V81" s="34">
        <v>30</v>
      </c>
      <c r="W81" s="34">
        <v>28</v>
      </c>
      <c r="X81" s="34">
        <f>IFERROR(CADO_EMPREGOS_2022[[#This Row],[ACERTOS]]/CADO_EMPREGOS_2022[[#This Row],[CARTUCHOS EMPREGADOS]],"")</f>
        <v>0.93333333333333335</v>
      </c>
      <c r="Y81" s="37">
        <v>-15.2</v>
      </c>
      <c r="Z81" s="34">
        <v>220</v>
      </c>
      <c r="AA81" s="39">
        <v>673</v>
      </c>
      <c r="AB81" s="34">
        <v>540</v>
      </c>
      <c r="AC81" s="34">
        <v>240</v>
      </c>
      <c r="AD81" s="34">
        <f>VLOOKUP(CADO_EMPREGOS_2022[[#This Row],[MODALIDADE]],Dados!$R$3:$AB$16,10,FALSE)</f>
        <v>200</v>
      </c>
      <c r="AE81" s="34">
        <v>135</v>
      </c>
      <c r="AF81" s="34">
        <v>137</v>
      </c>
      <c r="AG81" s="34" t="s">
        <v>145</v>
      </c>
      <c r="AH81" s="34">
        <f>IF(CADO_EMPREGOS_2022[[#This Row],[ABORTIVA]]="METEORO","",IF(COUNTA(CADO_EMPREGOS_2022[[#This Row],[TRANSGRESSÕES]])&gt;0,0,CADO_EMPREGOS_2022[[#This Row],[NOTA COM PENALIDADES (FOULS)]]))</f>
        <v>0</v>
      </c>
      <c r="AI81" s="34"/>
      <c r="AJ81" s="34">
        <f>IFERROR(IF(CADO_EMPREGOS_2022[[#This Row],[NOTA SEM FOULS]]=0,0,IF(COUNTIF(CADO_EMPREGOS_2022[[#This Row],[FOUL TVB]:[FOUL DE EIXO]],1)&gt;0,0,CADO_EMPREGOS_2022[[#This Row],[NOTA SEM FOULS]])),"")</f>
        <v>0</v>
      </c>
      <c r="AK81" s="34">
        <f>IF(CADO_EMPREGOS_2022[[#This Row],[MODALIDADE]]="TT",CADO_EMPREGOS_2022[[#This Row],[NOTA ACERTOS]],IF(COUNTA(CADO_EMPREGOS_2022[[#This Row],[MODALIDADE]])=0,"",CADO_EMPREGOS_2022[[#This Row],[NOTA DISTÂNCIA]]))</f>
        <v>9.3333333333333339</v>
      </c>
      <c r="AL81" s="34">
        <f>IF(AND(CADO_EMPREGOS_2022[[#This Row],[MODALIDADE]]="BRB",CADO_EMPREGOS_2022[[#This Row],[TVB]]&lt;=3),1,0)</f>
        <v>0</v>
      </c>
      <c r="AM8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8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1</v>
      </c>
      <c r="AO81" s="34">
        <f>IFERROR(IF(CADO_EMPREGOS_2022[[#This Row],[ALTURA DE RECUPERAÇÃO (FT)]]&lt;VLOOKUP(CADO_EMPREGOS_2022[[#This Row],[MODALIDADE]],Dados!$R$3:$AB$16,10,FALSE),1,0),"")</f>
        <v>0</v>
      </c>
      <c r="AP8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8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81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9.3333333333333339</v>
      </c>
      <c r="AS81" s="34" cm="1">
        <f t="array" ref="AS8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81" s="34" t="s">
        <v>174</v>
      </c>
    </row>
    <row r="82" spans="1:46" x14ac:dyDescent="0.25">
      <c r="A82" s="35">
        <v>44686</v>
      </c>
      <c r="B82" s="36">
        <v>0.36805555555555558</v>
      </c>
      <c r="C82" s="34" t="s">
        <v>183</v>
      </c>
      <c r="D82" s="34" t="s">
        <v>113</v>
      </c>
      <c r="E82" s="34">
        <v>5920</v>
      </c>
      <c r="F82" s="34" t="s">
        <v>133</v>
      </c>
      <c r="G82" s="34">
        <v>4</v>
      </c>
      <c r="H82" s="34" t="s">
        <v>25</v>
      </c>
      <c r="I82" s="34" t="s">
        <v>175</v>
      </c>
      <c r="J82" s="34" t="s">
        <v>169</v>
      </c>
      <c r="K82" s="34">
        <v>1</v>
      </c>
      <c r="L82" s="34" t="s">
        <v>149</v>
      </c>
      <c r="M82" s="34" t="s">
        <v>163</v>
      </c>
      <c r="N82" s="34" t="s">
        <v>179</v>
      </c>
      <c r="O82" s="34" t="s">
        <v>184</v>
      </c>
      <c r="P82" s="34" t="s">
        <v>172</v>
      </c>
      <c r="Q82" s="34" t="s">
        <v>145</v>
      </c>
      <c r="R82" s="37" t="s">
        <v>145</v>
      </c>
      <c r="S82" s="37" t="s">
        <v>145</v>
      </c>
      <c r="T82" s="34" t="s">
        <v>145</v>
      </c>
      <c r="U82" s="34" t="s">
        <v>145</v>
      </c>
      <c r="V82" s="34">
        <v>30</v>
      </c>
      <c r="W82" s="34">
        <v>23</v>
      </c>
      <c r="X82" s="34">
        <v>0.77</v>
      </c>
      <c r="Y82" s="37">
        <v>-13.8</v>
      </c>
      <c r="Z82" s="34">
        <v>240</v>
      </c>
      <c r="AA82" s="39">
        <v>664</v>
      </c>
      <c r="AB82" s="34">
        <v>524</v>
      </c>
      <c r="AC82" s="34">
        <v>240</v>
      </c>
      <c r="AD82" s="34">
        <v>200</v>
      </c>
      <c r="AE82" s="34">
        <v>135</v>
      </c>
      <c r="AF82" s="34">
        <v>139</v>
      </c>
      <c r="AG82" s="34" t="s">
        <v>145</v>
      </c>
      <c r="AH82" s="34">
        <f>IF(CADO_EMPREGOS_2022[[#This Row],[ABORTIVA]]="METEORO","",IF(COUNTA(CADO_EMPREGOS_2022[[#This Row],[TRANSGRESSÕES]])&gt;0,0,CADO_EMPREGOS_2022[[#This Row],[NOTA COM PENALIDADES (FOULS)]]))</f>
        <v>7.666666666666667</v>
      </c>
      <c r="AI82" s="34"/>
      <c r="AJ82" s="34">
        <f>IFERROR(IF(CADO_EMPREGOS_2022[[#This Row],[NOTA SEM FOULS]]=0,0,IF(COUNTIF(CADO_EMPREGOS_2022[[#This Row],[FOUL TVB]:[FOUL DE EIXO]],1)&gt;0,0,CADO_EMPREGOS_2022[[#This Row],[NOTA SEM FOULS]])),"")</f>
        <v>7.666666666666667</v>
      </c>
      <c r="AK82" s="34">
        <f>IF(CADO_EMPREGOS_2022[[#This Row],[MODALIDADE]]="TT",CADO_EMPREGOS_2022[[#This Row],[NOTA ACERTOS]],IF(COUNTA(CADO_EMPREGOS_2022[[#This Row],[MODALIDADE]])=0,"",CADO_EMPREGOS_2022[[#This Row],[NOTA DISTÂNCIA]]))</f>
        <v>7.666666666666667</v>
      </c>
      <c r="AL82" s="34">
        <f>IF(AND(CADO_EMPREGOS_2022[[#This Row],[MODALIDADE]]="BRB",CADO_EMPREGOS_2022[[#This Row],[TVB]]&lt;=3),1,0)</f>
        <v>0</v>
      </c>
      <c r="AM8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8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82" s="34">
        <f>IFERROR(IF(CADO_EMPREGOS_2022[[#This Row],[ALTURA DE RECUPERAÇÃO (FT)]]&lt;VLOOKUP(CADO_EMPREGOS_2022[[#This Row],[MODALIDADE]],Dados!$R$3:$AB$16,10,FALSE),1,0),"")</f>
        <v>0</v>
      </c>
      <c r="AP8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8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82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7.666666666666667</v>
      </c>
      <c r="AS82" s="34" cm="1">
        <f t="array" ref="AS8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82" s="34" t="s">
        <v>174</v>
      </c>
    </row>
    <row r="83" spans="1:46" x14ac:dyDescent="0.25">
      <c r="A83" s="35">
        <v>44695</v>
      </c>
      <c r="B83" s="36">
        <v>0.6875</v>
      </c>
      <c r="C83" s="34" t="s">
        <v>183</v>
      </c>
      <c r="D83" s="34" t="s">
        <v>124</v>
      </c>
      <c r="E83" s="34">
        <v>5959</v>
      </c>
      <c r="F83" s="34" t="s">
        <v>133</v>
      </c>
      <c r="G83" s="34">
        <v>3</v>
      </c>
      <c r="H83" s="34" t="s">
        <v>158</v>
      </c>
      <c r="I83" s="34" t="s">
        <v>175</v>
      </c>
      <c r="J83" s="34" t="s">
        <v>176</v>
      </c>
      <c r="K83" s="34">
        <v>1</v>
      </c>
      <c r="L83" s="34" t="s">
        <v>149</v>
      </c>
      <c r="M83" s="34" t="s">
        <v>163</v>
      </c>
      <c r="N83" s="34" t="s">
        <v>179</v>
      </c>
      <c r="O83" s="34" t="s">
        <v>184</v>
      </c>
      <c r="P83" s="34" t="s">
        <v>177</v>
      </c>
      <c r="Q83" s="34" t="s">
        <v>180</v>
      </c>
      <c r="R83" s="37">
        <v>-7</v>
      </c>
      <c r="S83" s="37">
        <v>-8</v>
      </c>
      <c r="T83" s="34">
        <v>8.6999999999999993</v>
      </c>
      <c r="U83" s="34">
        <v>9.1</v>
      </c>
      <c r="V83" s="34" t="s">
        <v>145</v>
      </c>
      <c r="W83" s="34" t="s">
        <v>145</v>
      </c>
      <c r="X83" s="34" t="s">
        <v>145</v>
      </c>
      <c r="Y83" s="37">
        <v>-20.100000000000001</v>
      </c>
      <c r="Z83" s="34">
        <v>244</v>
      </c>
      <c r="AA83" s="39" t="s">
        <v>145</v>
      </c>
      <c r="AB83" s="34" t="s">
        <v>145</v>
      </c>
      <c r="AC83" s="34">
        <v>1780</v>
      </c>
      <c r="AD83" s="34">
        <v>1300</v>
      </c>
      <c r="AE83" s="34">
        <v>135</v>
      </c>
      <c r="AF83" s="34">
        <v>136</v>
      </c>
      <c r="AG83" s="34">
        <v>6</v>
      </c>
      <c r="AH83" s="34">
        <f>IF(CADO_EMPREGOS_2022[[#This Row],[ABORTIVA]]="METEORO","",IF(COUNTA(CADO_EMPREGOS_2022[[#This Row],[TRANSGRESSÕES]])&gt;0,0,CADO_EMPREGOS_2022[[#This Row],[NOTA COM PENALIDADES (FOULS)]]))</f>
        <v>9.1300000000000008</v>
      </c>
      <c r="AI83" s="34"/>
      <c r="AJ83" s="34">
        <f>IFERROR(IF(CADO_EMPREGOS_2022[[#This Row],[NOTA SEM FOULS]]=0,0,IF(COUNTIF(CADO_EMPREGOS_2022[[#This Row],[FOUL TVB]:[FOUL DE EIXO]],1)&gt;0,0,CADO_EMPREGOS_2022[[#This Row],[NOTA SEM FOULS]])),"")</f>
        <v>9.1300000000000008</v>
      </c>
      <c r="AK83" s="34">
        <f>IF(CADO_EMPREGOS_2022[[#This Row],[MODALIDADE]]="TT",CADO_EMPREGOS_2022[[#This Row],[NOTA ACERTOS]],IF(COUNTA(CADO_EMPREGOS_2022[[#This Row],[MODALIDADE]])=0,"",CADO_EMPREGOS_2022[[#This Row],[NOTA DISTÂNCIA]]))</f>
        <v>9.1300000000000008</v>
      </c>
      <c r="AL83" s="34">
        <f>IF(AND(CADO_EMPREGOS_2022[[#This Row],[MODALIDADE]]="BRB",CADO_EMPREGOS_2022[[#This Row],[TVB]]&lt;=3),1,0)</f>
        <v>0</v>
      </c>
      <c r="AM8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8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83" s="34">
        <f>IFERROR(IF(CADO_EMPREGOS_2022[[#This Row],[ALTURA DE RECUPERAÇÃO (FT)]]&lt;VLOOKUP(CADO_EMPREGOS_2022[[#This Row],[MODALIDADE]],Dados!$R$3:$AB$16,10,FALSE),1,0),"")</f>
        <v>0</v>
      </c>
      <c r="AP8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8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83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83" s="34" cm="1">
        <f t="array" ref="AS8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9.1300000000000008</v>
      </c>
      <c r="AT83" s="34" t="s">
        <v>174</v>
      </c>
    </row>
    <row r="84" spans="1:46" x14ac:dyDescent="0.25">
      <c r="A84" s="35">
        <v>44695</v>
      </c>
      <c r="B84" s="36">
        <v>0.6875</v>
      </c>
      <c r="C84" s="34" t="s">
        <v>183</v>
      </c>
      <c r="D84" s="34" t="s">
        <v>124</v>
      </c>
      <c r="E84" s="34">
        <v>5959</v>
      </c>
      <c r="F84" s="34" t="s">
        <v>133</v>
      </c>
      <c r="G84" s="34">
        <v>3</v>
      </c>
      <c r="H84" s="34" t="s">
        <v>158</v>
      </c>
      <c r="I84" s="34" t="s">
        <v>175</v>
      </c>
      <c r="J84" s="34" t="s">
        <v>176</v>
      </c>
      <c r="K84" s="34">
        <v>1</v>
      </c>
      <c r="L84" s="34" t="s">
        <v>149</v>
      </c>
      <c r="M84" s="34" t="s">
        <v>163</v>
      </c>
      <c r="N84" s="34" t="s">
        <v>179</v>
      </c>
      <c r="O84" s="34" t="s">
        <v>184</v>
      </c>
      <c r="P84" s="34" t="s">
        <v>177</v>
      </c>
      <c r="Q84" s="34" t="s">
        <v>180</v>
      </c>
      <c r="R84" s="37">
        <v>6</v>
      </c>
      <c r="S84" s="37">
        <v>-14</v>
      </c>
      <c r="T84" s="34">
        <v>12</v>
      </c>
      <c r="U84" s="34">
        <v>5.3</v>
      </c>
      <c r="V84" s="34" t="s">
        <v>145</v>
      </c>
      <c r="W84" s="34" t="s">
        <v>145</v>
      </c>
      <c r="X84" s="34" t="s">
        <v>145</v>
      </c>
      <c r="Y84" s="37">
        <v>-19.7</v>
      </c>
      <c r="Z84" s="34">
        <v>236</v>
      </c>
      <c r="AA84" s="39" t="s">
        <v>145</v>
      </c>
      <c r="AB84" s="34" t="s">
        <v>145</v>
      </c>
      <c r="AC84" s="34">
        <v>1730</v>
      </c>
      <c r="AD84" s="34">
        <v>1300</v>
      </c>
      <c r="AE84" s="34">
        <v>315</v>
      </c>
      <c r="AF84" s="34">
        <v>314</v>
      </c>
      <c r="AG84" s="34">
        <v>6</v>
      </c>
      <c r="AH84" s="34">
        <f>IF(CADO_EMPREGOS_2022[[#This Row],[ABORTIVA]]="METEORO","",IF(COUNTA(CADO_EMPREGOS_2022[[#This Row],[TRANSGRESSÕES]])&gt;0,0,CADO_EMPREGOS_2022[[#This Row],[NOTA COM PENALIDADES (FOULS)]]))</f>
        <v>8.8000000000000007</v>
      </c>
      <c r="AI84" s="34"/>
      <c r="AJ84" s="34">
        <f>IFERROR(IF(CADO_EMPREGOS_2022[[#This Row],[NOTA SEM FOULS]]=0,0,IF(COUNTIF(CADO_EMPREGOS_2022[[#This Row],[FOUL TVB]:[FOUL DE EIXO]],1)&gt;0,0,CADO_EMPREGOS_2022[[#This Row],[NOTA SEM FOULS]])),"")</f>
        <v>8.8000000000000007</v>
      </c>
      <c r="AK84" s="34">
        <f>IF(CADO_EMPREGOS_2022[[#This Row],[MODALIDADE]]="TT",CADO_EMPREGOS_2022[[#This Row],[NOTA ACERTOS]],IF(COUNTA(CADO_EMPREGOS_2022[[#This Row],[MODALIDADE]])=0,"",CADO_EMPREGOS_2022[[#This Row],[NOTA DISTÂNCIA]]))</f>
        <v>8.8000000000000007</v>
      </c>
      <c r="AL84" s="34">
        <f>IF(AND(CADO_EMPREGOS_2022[[#This Row],[MODALIDADE]]="BRB",CADO_EMPREGOS_2022[[#This Row],[TVB]]&lt;=3),1,0)</f>
        <v>0</v>
      </c>
      <c r="AM8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8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84" s="34">
        <f>IFERROR(IF(CADO_EMPREGOS_2022[[#This Row],[ALTURA DE RECUPERAÇÃO (FT)]]&lt;VLOOKUP(CADO_EMPREGOS_2022[[#This Row],[MODALIDADE]],Dados!$R$3:$AB$16,10,FALSE),1,0),"")</f>
        <v>0</v>
      </c>
      <c r="AP8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8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84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84" s="34" cm="1">
        <f t="array" ref="AS8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8.8000000000000007</v>
      </c>
      <c r="AT84" s="34" t="s">
        <v>174</v>
      </c>
    </row>
    <row r="85" spans="1:46" x14ac:dyDescent="0.25">
      <c r="A85" s="35">
        <v>44697</v>
      </c>
      <c r="B85" s="36">
        <v>0.6875</v>
      </c>
      <c r="C85" s="34" t="s">
        <v>187</v>
      </c>
      <c r="D85" s="34" t="s">
        <v>124</v>
      </c>
      <c r="E85" s="34">
        <v>5733</v>
      </c>
      <c r="F85" s="34" t="s">
        <v>100</v>
      </c>
      <c r="G85" s="34">
        <v>3</v>
      </c>
      <c r="H85" s="34" t="s">
        <v>158</v>
      </c>
      <c r="I85" s="34" t="s">
        <v>175</v>
      </c>
      <c r="J85" s="34" t="s">
        <v>176</v>
      </c>
      <c r="K85" s="34">
        <v>1</v>
      </c>
      <c r="L85" s="34" t="s">
        <v>149</v>
      </c>
      <c r="M85" s="34" t="s">
        <v>163</v>
      </c>
      <c r="N85" s="34" t="s">
        <v>179</v>
      </c>
      <c r="O85" s="34" t="s">
        <v>184</v>
      </c>
      <c r="P85" s="34" t="s">
        <v>177</v>
      </c>
      <c r="Q85" s="34" t="s">
        <v>180</v>
      </c>
      <c r="R85" s="37">
        <v>-2</v>
      </c>
      <c r="S85" s="37">
        <v>2</v>
      </c>
      <c r="T85" s="34">
        <v>2.2000000000000002</v>
      </c>
      <c r="U85" s="34">
        <v>9.4</v>
      </c>
      <c r="V85" s="34" t="s">
        <v>145</v>
      </c>
      <c r="W85" s="34" t="s">
        <v>145</v>
      </c>
      <c r="X85" s="34" t="s">
        <v>145</v>
      </c>
      <c r="Y85" s="37">
        <v>-22.5</v>
      </c>
      <c r="Z85" s="34">
        <v>241</v>
      </c>
      <c r="AA85" s="39" t="s">
        <v>145</v>
      </c>
      <c r="AB85" s="34" t="s">
        <v>145</v>
      </c>
      <c r="AC85" s="34">
        <v>1730</v>
      </c>
      <c r="AD85" s="34">
        <v>1300</v>
      </c>
      <c r="AE85" s="34">
        <v>315</v>
      </c>
      <c r="AF85" s="34">
        <v>320</v>
      </c>
      <c r="AG85" s="34">
        <v>6</v>
      </c>
      <c r="AH85" s="34">
        <f>IF(CADO_EMPREGOS_2022[[#This Row],[ABORTIVA]]="METEORO","",IF(COUNTA(CADO_EMPREGOS_2022[[#This Row],[TRANSGRESSÕES]])&gt;0,0,CADO_EMPREGOS_2022[[#This Row],[NOTA COM PENALIDADES (FOULS)]]))</f>
        <v>9.7799999999999994</v>
      </c>
      <c r="AI85" s="34"/>
      <c r="AJ85" s="34">
        <f>IFERROR(IF(CADO_EMPREGOS_2022[[#This Row],[NOTA SEM FOULS]]=0,0,IF(COUNTIF(CADO_EMPREGOS_2022[[#This Row],[FOUL TVB]:[FOUL DE EIXO]],1)&gt;0,0,CADO_EMPREGOS_2022[[#This Row],[NOTA SEM FOULS]])),"")</f>
        <v>9.7799999999999994</v>
      </c>
      <c r="AK85" s="34">
        <f>IF(CADO_EMPREGOS_2022[[#This Row],[MODALIDADE]]="TT",CADO_EMPREGOS_2022[[#This Row],[NOTA ACERTOS]],IF(COUNTA(CADO_EMPREGOS_2022[[#This Row],[MODALIDADE]])=0,"",CADO_EMPREGOS_2022[[#This Row],[NOTA DISTÂNCIA]]))</f>
        <v>9.7799999999999994</v>
      </c>
      <c r="AL85" s="34">
        <f>IF(AND(CADO_EMPREGOS_2022[[#This Row],[MODALIDADE]]="BRB",CADO_EMPREGOS_2022[[#This Row],[TVB]]&lt;=3),1,0)</f>
        <v>0</v>
      </c>
      <c r="AM8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8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85" s="34">
        <f>IFERROR(IF(CADO_EMPREGOS_2022[[#This Row],[ALTURA DE RECUPERAÇÃO (FT)]]&lt;VLOOKUP(CADO_EMPREGOS_2022[[#This Row],[MODALIDADE]],Dados!$R$3:$AB$16,10,FALSE),1,0),"")</f>
        <v>0</v>
      </c>
      <c r="AP8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8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85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85" s="34" cm="1">
        <f t="array" ref="AS8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9.7799999999999994</v>
      </c>
      <c r="AT85" s="34" t="s">
        <v>174</v>
      </c>
    </row>
    <row r="86" spans="1:46" x14ac:dyDescent="0.25">
      <c r="A86" s="35">
        <v>44697</v>
      </c>
      <c r="B86" s="36">
        <v>0.6875</v>
      </c>
      <c r="C86" s="34" t="s">
        <v>187</v>
      </c>
      <c r="D86" s="34" t="s">
        <v>124</v>
      </c>
      <c r="E86" s="34">
        <v>5733</v>
      </c>
      <c r="F86" s="34" t="s">
        <v>100</v>
      </c>
      <c r="G86" s="34">
        <v>3</v>
      </c>
      <c r="H86" s="34" t="s">
        <v>158</v>
      </c>
      <c r="I86" s="34" t="s">
        <v>175</v>
      </c>
      <c r="J86" s="34" t="s">
        <v>176</v>
      </c>
      <c r="K86" s="34">
        <v>1</v>
      </c>
      <c r="L86" s="34" t="s">
        <v>149</v>
      </c>
      <c r="M86" s="34" t="s">
        <v>163</v>
      </c>
      <c r="N86" s="34" t="s">
        <v>179</v>
      </c>
      <c r="O86" s="34" t="s">
        <v>184</v>
      </c>
      <c r="P86" s="34" t="s">
        <v>177</v>
      </c>
      <c r="Q86" s="34" t="s">
        <v>180</v>
      </c>
      <c r="R86" s="37">
        <v>-2</v>
      </c>
      <c r="S86" s="37">
        <v>3</v>
      </c>
      <c r="T86" s="34">
        <v>2.8</v>
      </c>
      <c r="U86" s="34">
        <v>5.6</v>
      </c>
      <c r="V86" s="34" t="s">
        <v>145</v>
      </c>
      <c r="W86" s="34" t="s">
        <v>145</v>
      </c>
      <c r="X86" s="34" t="s">
        <v>145</v>
      </c>
      <c r="Y86" s="37">
        <v>-19.600000000000001</v>
      </c>
      <c r="Z86" s="34">
        <v>250</v>
      </c>
      <c r="AA86" s="39" t="s">
        <v>145</v>
      </c>
      <c r="AB86" s="34" t="s">
        <v>145</v>
      </c>
      <c r="AC86" s="34">
        <v>1910</v>
      </c>
      <c r="AD86" s="34">
        <v>1300</v>
      </c>
      <c r="AE86" s="34">
        <v>135</v>
      </c>
      <c r="AF86" s="34">
        <v>135</v>
      </c>
      <c r="AG86" s="34">
        <v>6</v>
      </c>
      <c r="AH86" s="34">
        <f>IF(CADO_EMPREGOS_2022[[#This Row],[ABORTIVA]]="METEORO","",IF(COUNTA(CADO_EMPREGOS_2022[[#This Row],[TRANSGRESSÕES]])&gt;0,0,CADO_EMPREGOS_2022[[#This Row],[NOTA COM PENALIDADES (FOULS)]]))</f>
        <v>9.7200000000000006</v>
      </c>
      <c r="AI86" s="34"/>
      <c r="AJ86" s="34">
        <f>IFERROR(IF(CADO_EMPREGOS_2022[[#This Row],[NOTA SEM FOULS]]=0,0,IF(COUNTIF(CADO_EMPREGOS_2022[[#This Row],[FOUL TVB]:[FOUL DE EIXO]],1)&gt;0,0,CADO_EMPREGOS_2022[[#This Row],[NOTA SEM FOULS]])),"")</f>
        <v>9.7200000000000006</v>
      </c>
      <c r="AK86" s="34">
        <f>IF(CADO_EMPREGOS_2022[[#This Row],[MODALIDADE]]="TT",CADO_EMPREGOS_2022[[#This Row],[NOTA ACERTOS]],IF(COUNTA(CADO_EMPREGOS_2022[[#This Row],[MODALIDADE]])=0,"",CADO_EMPREGOS_2022[[#This Row],[NOTA DISTÂNCIA]]))</f>
        <v>9.7200000000000006</v>
      </c>
      <c r="AL86" s="34">
        <f>IF(AND(CADO_EMPREGOS_2022[[#This Row],[MODALIDADE]]="BRB",CADO_EMPREGOS_2022[[#This Row],[TVB]]&lt;=3),1,0)</f>
        <v>0</v>
      </c>
      <c r="AM8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8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86" s="34">
        <f>IFERROR(IF(CADO_EMPREGOS_2022[[#This Row],[ALTURA DE RECUPERAÇÃO (FT)]]&lt;VLOOKUP(CADO_EMPREGOS_2022[[#This Row],[MODALIDADE]],Dados!$R$3:$AB$16,10,FALSE),1,0),"")</f>
        <v>0</v>
      </c>
      <c r="AP8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8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8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86" s="34" cm="1">
        <f t="array" ref="AS8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9.7200000000000006</v>
      </c>
      <c r="AT86" s="34" t="s">
        <v>174</v>
      </c>
    </row>
    <row r="87" spans="1:46" x14ac:dyDescent="0.25">
      <c r="A87" s="35">
        <v>44695</v>
      </c>
      <c r="B87" s="36">
        <v>0.6875</v>
      </c>
      <c r="C87" s="34" t="s">
        <v>183</v>
      </c>
      <c r="D87" s="34" t="s">
        <v>124</v>
      </c>
      <c r="E87" s="34">
        <v>5959</v>
      </c>
      <c r="F87" s="34" t="s">
        <v>133</v>
      </c>
      <c r="G87" s="34">
        <v>3</v>
      </c>
      <c r="H87" s="34" t="s">
        <v>25</v>
      </c>
      <c r="I87" s="34" t="s">
        <v>175</v>
      </c>
      <c r="J87" s="34" t="s">
        <v>169</v>
      </c>
      <c r="K87" s="34">
        <v>1</v>
      </c>
      <c r="L87" s="34" t="s">
        <v>149</v>
      </c>
      <c r="M87" s="34" t="s">
        <v>163</v>
      </c>
      <c r="N87" s="34" t="s">
        <v>179</v>
      </c>
      <c r="O87" s="34" t="s">
        <v>184</v>
      </c>
      <c r="P87" s="34" t="s">
        <v>172</v>
      </c>
      <c r="Q87" s="34" t="s">
        <v>145</v>
      </c>
      <c r="R87" s="37" t="s">
        <v>145</v>
      </c>
      <c r="S87" s="37" t="s">
        <v>145</v>
      </c>
      <c r="T87" s="34" t="s">
        <v>145</v>
      </c>
      <c r="U87" s="34" t="s">
        <v>145</v>
      </c>
      <c r="V87" s="34">
        <v>27</v>
      </c>
      <c r="W87" s="34">
        <v>25</v>
      </c>
      <c r="X87" s="34">
        <v>0.93</v>
      </c>
      <c r="Y87" s="37">
        <v>-15.7</v>
      </c>
      <c r="Z87" s="34">
        <v>248</v>
      </c>
      <c r="AA87" s="39">
        <v>667</v>
      </c>
      <c r="AB87" s="34">
        <v>574</v>
      </c>
      <c r="AC87" s="34">
        <v>270</v>
      </c>
      <c r="AD87" s="34">
        <v>200</v>
      </c>
      <c r="AE87" s="34">
        <v>135</v>
      </c>
      <c r="AF87" s="34">
        <v>134</v>
      </c>
      <c r="AG87" s="34" t="s">
        <v>145</v>
      </c>
      <c r="AH87" s="34">
        <f>IF(CADO_EMPREGOS_2022[[#This Row],[ABORTIVA]]="METEORO","",IF(COUNTA(CADO_EMPREGOS_2022[[#This Row],[TRANSGRESSÕES]])&gt;0,0,CADO_EMPREGOS_2022[[#This Row],[NOTA COM PENALIDADES (FOULS)]]))</f>
        <v>8.3333333333333339</v>
      </c>
      <c r="AI87" s="34"/>
      <c r="AJ87" s="34">
        <f>IFERROR(IF(CADO_EMPREGOS_2022[[#This Row],[NOTA SEM FOULS]]=0,0,IF(COUNTIF(CADO_EMPREGOS_2022[[#This Row],[FOUL TVB]:[FOUL DE EIXO]],1)&gt;0,0,CADO_EMPREGOS_2022[[#This Row],[NOTA SEM FOULS]])),"")</f>
        <v>8.3333333333333339</v>
      </c>
      <c r="AK87" s="34">
        <f>IF(CADO_EMPREGOS_2022[[#This Row],[MODALIDADE]]="TT",CADO_EMPREGOS_2022[[#This Row],[NOTA ACERTOS]],IF(COUNTA(CADO_EMPREGOS_2022[[#This Row],[MODALIDADE]])=0,"",CADO_EMPREGOS_2022[[#This Row],[NOTA DISTÂNCIA]]))</f>
        <v>8.3333333333333339</v>
      </c>
      <c r="AL87" s="34">
        <f>IF(AND(CADO_EMPREGOS_2022[[#This Row],[MODALIDADE]]="BRB",CADO_EMPREGOS_2022[[#This Row],[TVB]]&lt;=3),1,0)</f>
        <v>0</v>
      </c>
      <c r="AM8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8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87" s="34">
        <f>IFERROR(IF(CADO_EMPREGOS_2022[[#This Row],[ALTURA DE RECUPERAÇÃO (FT)]]&lt;VLOOKUP(CADO_EMPREGOS_2022[[#This Row],[MODALIDADE]],Dados!$R$3:$AB$16,10,FALSE),1,0),"")</f>
        <v>0</v>
      </c>
      <c r="AP8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8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87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8.3333333333333339</v>
      </c>
      <c r="AS87" s="34" cm="1">
        <f t="array" ref="AS8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87" s="34" t="s">
        <v>174</v>
      </c>
    </row>
    <row r="88" spans="1:46" x14ac:dyDescent="0.25">
      <c r="A88" s="35">
        <v>44697</v>
      </c>
      <c r="B88" s="36">
        <v>0.6875</v>
      </c>
      <c r="C88" s="34" t="s">
        <v>187</v>
      </c>
      <c r="D88" s="34" t="s">
        <v>124</v>
      </c>
      <c r="E88" s="34">
        <v>5733</v>
      </c>
      <c r="F88" s="34" t="s">
        <v>100</v>
      </c>
      <c r="G88" s="34">
        <v>3</v>
      </c>
      <c r="H88" s="34" t="s">
        <v>25</v>
      </c>
      <c r="I88" s="34" t="s">
        <v>175</v>
      </c>
      <c r="J88" s="34" t="s">
        <v>169</v>
      </c>
      <c r="K88" s="34">
        <v>1</v>
      </c>
      <c r="L88" s="34" t="s">
        <v>149</v>
      </c>
      <c r="M88" s="34" t="s">
        <v>163</v>
      </c>
      <c r="N88" s="34" t="s">
        <v>179</v>
      </c>
      <c r="O88" s="34" t="s">
        <v>184</v>
      </c>
      <c r="P88" s="34" t="s">
        <v>172</v>
      </c>
      <c r="Q88" s="34" t="s">
        <v>145</v>
      </c>
      <c r="R88" s="37" t="s">
        <v>145</v>
      </c>
      <c r="S88" s="37" t="s">
        <v>145</v>
      </c>
      <c r="T88" s="34" t="s">
        <v>145</v>
      </c>
      <c r="U88" s="34" t="s">
        <v>145</v>
      </c>
      <c r="V88" s="34">
        <v>25</v>
      </c>
      <c r="W88" s="34">
        <v>23</v>
      </c>
      <c r="X88" s="34">
        <v>0.92</v>
      </c>
      <c r="Y88" s="37">
        <v>-16.100000000000001</v>
      </c>
      <c r="Z88" s="34">
        <v>248</v>
      </c>
      <c r="AA88" s="39">
        <v>626</v>
      </c>
      <c r="AB88" s="34">
        <v>518</v>
      </c>
      <c r="AC88" s="34">
        <v>230</v>
      </c>
      <c r="AD88" s="34">
        <v>200</v>
      </c>
      <c r="AE88" s="34">
        <v>135</v>
      </c>
      <c r="AF88" s="34">
        <v>134</v>
      </c>
      <c r="AG88" s="34" t="s">
        <v>145</v>
      </c>
      <c r="AH88" s="34">
        <f>IF(CADO_EMPREGOS_2022[[#This Row],[ABORTIVA]]="METEORO","",IF(COUNTA(CADO_EMPREGOS_2022[[#This Row],[TRANSGRESSÕES]])&gt;0,0,CADO_EMPREGOS_2022[[#This Row],[NOTA COM PENALIDADES (FOULS)]]))</f>
        <v>7.666666666666667</v>
      </c>
      <c r="AI88" s="34"/>
      <c r="AJ88" s="34">
        <f>IFERROR(IF(CADO_EMPREGOS_2022[[#This Row],[NOTA SEM FOULS]]=0,0,IF(COUNTIF(CADO_EMPREGOS_2022[[#This Row],[FOUL TVB]:[FOUL DE EIXO]],1)&gt;0,0,CADO_EMPREGOS_2022[[#This Row],[NOTA SEM FOULS]])),"")</f>
        <v>7.666666666666667</v>
      </c>
      <c r="AK88" s="34">
        <f>IF(CADO_EMPREGOS_2022[[#This Row],[MODALIDADE]]="TT",CADO_EMPREGOS_2022[[#This Row],[NOTA ACERTOS]],IF(COUNTA(CADO_EMPREGOS_2022[[#This Row],[MODALIDADE]])=0,"",CADO_EMPREGOS_2022[[#This Row],[NOTA DISTÂNCIA]]))</f>
        <v>7.666666666666667</v>
      </c>
      <c r="AL88" s="34">
        <f>IF(AND(CADO_EMPREGOS_2022[[#This Row],[MODALIDADE]]="BRB",CADO_EMPREGOS_2022[[#This Row],[TVB]]&lt;=3),1,0)</f>
        <v>0</v>
      </c>
      <c r="AM8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8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88" s="34">
        <f>IFERROR(IF(CADO_EMPREGOS_2022[[#This Row],[ALTURA DE RECUPERAÇÃO (FT)]]&lt;VLOOKUP(CADO_EMPREGOS_2022[[#This Row],[MODALIDADE]],Dados!$R$3:$AB$16,10,FALSE),1,0),"")</f>
        <v>0</v>
      </c>
      <c r="AP8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8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88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7.666666666666667</v>
      </c>
      <c r="AS88" s="34" cm="1">
        <f t="array" ref="AS8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88" s="34" t="s">
        <v>174</v>
      </c>
    </row>
    <row r="89" spans="1:46" x14ac:dyDescent="0.25">
      <c r="A89" s="35">
        <v>44685</v>
      </c>
      <c r="B89" s="36">
        <v>0.57638888888888895</v>
      </c>
      <c r="C89" s="34" t="s">
        <v>183</v>
      </c>
      <c r="D89" s="34" t="s">
        <v>119</v>
      </c>
      <c r="E89" s="34">
        <v>5927</v>
      </c>
      <c r="F89" s="34" t="s">
        <v>132</v>
      </c>
      <c r="G89" s="34">
        <v>1</v>
      </c>
      <c r="H89" s="34" t="s">
        <v>158</v>
      </c>
      <c r="I89" s="34" t="s">
        <v>175</v>
      </c>
      <c r="J89" s="34" t="s">
        <v>176</v>
      </c>
      <c r="K89" s="34">
        <f>IF(AND(CADO_EMPREGOS_2022[[#This Row],[R/S]]="R",CADO_EMPREGOS_2022[[#This Row],[ARMAMENTO]]="BEX",CADO_EMPREGOS_2022[[#This Row],[RECEPÇÃO]]&lt;&gt;"BOMBA PRESA"),1,0)</f>
        <v>1</v>
      </c>
      <c r="L89" s="34" t="s">
        <v>149</v>
      </c>
      <c r="M89" s="34" t="s">
        <v>163</v>
      </c>
      <c r="N89" s="34" t="s">
        <v>179</v>
      </c>
      <c r="O89" s="34" t="s">
        <v>184</v>
      </c>
      <c r="P89" s="34" t="s">
        <v>177</v>
      </c>
      <c r="Q89" s="34" t="s">
        <v>180</v>
      </c>
      <c r="R89" s="37">
        <v>-5</v>
      </c>
      <c r="S89" s="37">
        <v>-1</v>
      </c>
      <c r="T89" s="34">
        <v>4.2</v>
      </c>
      <c r="U89" s="34">
        <v>1.5</v>
      </c>
      <c r="V89" s="34" t="s">
        <v>145</v>
      </c>
      <c r="W89" s="34" t="s">
        <v>145</v>
      </c>
      <c r="X89" s="34" t="s">
        <v>145</v>
      </c>
      <c r="Y89" s="37">
        <v>-19</v>
      </c>
      <c r="Z89" s="34">
        <v>226</v>
      </c>
      <c r="AA89" s="39" t="s">
        <v>145</v>
      </c>
      <c r="AB89" s="34" t="s">
        <v>145</v>
      </c>
      <c r="AC89" s="34">
        <v>2030</v>
      </c>
      <c r="AD89" s="34">
        <f>VLOOKUP(CADO_EMPREGOS_2022[[#This Row],[MODALIDADE]],Dados!$R$3:$AB$16,10,FALSE)</f>
        <v>1300</v>
      </c>
      <c r="AE89" s="34">
        <v>315</v>
      </c>
      <c r="AF89" s="34">
        <v>308</v>
      </c>
      <c r="AG89" s="34">
        <v>7</v>
      </c>
      <c r="AH89" s="34">
        <f>IF(CADO_EMPREGOS_2022[[#This Row],[ABORTIVA]]="METEORO","",IF(COUNTA(CADO_EMPREGOS_2022[[#This Row],[TRANSGRESSÕES]])&gt;0,0,CADO_EMPREGOS_2022[[#This Row],[NOTA COM PENALIDADES (FOULS)]]))</f>
        <v>9.58</v>
      </c>
      <c r="AI89" s="34"/>
      <c r="AJ89" s="34">
        <f>IFERROR(IF(CADO_EMPREGOS_2022[[#This Row],[NOTA SEM FOULS]]=0,0,IF(COUNTIF(CADO_EMPREGOS_2022[[#This Row],[FOUL TVB]:[FOUL DE EIXO]],1)&gt;0,0,CADO_EMPREGOS_2022[[#This Row],[NOTA SEM FOULS]])),"")</f>
        <v>9.58</v>
      </c>
      <c r="AK89" s="34">
        <f>IF(CADO_EMPREGOS_2022[[#This Row],[MODALIDADE]]="TT",CADO_EMPREGOS_2022[[#This Row],[NOTA ACERTOS]],IF(COUNTA(CADO_EMPREGOS_2022[[#This Row],[MODALIDADE]])=0,"",CADO_EMPREGOS_2022[[#This Row],[NOTA DISTÂNCIA]]))</f>
        <v>9.58</v>
      </c>
      <c r="AL89" s="34">
        <f>IF(AND(CADO_EMPREGOS_2022[[#This Row],[MODALIDADE]]="BRB",CADO_EMPREGOS_2022[[#This Row],[TVB]]&lt;=3),1,0)</f>
        <v>0</v>
      </c>
      <c r="AM8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8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89" s="34">
        <f>IFERROR(IF(CADO_EMPREGOS_2022[[#This Row],[ALTURA DE RECUPERAÇÃO (FT)]]&lt;VLOOKUP(CADO_EMPREGOS_2022[[#This Row],[MODALIDADE]],Dados!$R$3:$AB$16,10,FALSE),1,0),"")</f>
        <v>0</v>
      </c>
      <c r="AP8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8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89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89" s="34" cm="1">
        <f t="array" ref="AS8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9.58</v>
      </c>
      <c r="AT89" s="34" t="s">
        <v>174</v>
      </c>
    </row>
    <row r="90" spans="1:46" x14ac:dyDescent="0.25">
      <c r="A90" s="35">
        <v>44686</v>
      </c>
      <c r="B90" s="36">
        <v>0.79166666666666663</v>
      </c>
      <c r="C90" s="34" t="s">
        <v>187</v>
      </c>
      <c r="D90" s="34" t="s">
        <v>119</v>
      </c>
      <c r="E90" s="34">
        <v>5733</v>
      </c>
      <c r="F90" s="34" t="s">
        <v>134</v>
      </c>
      <c r="G90" s="34">
        <v>1</v>
      </c>
      <c r="H90" s="34" t="s">
        <v>158</v>
      </c>
      <c r="I90" s="34" t="s">
        <v>175</v>
      </c>
      <c r="J90" s="34" t="s">
        <v>176</v>
      </c>
      <c r="K90" s="34">
        <v>1</v>
      </c>
      <c r="L90" s="34" t="s">
        <v>149</v>
      </c>
      <c r="M90" s="34" t="s">
        <v>163</v>
      </c>
      <c r="N90" s="34" t="s">
        <v>179</v>
      </c>
      <c r="O90" s="34" t="s">
        <v>184</v>
      </c>
      <c r="P90" s="34" t="s">
        <v>177</v>
      </c>
      <c r="Q90" s="34" t="s">
        <v>180</v>
      </c>
      <c r="R90" s="37">
        <v>9</v>
      </c>
      <c r="S90" s="37">
        <v>4</v>
      </c>
      <c r="T90" s="34">
        <v>8</v>
      </c>
      <c r="U90" s="34">
        <v>2</v>
      </c>
      <c r="V90" s="34" t="s">
        <v>145</v>
      </c>
      <c r="W90" s="34" t="s">
        <v>145</v>
      </c>
      <c r="X90" s="34" t="s">
        <v>145</v>
      </c>
      <c r="Y90" s="37">
        <v>-19.600000000000001</v>
      </c>
      <c r="Z90" s="34">
        <v>251</v>
      </c>
      <c r="AA90" s="39" t="s">
        <v>145</v>
      </c>
      <c r="AB90" s="34" t="s">
        <v>145</v>
      </c>
      <c r="AC90" s="34">
        <v>1680</v>
      </c>
      <c r="AD90" s="34">
        <v>1300</v>
      </c>
      <c r="AE90" s="34">
        <v>135</v>
      </c>
      <c r="AF90" s="34">
        <v>138</v>
      </c>
      <c r="AG90" s="34">
        <v>6</v>
      </c>
      <c r="AH90" s="34">
        <f>IF(CADO_EMPREGOS_2022[[#This Row],[ABORTIVA]]="METEORO","",IF(COUNTA(CADO_EMPREGOS_2022[[#This Row],[TRANSGRESSÕES]])&gt;0,0,CADO_EMPREGOS_2022[[#This Row],[NOTA COM PENALIDADES (FOULS)]]))</f>
        <v>9.1999999999999993</v>
      </c>
      <c r="AI90" s="34"/>
      <c r="AJ90" s="34">
        <f>IFERROR(IF(CADO_EMPREGOS_2022[[#This Row],[NOTA SEM FOULS]]=0,0,IF(COUNTIF(CADO_EMPREGOS_2022[[#This Row],[FOUL TVB]:[FOUL DE EIXO]],1)&gt;0,0,CADO_EMPREGOS_2022[[#This Row],[NOTA SEM FOULS]])),"")</f>
        <v>9.1999999999999993</v>
      </c>
      <c r="AK90" s="34">
        <f>IF(CADO_EMPREGOS_2022[[#This Row],[MODALIDADE]]="TT",CADO_EMPREGOS_2022[[#This Row],[NOTA ACERTOS]],IF(COUNTA(CADO_EMPREGOS_2022[[#This Row],[MODALIDADE]])=0,"",CADO_EMPREGOS_2022[[#This Row],[NOTA DISTÂNCIA]]))</f>
        <v>9.1999999999999993</v>
      </c>
      <c r="AL90" s="34">
        <f>IF(AND(CADO_EMPREGOS_2022[[#This Row],[MODALIDADE]]="BRB",CADO_EMPREGOS_2022[[#This Row],[TVB]]&lt;=3),1,0)</f>
        <v>0</v>
      </c>
      <c r="AM9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9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90" s="34">
        <f>IFERROR(IF(CADO_EMPREGOS_2022[[#This Row],[ALTURA DE RECUPERAÇÃO (FT)]]&lt;VLOOKUP(CADO_EMPREGOS_2022[[#This Row],[MODALIDADE]],Dados!$R$3:$AB$16,10,FALSE),1,0),"")</f>
        <v>0</v>
      </c>
      <c r="AP9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9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9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90" s="34" cm="1">
        <f t="array" ref="AS9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9.1999999999999993</v>
      </c>
      <c r="AT90" s="34" t="s">
        <v>174</v>
      </c>
    </row>
    <row r="91" spans="1:46" x14ac:dyDescent="0.25">
      <c r="A91" s="35">
        <v>44686</v>
      </c>
      <c r="B91" s="36">
        <v>0.79166666666666663</v>
      </c>
      <c r="C91" s="34" t="s">
        <v>187</v>
      </c>
      <c r="D91" s="34" t="s">
        <v>119</v>
      </c>
      <c r="E91" s="34">
        <v>5733</v>
      </c>
      <c r="F91" s="34" t="s">
        <v>134</v>
      </c>
      <c r="G91" s="34">
        <v>1</v>
      </c>
      <c r="H91" s="34" t="s">
        <v>158</v>
      </c>
      <c r="I91" s="34" t="s">
        <v>175</v>
      </c>
      <c r="J91" s="34" t="s">
        <v>176</v>
      </c>
      <c r="K91" s="34">
        <v>1</v>
      </c>
      <c r="L91" s="34" t="s">
        <v>149</v>
      </c>
      <c r="M91" s="34" t="s">
        <v>163</v>
      </c>
      <c r="N91" s="34" t="s">
        <v>179</v>
      </c>
      <c r="O91" s="34" t="s">
        <v>184</v>
      </c>
      <c r="P91" s="34" t="s">
        <v>177</v>
      </c>
      <c r="Q91" s="34" t="s">
        <v>180</v>
      </c>
      <c r="R91" s="37">
        <v>-7</v>
      </c>
      <c r="S91" s="37">
        <v>15</v>
      </c>
      <c r="T91" s="34">
        <v>13</v>
      </c>
      <c r="U91" s="34">
        <v>11</v>
      </c>
      <c r="V91" s="34" t="s">
        <v>145</v>
      </c>
      <c r="W91" s="34" t="s">
        <v>145</v>
      </c>
      <c r="X91" s="34" t="s">
        <v>145</v>
      </c>
      <c r="Y91" s="37">
        <v>-20.5</v>
      </c>
      <c r="Z91" s="34">
        <v>221</v>
      </c>
      <c r="AA91" s="39" t="s">
        <v>145</v>
      </c>
      <c r="AB91" s="34" t="s">
        <v>145</v>
      </c>
      <c r="AC91" s="34">
        <v>2680</v>
      </c>
      <c r="AD91" s="34">
        <v>1300</v>
      </c>
      <c r="AE91" s="34">
        <v>315</v>
      </c>
      <c r="AF91" s="34">
        <v>315</v>
      </c>
      <c r="AG91" s="34">
        <v>8</v>
      </c>
      <c r="AH91" s="34">
        <f>IF(CADO_EMPREGOS_2022[[#This Row],[ABORTIVA]]="METEORO","",IF(COUNTA(CADO_EMPREGOS_2022[[#This Row],[TRANSGRESSÕES]])&gt;0,0,CADO_EMPREGOS_2022[[#This Row],[NOTA COM PENALIDADES (FOULS)]]))</f>
        <v>0</v>
      </c>
      <c r="AI91" s="34"/>
      <c r="AJ91" s="34">
        <f>IFERROR(IF(CADO_EMPREGOS_2022[[#This Row],[NOTA SEM FOULS]]=0,0,IF(COUNTIF(CADO_EMPREGOS_2022[[#This Row],[FOUL TVB]:[FOUL DE EIXO]],1)&gt;0,0,CADO_EMPREGOS_2022[[#This Row],[NOTA SEM FOULS]])),"")</f>
        <v>0</v>
      </c>
      <c r="AK91" s="34">
        <f>IF(CADO_EMPREGOS_2022[[#This Row],[MODALIDADE]]="TT",CADO_EMPREGOS_2022[[#This Row],[NOTA ACERTOS]],IF(COUNTA(CADO_EMPREGOS_2022[[#This Row],[MODALIDADE]])=0,"",CADO_EMPREGOS_2022[[#This Row],[NOTA DISTÂNCIA]]))</f>
        <v>8.6999999999999993</v>
      </c>
      <c r="AL91" s="34">
        <f>IF(AND(CADO_EMPREGOS_2022[[#This Row],[MODALIDADE]]="BRB",CADO_EMPREGOS_2022[[#This Row],[TVB]]&lt;=3),1,0)</f>
        <v>0</v>
      </c>
      <c r="AM9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9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1</v>
      </c>
      <c r="AO91" s="34">
        <f>IFERROR(IF(CADO_EMPREGOS_2022[[#This Row],[ALTURA DE RECUPERAÇÃO (FT)]]&lt;VLOOKUP(CADO_EMPREGOS_2022[[#This Row],[MODALIDADE]],Dados!$R$3:$AB$16,10,FALSE),1,0),"")</f>
        <v>0</v>
      </c>
      <c r="AP9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9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91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91" s="34" cm="1">
        <f t="array" ref="AS9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8.6999999999999993</v>
      </c>
      <c r="AT91" s="34" t="s">
        <v>174</v>
      </c>
    </row>
    <row r="92" spans="1:46" x14ac:dyDescent="0.25">
      <c r="A92" s="35">
        <v>44685</v>
      </c>
      <c r="B92" s="36">
        <v>0.57638888888888895</v>
      </c>
      <c r="C92" s="34" t="s">
        <v>183</v>
      </c>
      <c r="D92" s="34" t="s">
        <v>119</v>
      </c>
      <c r="E92" s="34">
        <v>5927</v>
      </c>
      <c r="F92" s="34" t="s">
        <v>132</v>
      </c>
      <c r="G92" s="34">
        <v>1</v>
      </c>
      <c r="H92" s="34" t="s">
        <v>25</v>
      </c>
      <c r="I92" s="34" t="s">
        <v>175</v>
      </c>
      <c r="J92" s="34" t="s">
        <v>169</v>
      </c>
      <c r="K92" s="34">
        <f>IF(AND(CADO_EMPREGOS_2022[[#This Row],[R/S]]="R",CADO_EMPREGOS_2022[[#This Row],[ARMAMENTO]]="BEX",CADO_EMPREGOS_2022[[#This Row],[RECEPÇÃO]]&lt;&gt;"BOMBA PRESA"),1,0)</f>
        <v>0</v>
      </c>
      <c r="L92" s="34" t="s">
        <v>149</v>
      </c>
      <c r="M92" s="34" t="s">
        <v>163</v>
      </c>
      <c r="N92" s="34" t="s">
        <v>179</v>
      </c>
      <c r="O92" s="34" t="s">
        <v>184</v>
      </c>
      <c r="P92" s="34" t="s">
        <v>172</v>
      </c>
      <c r="Q92" s="34" t="s">
        <v>145</v>
      </c>
      <c r="R92" s="37" t="s">
        <v>145</v>
      </c>
      <c r="S92" s="37" t="s">
        <v>145</v>
      </c>
      <c r="T92" s="34" t="s">
        <v>145</v>
      </c>
      <c r="U92" s="34" t="s">
        <v>145</v>
      </c>
      <c r="V92" s="34">
        <v>30</v>
      </c>
      <c r="W92" s="34">
        <v>18</v>
      </c>
      <c r="X92" s="34">
        <f>IFERROR(CADO_EMPREGOS_2022[[#This Row],[ACERTOS]]/CADO_EMPREGOS_2022[[#This Row],[CARTUCHOS EMPREGADOS]],"")</f>
        <v>0.6</v>
      </c>
      <c r="Y92" s="37">
        <v>-13.7</v>
      </c>
      <c r="Z92" s="34">
        <v>240</v>
      </c>
      <c r="AA92" s="39">
        <v>881</v>
      </c>
      <c r="AB92" s="34">
        <v>649</v>
      </c>
      <c r="AC92" s="34">
        <v>280</v>
      </c>
      <c r="AD92" s="34">
        <f>VLOOKUP(CADO_EMPREGOS_2022[[#This Row],[MODALIDADE]],Dados!$R$3:$AB$16,10,FALSE)</f>
        <v>200</v>
      </c>
      <c r="AE92" s="34">
        <v>135</v>
      </c>
      <c r="AF92" s="34">
        <v>136</v>
      </c>
      <c r="AG92" s="34" t="s">
        <v>145</v>
      </c>
      <c r="AH92" s="34">
        <f>IF(CADO_EMPREGOS_2022[[#This Row],[ABORTIVA]]="METEORO","",IF(COUNTA(CADO_EMPREGOS_2022[[#This Row],[TRANSGRESSÕES]])&gt;0,0,CADO_EMPREGOS_2022[[#This Row],[NOTA COM PENALIDADES (FOULS)]]))</f>
        <v>6</v>
      </c>
      <c r="AI92" s="34"/>
      <c r="AJ92" s="34">
        <f>IFERROR(IF(CADO_EMPREGOS_2022[[#This Row],[NOTA SEM FOULS]]=0,0,IF(COUNTIF(CADO_EMPREGOS_2022[[#This Row],[FOUL TVB]:[FOUL DE EIXO]],1)&gt;0,0,CADO_EMPREGOS_2022[[#This Row],[NOTA SEM FOULS]])),"")</f>
        <v>6</v>
      </c>
      <c r="AK92" s="34">
        <f>IF(CADO_EMPREGOS_2022[[#This Row],[MODALIDADE]]="TT",CADO_EMPREGOS_2022[[#This Row],[NOTA ACERTOS]],IF(COUNTA(CADO_EMPREGOS_2022[[#This Row],[MODALIDADE]])=0,"",CADO_EMPREGOS_2022[[#This Row],[NOTA DISTÂNCIA]]))</f>
        <v>6</v>
      </c>
      <c r="AL92" s="34">
        <f>IF(AND(CADO_EMPREGOS_2022[[#This Row],[MODALIDADE]]="BRB",CADO_EMPREGOS_2022[[#This Row],[TVB]]&lt;=3),1,0)</f>
        <v>0</v>
      </c>
      <c r="AM9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9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92" s="34">
        <f>IFERROR(IF(CADO_EMPREGOS_2022[[#This Row],[ALTURA DE RECUPERAÇÃO (FT)]]&lt;VLOOKUP(CADO_EMPREGOS_2022[[#This Row],[MODALIDADE]],Dados!$R$3:$AB$16,10,FALSE),1,0),"")</f>
        <v>0</v>
      </c>
      <c r="AP9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9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92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6</v>
      </c>
      <c r="AS92" s="34" cm="1">
        <f t="array" ref="AS9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92" s="34" t="s">
        <v>174</v>
      </c>
    </row>
    <row r="93" spans="1:46" x14ac:dyDescent="0.25">
      <c r="A93" s="35">
        <v>44686</v>
      </c>
      <c r="B93" s="36">
        <v>0.79166666666666663</v>
      </c>
      <c r="C93" s="34" t="s">
        <v>187</v>
      </c>
      <c r="D93" s="34" t="s">
        <v>119</v>
      </c>
      <c r="E93" s="34">
        <v>5733</v>
      </c>
      <c r="F93" s="34" t="s">
        <v>134</v>
      </c>
      <c r="G93" s="34">
        <v>1</v>
      </c>
      <c r="H93" s="34" t="s">
        <v>25</v>
      </c>
      <c r="I93" s="34" t="s">
        <v>175</v>
      </c>
      <c r="J93" s="34" t="s">
        <v>169</v>
      </c>
      <c r="K93" s="34">
        <v>1</v>
      </c>
      <c r="L93" s="34" t="s">
        <v>149</v>
      </c>
      <c r="M93" s="34" t="s">
        <v>163</v>
      </c>
      <c r="N93" s="34" t="s">
        <v>179</v>
      </c>
      <c r="O93" s="34" t="s">
        <v>184</v>
      </c>
      <c r="P93" s="34" t="s">
        <v>172</v>
      </c>
      <c r="Q93" s="34" t="s">
        <v>145</v>
      </c>
      <c r="R93" s="37" t="s">
        <v>145</v>
      </c>
      <c r="S93" s="37" t="s">
        <v>145</v>
      </c>
      <c r="T93" s="34" t="s">
        <v>145</v>
      </c>
      <c r="U93" s="34" t="s">
        <v>145</v>
      </c>
      <c r="V93" s="34">
        <v>30</v>
      </c>
      <c r="W93" s="34">
        <v>25</v>
      </c>
      <c r="X93" s="34">
        <v>0.83</v>
      </c>
      <c r="Y93" s="37">
        <v>-15.2</v>
      </c>
      <c r="Z93" s="34">
        <v>247</v>
      </c>
      <c r="AA93" s="39">
        <v>834</v>
      </c>
      <c r="AB93" s="34">
        <v>663</v>
      </c>
      <c r="AC93" s="34">
        <v>350</v>
      </c>
      <c r="AD93" s="34">
        <v>200</v>
      </c>
      <c r="AE93" s="34">
        <v>135</v>
      </c>
      <c r="AF93" s="34">
        <v>134</v>
      </c>
      <c r="AG93" s="34" t="s">
        <v>145</v>
      </c>
      <c r="AH93" s="34">
        <f>IF(CADO_EMPREGOS_2022[[#This Row],[ABORTIVA]]="METEORO","",IF(COUNTA(CADO_EMPREGOS_2022[[#This Row],[TRANSGRESSÕES]])&gt;0,0,CADO_EMPREGOS_2022[[#This Row],[NOTA COM PENALIDADES (FOULS)]]))</f>
        <v>8.3333333333333339</v>
      </c>
      <c r="AI93" s="34"/>
      <c r="AJ93" s="34">
        <f>IFERROR(IF(CADO_EMPREGOS_2022[[#This Row],[NOTA SEM FOULS]]=0,0,IF(COUNTIF(CADO_EMPREGOS_2022[[#This Row],[FOUL TVB]:[FOUL DE EIXO]],1)&gt;0,0,CADO_EMPREGOS_2022[[#This Row],[NOTA SEM FOULS]])),"")</f>
        <v>8.3333333333333339</v>
      </c>
      <c r="AK93" s="34">
        <f>IF(CADO_EMPREGOS_2022[[#This Row],[MODALIDADE]]="TT",CADO_EMPREGOS_2022[[#This Row],[NOTA ACERTOS]],IF(COUNTA(CADO_EMPREGOS_2022[[#This Row],[MODALIDADE]])=0,"",CADO_EMPREGOS_2022[[#This Row],[NOTA DISTÂNCIA]]))</f>
        <v>8.3333333333333339</v>
      </c>
      <c r="AL93" s="34">
        <f>IF(AND(CADO_EMPREGOS_2022[[#This Row],[MODALIDADE]]="BRB",CADO_EMPREGOS_2022[[#This Row],[TVB]]&lt;=3),1,0)</f>
        <v>0</v>
      </c>
      <c r="AM9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9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93" s="34">
        <f>IFERROR(IF(CADO_EMPREGOS_2022[[#This Row],[ALTURA DE RECUPERAÇÃO (FT)]]&lt;VLOOKUP(CADO_EMPREGOS_2022[[#This Row],[MODALIDADE]],Dados!$R$3:$AB$16,10,FALSE),1,0),"")</f>
        <v>0</v>
      </c>
      <c r="AP9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9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93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8.3333333333333339</v>
      </c>
      <c r="AS93" s="34" cm="1">
        <f t="array" ref="AS9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93" s="34" t="s">
        <v>174</v>
      </c>
    </row>
    <row r="94" spans="1:46" x14ac:dyDescent="0.25">
      <c r="A94" s="35">
        <v>44686</v>
      </c>
      <c r="B94" s="36">
        <v>0.36805555555555558</v>
      </c>
      <c r="C94" s="34" t="s">
        <v>183</v>
      </c>
      <c r="D94" s="34" t="s">
        <v>122</v>
      </c>
      <c r="E94" s="34">
        <v>5733</v>
      </c>
      <c r="F94" s="34" t="s">
        <v>133</v>
      </c>
      <c r="G94" s="34">
        <v>1</v>
      </c>
      <c r="H94" s="34" t="s">
        <v>158</v>
      </c>
      <c r="I94" s="34" t="s">
        <v>175</v>
      </c>
      <c r="J94" s="34" t="s">
        <v>176</v>
      </c>
      <c r="K94" s="34">
        <v>1</v>
      </c>
      <c r="L94" s="34" t="s">
        <v>149</v>
      </c>
      <c r="M94" s="34" t="s">
        <v>163</v>
      </c>
      <c r="N94" s="34" t="s">
        <v>179</v>
      </c>
      <c r="O94" s="34" t="s">
        <v>184</v>
      </c>
      <c r="P94" s="34" t="s">
        <v>177</v>
      </c>
      <c r="Q94" s="34" t="s">
        <v>180</v>
      </c>
      <c r="R94" s="37">
        <v>7</v>
      </c>
      <c r="S94" s="37">
        <v>2</v>
      </c>
      <c r="T94" s="34">
        <v>6</v>
      </c>
      <c r="U94" s="34">
        <v>8</v>
      </c>
      <c r="V94" s="34" t="s">
        <v>145</v>
      </c>
      <c r="W94" s="34" t="s">
        <v>145</v>
      </c>
      <c r="X94" s="34" t="s">
        <v>145</v>
      </c>
      <c r="Y94" s="37">
        <v>-20.399999999999999</v>
      </c>
      <c r="Z94" s="34">
        <v>235</v>
      </c>
      <c r="AA94" s="39" t="s">
        <v>145</v>
      </c>
      <c r="AB94" s="34" t="s">
        <v>145</v>
      </c>
      <c r="AC94" s="34">
        <v>1780</v>
      </c>
      <c r="AD94" s="34">
        <v>1300</v>
      </c>
      <c r="AE94" s="34">
        <v>315</v>
      </c>
      <c r="AF94" s="34">
        <v>316</v>
      </c>
      <c r="AG94" s="34">
        <v>6</v>
      </c>
      <c r="AH94" s="34">
        <f>IF(CADO_EMPREGOS_2022[[#This Row],[ABORTIVA]]="METEORO","",IF(COUNTA(CADO_EMPREGOS_2022[[#This Row],[TRANSGRESSÕES]])&gt;0,0,CADO_EMPREGOS_2022[[#This Row],[NOTA COM PENALIDADES (FOULS)]]))</f>
        <v>9.4</v>
      </c>
      <c r="AI94" s="34"/>
      <c r="AJ94" s="34">
        <f>IFERROR(IF(CADO_EMPREGOS_2022[[#This Row],[NOTA SEM FOULS]]=0,0,IF(COUNTIF(CADO_EMPREGOS_2022[[#This Row],[FOUL TVB]:[FOUL DE EIXO]],1)&gt;0,0,CADO_EMPREGOS_2022[[#This Row],[NOTA SEM FOULS]])),"")</f>
        <v>9.4</v>
      </c>
      <c r="AK94" s="34">
        <f>IF(CADO_EMPREGOS_2022[[#This Row],[MODALIDADE]]="TT",CADO_EMPREGOS_2022[[#This Row],[NOTA ACERTOS]],IF(COUNTA(CADO_EMPREGOS_2022[[#This Row],[MODALIDADE]])=0,"",CADO_EMPREGOS_2022[[#This Row],[NOTA DISTÂNCIA]]))</f>
        <v>9.4</v>
      </c>
      <c r="AL94" s="34">
        <f>IF(AND(CADO_EMPREGOS_2022[[#This Row],[MODALIDADE]]="BRB",CADO_EMPREGOS_2022[[#This Row],[TVB]]&lt;=3),1,0)</f>
        <v>0</v>
      </c>
      <c r="AM9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9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94" s="34">
        <f>IFERROR(IF(CADO_EMPREGOS_2022[[#This Row],[ALTURA DE RECUPERAÇÃO (FT)]]&lt;VLOOKUP(CADO_EMPREGOS_2022[[#This Row],[MODALIDADE]],Dados!$R$3:$AB$16,10,FALSE),1,0),"")</f>
        <v>0</v>
      </c>
      <c r="AP9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9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94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94" s="34" cm="1">
        <f t="array" ref="AS9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9.4</v>
      </c>
      <c r="AT94" s="34" t="s">
        <v>174</v>
      </c>
    </row>
    <row r="95" spans="1:46" x14ac:dyDescent="0.25">
      <c r="A95" s="35">
        <v>44686</v>
      </c>
      <c r="B95" s="36">
        <v>0.36805555555555558</v>
      </c>
      <c r="C95" s="34" t="s">
        <v>183</v>
      </c>
      <c r="D95" s="34" t="s">
        <v>122</v>
      </c>
      <c r="E95" s="34">
        <v>5733</v>
      </c>
      <c r="F95" s="34" t="s">
        <v>133</v>
      </c>
      <c r="G95" s="34">
        <v>1</v>
      </c>
      <c r="H95" s="34" t="s">
        <v>158</v>
      </c>
      <c r="I95" s="34" t="s">
        <v>175</v>
      </c>
      <c r="J95" s="34" t="s">
        <v>176</v>
      </c>
      <c r="K95" s="34">
        <v>1</v>
      </c>
      <c r="L95" s="34" t="s">
        <v>149</v>
      </c>
      <c r="M95" s="34" t="s">
        <v>163</v>
      </c>
      <c r="N95" s="34" t="s">
        <v>179</v>
      </c>
      <c r="O95" s="34" t="s">
        <v>184</v>
      </c>
      <c r="P95" s="34" t="s">
        <v>177</v>
      </c>
      <c r="Q95" s="34" t="s">
        <v>180</v>
      </c>
      <c r="R95" s="37">
        <v>-9</v>
      </c>
      <c r="S95" s="37">
        <v>-3</v>
      </c>
      <c r="T95" s="34">
        <v>7.9</v>
      </c>
      <c r="U95" s="34">
        <v>8.1</v>
      </c>
      <c r="V95" s="34" t="s">
        <v>145</v>
      </c>
      <c r="W95" s="34" t="s">
        <v>145</v>
      </c>
      <c r="X95" s="34" t="s">
        <v>145</v>
      </c>
      <c r="Y95" s="37">
        <v>-19.399999999999999</v>
      </c>
      <c r="Z95" s="34">
        <v>251</v>
      </c>
      <c r="AA95" s="39" t="s">
        <v>145</v>
      </c>
      <c r="AB95" s="34" t="s">
        <v>145</v>
      </c>
      <c r="AC95" s="34">
        <v>1730</v>
      </c>
      <c r="AD95" s="34">
        <v>1300</v>
      </c>
      <c r="AE95" s="34">
        <v>135</v>
      </c>
      <c r="AF95" s="34">
        <v>137</v>
      </c>
      <c r="AG95" s="34">
        <v>6</v>
      </c>
      <c r="AH95" s="34">
        <f>IF(CADO_EMPREGOS_2022[[#This Row],[ABORTIVA]]="METEORO","",IF(COUNTA(CADO_EMPREGOS_2022[[#This Row],[TRANSGRESSÕES]])&gt;0,0,CADO_EMPREGOS_2022[[#This Row],[NOTA COM PENALIDADES (FOULS)]]))</f>
        <v>9.2100000000000009</v>
      </c>
      <c r="AI95" s="34"/>
      <c r="AJ95" s="34">
        <f>IFERROR(IF(CADO_EMPREGOS_2022[[#This Row],[NOTA SEM FOULS]]=0,0,IF(COUNTIF(CADO_EMPREGOS_2022[[#This Row],[FOUL TVB]:[FOUL DE EIXO]],1)&gt;0,0,CADO_EMPREGOS_2022[[#This Row],[NOTA SEM FOULS]])),"")</f>
        <v>9.2100000000000009</v>
      </c>
      <c r="AK95" s="34">
        <f>IF(CADO_EMPREGOS_2022[[#This Row],[MODALIDADE]]="TT",CADO_EMPREGOS_2022[[#This Row],[NOTA ACERTOS]],IF(COUNTA(CADO_EMPREGOS_2022[[#This Row],[MODALIDADE]])=0,"",CADO_EMPREGOS_2022[[#This Row],[NOTA DISTÂNCIA]]))</f>
        <v>9.2100000000000009</v>
      </c>
      <c r="AL95" s="34">
        <f>IF(AND(CADO_EMPREGOS_2022[[#This Row],[MODALIDADE]]="BRB",CADO_EMPREGOS_2022[[#This Row],[TVB]]&lt;=3),1,0)</f>
        <v>0</v>
      </c>
      <c r="AM9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9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95" s="34">
        <f>IFERROR(IF(CADO_EMPREGOS_2022[[#This Row],[ALTURA DE RECUPERAÇÃO (FT)]]&lt;VLOOKUP(CADO_EMPREGOS_2022[[#This Row],[MODALIDADE]],Dados!$R$3:$AB$16,10,FALSE),1,0),"")</f>
        <v>0</v>
      </c>
      <c r="AP9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9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95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95" s="34" cm="1">
        <f t="array" ref="AS9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9.2100000000000009</v>
      </c>
      <c r="AT95" s="34" t="s">
        <v>174</v>
      </c>
    </row>
    <row r="96" spans="1:46" x14ac:dyDescent="0.25">
      <c r="A96" s="35">
        <v>44687</v>
      </c>
      <c r="B96" s="36">
        <v>0.57638888888888895</v>
      </c>
      <c r="C96" s="34" t="s">
        <v>187</v>
      </c>
      <c r="D96" s="34" t="s">
        <v>122</v>
      </c>
      <c r="E96" s="34">
        <v>5959</v>
      </c>
      <c r="F96" s="34" t="s">
        <v>133</v>
      </c>
      <c r="G96" s="34">
        <v>1</v>
      </c>
      <c r="H96" s="34" t="s">
        <v>158</v>
      </c>
      <c r="I96" s="34" t="s">
        <v>175</v>
      </c>
      <c r="J96" s="34" t="s">
        <v>176</v>
      </c>
      <c r="K96" s="34">
        <v>1</v>
      </c>
      <c r="L96" s="34" t="s">
        <v>149</v>
      </c>
      <c r="M96" s="34" t="s">
        <v>163</v>
      </c>
      <c r="N96" s="34" t="s">
        <v>179</v>
      </c>
      <c r="O96" s="34" t="s">
        <v>184</v>
      </c>
      <c r="P96" s="34" t="s">
        <v>177</v>
      </c>
      <c r="Q96" s="34" t="s">
        <v>180</v>
      </c>
      <c r="R96" s="37">
        <v>-10</v>
      </c>
      <c r="S96" s="37">
        <v>-2</v>
      </c>
      <c r="T96" s="34">
        <v>8.4</v>
      </c>
      <c r="U96" s="34">
        <v>7.5</v>
      </c>
      <c r="V96" s="34" t="s">
        <v>145</v>
      </c>
      <c r="W96" s="34" t="s">
        <v>145</v>
      </c>
      <c r="X96" s="34" t="s">
        <v>145</v>
      </c>
      <c r="Y96" s="37">
        <v>-16.600000000000001</v>
      </c>
      <c r="Z96" s="34">
        <v>243</v>
      </c>
      <c r="AA96" s="39" t="s">
        <v>145</v>
      </c>
      <c r="AB96" s="34" t="s">
        <v>145</v>
      </c>
      <c r="AC96" s="34">
        <v>1410</v>
      </c>
      <c r="AD96" s="34">
        <v>1300</v>
      </c>
      <c r="AE96" s="34">
        <v>135</v>
      </c>
      <c r="AF96" s="34">
        <v>138</v>
      </c>
      <c r="AG96" s="34">
        <v>6</v>
      </c>
      <c r="AH96" s="34">
        <f>IF(CADO_EMPREGOS_2022[[#This Row],[ABORTIVA]]="METEORO","",IF(COUNTA(CADO_EMPREGOS_2022[[#This Row],[TRANSGRESSÕES]])&gt;0,0,CADO_EMPREGOS_2022[[#This Row],[NOTA COM PENALIDADES (FOULS)]]))</f>
        <v>9.16</v>
      </c>
      <c r="AI96" s="34"/>
      <c r="AJ96" s="34">
        <f>IFERROR(IF(CADO_EMPREGOS_2022[[#This Row],[NOTA SEM FOULS]]=0,0,IF(COUNTIF(CADO_EMPREGOS_2022[[#This Row],[FOUL TVB]:[FOUL DE EIXO]],1)&gt;0,0,CADO_EMPREGOS_2022[[#This Row],[NOTA SEM FOULS]])),"")</f>
        <v>9.16</v>
      </c>
      <c r="AK96" s="34">
        <f>IF(CADO_EMPREGOS_2022[[#This Row],[MODALIDADE]]="TT",CADO_EMPREGOS_2022[[#This Row],[NOTA ACERTOS]],IF(COUNTA(CADO_EMPREGOS_2022[[#This Row],[MODALIDADE]])=0,"",CADO_EMPREGOS_2022[[#This Row],[NOTA DISTÂNCIA]]))</f>
        <v>9.16</v>
      </c>
      <c r="AL96" s="34">
        <f>IF(AND(CADO_EMPREGOS_2022[[#This Row],[MODALIDADE]]="BRB",CADO_EMPREGOS_2022[[#This Row],[TVB]]&lt;=3),1,0)</f>
        <v>0</v>
      </c>
      <c r="AM9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9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96" s="34">
        <f>IFERROR(IF(CADO_EMPREGOS_2022[[#This Row],[ALTURA DE RECUPERAÇÃO (FT)]]&lt;VLOOKUP(CADO_EMPREGOS_2022[[#This Row],[MODALIDADE]],Dados!$R$3:$AB$16,10,FALSE),1,0),"")</f>
        <v>0</v>
      </c>
      <c r="AP9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9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9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96" s="34" cm="1">
        <f t="array" ref="AS9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9.16</v>
      </c>
      <c r="AT96" s="34" t="s">
        <v>174</v>
      </c>
    </row>
    <row r="97" spans="1:46" x14ac:dyDescent="0.25">
      <c r="A97" s="35">
        <v>44687</v>
      </c>
      <c r="B97" s="36">
        <v>0.57638888888888895</v>
      </c>
      <c r="C97" s="34" t="s">
        <v>187</v>
      </c>
      <c r="D97" s="34" t="s">
        <v>122</v>
      </c>
      <c r="E97" s="34">
        <v>5959</v>
      </c>
      <c r="F97" s="34" t="s">
        <v>133</v>
      </c>
      <c r="G97" s="34">
        <v>1</v>
      </c>
      <c r="H97" s="34" t="s">
        <v>158</v>
      </c>
      <c r="I97" s="34" t="s">
        <v>175</v>
      </c>
      <c r="J97" s="34" t="s">
        <v>176</v>
      </c>
      <c r="K97" s="34">
        <v>1</v>
      </c>
      <c r="L97" s="34" t="s">
        <v>149</v>
      </c>
      <c r="M97" s="34" t="s">
        <v>163</v>
      </c>
      <c r="N97" s="34" t="s">
        <v>179</v>
      </c>
      <c r="O97" s="34" t="s">
        <v>184</v>
      </c>
      <c r="P97" s="34" t="s">
        <v>177</v>
      </c>
      <c r="Q97" s="34" t="s">
        <v>180</v>
      </c>
      <c r="R97" s="37">
        <v>11</v>
      </c>
      <c r="S97" s="37">
        <v>0</v>
      </c>
      <c r="T97" s="34">
        <v>9</v>
      </c>
      <c r="U97" s="34">
        <v>7.3</v>
      </c>
      <c r="V97" s="34" t="s">
        <v>145</v>
      </c>
      <c r="W97" s="34" t="s">
        <v>145</v>
      </c>
      <c r="X97" s="34" t="s">
        <v>145</v>
      </c>
      <c r="Y97" s="37">
        <v>-15.9</v>
      </c>
      <c r="Z97" s="34">
        <v>233</v>
      </c>
      <c r="AA97" s="39" t="s">
        <v>145</v>
      </c>
      <c r="AB97" s="34" t="s">
        <v>145</v>
      </c>
      <c r="AC97" s="34">
        <v>1350</v>
      </c>
      <c r="AD97" s="34">
        <v>1300</v>
      </c>
      <c r="AE97" s="34">
        <v>315</v>
      </c>
      <c r="AF97" s="34">
        <v>316</v>
      </c>
      <c r="AG97" s="34">
        <v>5</v>
      </c>
      <c r="AH97" s="34">
        <f>IF(CADO_EMPREGOS_2022[[#This Row],[ABORTIVA]]="METEORO","",IF(COUNTA(CADO_EMPREGOS_2022[[#This Row],[TRANSGRESSÕES]])&gt;0,0,CADO_EMPREGOS_2022[[#This Row],[NOTA COM PENALIDADES (FOULS)]]))</f>
        <v>9.1</v>
      </c>
      <c r="AI97" s="34"/>
      <c r="AJ97" s="34">
        <f>IFERROR(IF(CADO_EMPREGOS_2022[[#This Row],[NOTA SEM FOULS]]=0,0,IF(COUNTIF(CADO_EMPREGOS_2022[[#This Row],[FOUL TVB]:[FOUL DE EIXO]],1)&gt;0,0,CADO_EMPREGOS_2022[[#This Row],[NOTA SEM FOULS]])),"")</f>
        <v>9.1</v>
      </c>
      <c r="AK97" s="34">
        <f>IF(CADO_EMPREGOS_2022[[#This Row],[MODALIDADE]]="TT",CADO_EMPREGOS_2022[[#This Row],[NOTA ACERTOS]],IF(COUNTA(CADO_EMPREGOS_2022[[#This Row],[MODALIDADE]])=0,"",CADO_EMPREGOS_2022[[#This Row],[NOTA DISTÂNCIA]]))</f>
        <v>9.1</v>
      </c>
      <c r="AL97" s="34">
        <f>IF(AND(CADO_EMPREGOS_2022[[#This Row],[MODALIDADE]]="BRB",CADO_EMPREGOS_2022[[#This Row],[TVB]]&lt;=3),1,0)</f>
        <v>0</v>
      </c>
      <c r="AM9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9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97" s="34">
        <f>IFERROR(IF(CADO_EMPREGOS_2022[[#This Row],[ALTURA DE RECUPERAÇÃO (FT)]]&lt;VLOOKUP(CADO_EMPREGOS_2022[[#This Row],[MODALIDADE]],Dados!$R$3:$AB$16,10,FALSE),1,0),"")</f>
        <v>0</v>
      </c>
      <c r="AP9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9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9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97" s="34" cm="1">
        <f t="array" ref="AS9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</v>
      </c>
      <c r="AT97" s="34" t="s">
        <v>174</v>
      </c>
    </row>
    <row r="98" spans="1:46" x14ac:dyDescent="0.25">
      <c r="A98" s="35">
        <v>44686</v>
      </c>
      <c r="B98" s="36">
        <v>0.36805555555555558</v>
      </c>
      <c r="C98" s="34" t="s">
        <v>183</v>
      </c>
      <c r="D98" s="34" t="s">
        <v>122</v>
      </c>
      <c r="E98" s="34">
        <v>5733</v>
      </c>
      <c r="F98" s="34" t="s">
        <v>133</v>
      </c>
      <c r="G98" s="34">
        <v>1</v>
      </c>
      <c r="H98" s="34" t="s">
        <v>25</v>
      </c>
      <c r="I98" s="34" t="s">
        <v>175</v>
      </c>
      <c r="J98" s="34" t="s">
        <v>169</v>
      </c>
      <c r="K98" s="34">
        <v>1</v>
      </c>
      <c r="L98" s="34" t="s">
        <v>149</v>
      </c>
      <c r="M98" s="34" t="s">
        <v>163</v>
      </c>
      <c r="N98" s="34" t="s">
        <v>179</v>
      </c>
      <c r="O98" s="34" t="s">
        <v>184</v>
      </c>
      <c r="P98" s="34" t="s">
        <v>172</v>
      </c>
      <c r="Q98" s="34" t="s">
        <v>145</v>
      </c>
      <c r="R98" s="37" t="s">
        <v>145</v>
      </c>
      <c r="S98" s="37" t="s">
        <v>145</v>
      </c>
      <c r="T98" s="34" t="s">
        <v>145</v>
      </c>
      <c r="U98" s="34" t="s">
        <v>145</v>
      </c>
      <c r="V98" s="34">
        <v>28</v>
      </c>
      <c r="W98" s="34">
        <v>28</v>
      </c>
      <c r="X98" s="34">
        <v>1</v>
      </c>
      <c r="Y98" s="37">
        <v>-16.3</v>
      </c>
      <c r="Z98" s="34">
        <v>241</v>
      </c>
      <c r="AA98" s="39">
        <v>756</v>
      </c>
      <c r="AB98" s="34">
        <v>568</v>
      </c>
      <c r="AC98" s="34">
        <v>310</v>
      </c>
      <c r="AD98" s="34">
        <v>200</v>
      </c>
      <c r="AE98" s="34">
        <v>135</v>
      </c>
      <c r="AF98" s="34">
        <v>137</v>
      </c>
      <c r="AG98" s="34" t="s">
        <v>145</v>
      </c>
      <c r="AH98" s="34">
        <f>IF(CADO_EMPREGOS_2022[[#This Row],[ABORTIVA]]="METEORO","",IF(COUNTA(CADO_EMPREGOS_2022[[#This Row],[TRANSGRESSÕES]])&gt;0,0,CADO_EMPREGOS_2022[[#This Row],[NOTA COM PENALIDADES (FOULS)]]))</f>
        <v>9.3333333333333339</v>
      </c>
      <c r="AI98" s="34"/>
      <c r="AJ98" s="34">
        <f>IFERROR(IF(CADO_EMPREGOS_2022[[#This Row],[NOTA SEM FOULS]]=0,0,IF(COUNTIF(CADO_EMPREGOS_2022[[#This Row],[FOUL TVB]:[FOUL DE EIXO]],1)&gt;0,0,CADO_EMPREGOS_2022[[#This Row],[NOTA SEM FOULS]])),"")</f>
        <v>9.3333333333333339</v>
      </c>
      <c r="AK98" s="34">
        <f>IF(CADO_EMPREGOS_2022[[#This Row],[MODALIDADE]]="TT",CADO_EMPREGOS_2022[[#This Row],[NOTA ACERTOS]],IF(COUNTA(CADO_EMPREGOS_2022[[#This Row],[MODALIDADE]])=0,"",CADO_EMPREGOS_2022[[#This Row],[NOTA DISTÂNCIA]]))</f>
        <v>9.3333333333333339</v>
      </c>
      <c r="AL98" s="34">
        <f>IF(AND(CADO_EMPREGOS_2022[[#This Row],[MODALIDADE]]="BRB",CADO_EMPREGOS_2022[[#This Row],[TVB]]&lt;=3),1,0)</f>
        <v>0</v>
      </c>
      <c r="AM9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9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98" s="34">
        <f>IFERROR(IF(CADO_EMPREGOS_2022[[#This Row],[ALTURA DE RECUPERAÇÃO (FT)]]&lt;VLOOKUP(CADO_EMPREGOS_2022[[#This Row],[MODALIDADE]],Dados!$R$3:$AB$16,10,FALSE),1,0),"")</f>
        <v>0</v>
      </c>
      <c r="AP9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9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98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9.3333333333333339</v>
      </c>
      <c r="AS98" s="34" cm="1">
        <f t="array" ref="AS9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98" s="34" t="s">
        <v>174</v>
      </c>
    </row>
    <row r="99" spans="1:46" x14ac:dyDescent="0.25">
      <c r="A99" s="35">
        <v>44687</v>
      </c>
      <c r="B99" s="36">
        <v>0.57638888888888895</v>
      </c>
      <c r="C99" s="34" t="s">
        <v>187</v>
      </c>
      <c r="D99" s="34" t="s">
        <v>122</v>
      </c>
      <c r="E99" s="34">
        <v>5959</v>
      </c>
      <c r="F99" s="34" t="s">
        <v>133</v>
      </c>
      <c r="G99" s="34">
        <v>1</v>
      </c>
      <c r="H99" s="34" t="s">
        <v>25</v>
      </c>
      <c r="I99" s="34" t="s">
        <v>175</v>
      </c>
      <c r="J99" s="34" t="s">
        <v>169</v>
      </c>
      <c r="K99" s="34">
        <v>1</v>
      </c>
      <c r="L99" s="34" t="s">
        <v>149</v>
      </c>
      <c r="M99" s="34" t="s">
        <v>163</v>
      </c>
      <c r="N99" s="34" t="s">
        <v>179</v>
      </c>
      <c r="O99" s="34" t="s">
        <v>184</v>
      </c>
      <c r="P99" s="34" t="s">
        <v>172</v>
      </c>
      <c r="Q99" s="34" t="s">
        <v>145</v>
      </c>
      <c r="R99" s="37" t="s">
        <v>145</v>
      </c>
      <c r="S99" s="37" t="s">
        <v>145</v>
      </c>
      <c r="T99" s="34" t="s">
        <v>145</v>
      </c>
      <c r="U99" s="34" t="s">
        <v>145</v>
      </c>
      <c r="V99" s="34">
        <v>29</v>
      </c>
      <c r="W99" s="34">
        <v>22</v>
      </c>
      <c r="X99" s="34">
        <v>0.76</v>
      </c>
      <c r="Y99" s="37">
        <v>-17</v>
      </c>
      <c r="Z99" s="34">
        <v>249</v>
      </c>
      <c r="AA99" s="39">
        <v>728</v>
      </c>
      <c r="AB99" s="34">
        <v>545</v>
      </c>
      <c r="AC99" s="34">
        <v>310</v>
      </c>
      <c r="AD99" s="34">
        <v>200</v>
      </c>
      <c r="AE99" s="34">
        <v>135</v>
      </c>
      <c r="AF99" s="34">
        <v>136</v>
      </c>
      <c r="AG99" s="34" t="s">
        <v>145</v>
      </c>
      <c r="AH99" s="34">
        <f>IF(CADO_EMPREGOS_2022[[#This Row],[ABORTIVA]]="METEORO","",IF(COUNTA(CADO_EMPREGOS_2022[[#This Row],[TRANSGRESSÕES]])&gt;0,0,CADO_EMPREGOS_2022[[#This Row],[NOTA COM PENALIDADES (FOULS)]]))</f>
        <v>7.333333333333333</v>
      </c>
      <c r="AI99" s="34"/>
      <c r="AJ99" s="34">
        <f>IFERROR(IF(CADO_EMPREGOS_2022[[#This Row],[NOTA SEM FOULS]]=0,0,IF(COUNTIF(CADO_EMPREGOS_2022[[#This Row],[FOUL TVB]:[FOUL DE EIXO]],1)&gt;0,0,CADO_EMPREGOS_2022[[#This Row],[NOTA SEM FOULS]])),"")</f>
        <v>7.333333333333333</v>
      </c>
      <c r="AK99" s="34">
        <f>IF(CADO_EMPREGOS_2022[[#This Row],[MODALIDADE]]="TT",CADO_EMPREGOS_2022[[#This Row],[NOTA ACERTOS]],IF(COUNTA(CADO_EMPREGOS_2022[[#This Row],[MODALIDADE]])=0,"",CADO_EMPREGOS_2022[[#This Row],[NOTA DISTÂNCIA]]))</f>
        <v>7.333333333333333</v>
      </c>
      <c r="AL99" s="34">
        <f>IF(AND(CADO_EMPREGOS_2022[[#This Row],[MODALIDADE]]="BRB",CADO_EMPREGOS_2022[[#This Row],[TVB]]&lt;=3),1,0)</f>
        <v>0</v>
      </c>
      <c r="AM9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9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99" s="34">
        <f>IFERROR(IF(CADO_EMPREGOS_2022[[#This Row],[ALTURA DE RECUPERAÇÃO (FT)]]&lt;VLOOKUP(CADO_EMPREGOS_2022[[#This Row],[MODALIDADE]],Dados!$R$3:$AB$16,10,FALSE),1,0),"")</f>
        <v>0</v>
      </c>
      <c r="AP9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9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99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7.333333333333333</v>
      </c>
      <c r="AS99" s="34" cm="1">
        <f t="array" ref="AS9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99" s="34" t="s">
        <v>174</v>
      </c>
    </row>
    <row r="100" spans="1:46" x14ac:dyDescent="0.25">
      <c r="A100" s="35">
        <v>44698</v>
      </c>
      <c r="B100" s="36">
        <v>0.36805555555555558</v>
      </c>
      <c r="C100" s="34" t="s">
        <v>183</v>
      </c>
      <c r="D100" s="34" t="s">
        <v>129</v>
      </c>
      <c r="E100" s="34">
        <v>5927</v>
      </c>
      <c r="F100" s="34" t="s">
        <v>133</v>
      </c>
      <c r="G100" s="34">
        <v>3</v>
      </c>
      <c r="H100" s="34" t="s">
        <v>158</v>
      </c>
      <c r="I100" s="34" t="s">
        <v>175</v>
      </c>
      <c r="J100" s="34" t="s">
        <v>176</v>
      </c>
      <c r="K100" s="34">
        <v>1</v>
      </c>
      <c r="L100" s="34" t="s">
        <v>149</v>
      </c>
      <c r="M100" s="34" t="s">
        <v>163</v>
      </c>
      <c r="N100" s="34" t="s">
        <v>179</v>
      </c>
      <c r="O100" s="34" t="s">
        <v>184</v>
      </c>
      <c r="P100" s="34" t="s">
        <v>177</v>
      </c>
      <c r="Q100" s="34" t="s">
        <v>180</v>
      </c>
      <c r="R100" s="37">
        <v>-3</v>
      </c>
      <c r="S100" s="37">
        <v>10</v>
      </c>
      <c r="T100" s="34">
        <v>8.3000000000000007</v>
      </c>
      <c r="U100" s="34">
        <v>5</v>
      </c>
      <c r="V100" s="34" t="s">
        <v>145</v>
      </c>
      <c r="W100" s="34" t="s">
        <v>145</v>
      </c>
      <c r="X100" s="34" t="s">
        <v>145</v>
      </c>
      <c r="Y100" s="37">
        <v>-18.7</v>
      </c>
      <c r="Z100" s="34">
        <v>252</v>
      </c>
      <c r="AA100" s="39" t="s">
        <v>145</v>
      </c>
      <c r="AB100" s="34" t="s">
        <v>145</v>
      </c>
      <c r="AC100" s="34">
        <v>1760</v>
      </c>
      <c r="AD100" s="34">
        <v>1300</v>
      </c>
      <c r="AE100" s="34">
        <v>135</v>
      </c>
      <c r="AF100" s="34">
        <v>135</v>
      </c>
      <c r="AG100" s="34">
        <v>7</v>
      </c>
      <c r="AH100" s="34">
        <f>IF(CADO_EMPREGOS_2022[[#This Row],[ABORTIVA]]="METEORO","",IF(COUNTA(CADO_EMPREGOS_2022[[#This Row],[TRANSGRESSÕES]])&gt;0,0,CADO_EMPREGOS_2022[[#This Row],[NOTA COM PENALIDADES (FOULS)]]))</f>
        <v>9.17</v>
      </c>
      <c r="AI100" s="34"/>
      <c r="AJ100" s="34">
        <f>IFERROR(IF(CADO_EMPREGOS_2022[[#This Row],[NOTA SEM FOULS]]=0,0,IF(COUNTIF(CADO_EMPREGOS_2022[[#This Row],[FOUL TVB]:[FOUL DE EIXO]],1)&gt;0,0,CADO_EMPREGOS_2022[[#This Row],[NOTA SEM FOULS]])),"")</f>
        <v>9.17</v>
      </c>
      <c r="AK100" s="34">
        <f>IF(CADO_EMPREGOS_2022[[#This Row],[MODALIDADE]]="TT",CADO_EMPREGOS_2022[[#This Row],[NOTA ACERTOS]],IF(COUNTA(CADO_EMPREGOS_2022[[#This Row],[MODALIDADE]])=0,"",CADO_EMPREGOS_2022[[#This Row],[NOTA DISTÂNCIA]]))</f>
        <v>9.17</v>
      </c>
      <c r="AL100" s="34">
        <f>IF(AND(CADO_EMPREGOS_2022[[#This Row],[MODALIDADE]]="BRB",CADO_EMPREGOS_2022[[#This Row],[TVB]]&lt;=3),1,0)</f>
        <v>0</v>
      </c>
      <c r="AM10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0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00" s="34">
        <f>IFERROR(IF(CADO_EMPREGOS_2022[[#This Row],[ALTURA DE RECUPERAÇÃO (FT)]]&lt;VLOOKUP(CADO_EMPREGOS_2022[[#This Row],[MODALIDADE]],Dados!$R$3:$AB$16,10,FALSE),1,0),"")</f>
        <v>0</v>
      </c>
      <c r="AP10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0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0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00" s="34" cm="1">
        <f t="array" ref="AS10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9.17</v>
      </c>
      <c r="AT100" s="34" t="s">
        <v>174</v>
      </c>
    </row>
    <row r="101" spans="1:46" x14ac:dyDescent="0.25">
      <c r="A101" s="35">
        <v>44699</v>
      </c>
      <c r="B101" s="36">
        <v>0.6875</v>
      </c>
      <c r="C101" s="34" t="s">
        <v>187</v>
      </c>
      <c r="D101" s="34" t="s">
        <v>129</v>
      </c>
      <c r="E101" s="34">
        <v>5927</v>
      </c>
      <c r="F101" s="34" t="s">
        <v>100</v>
      </c>
      <c r="G101" s="34">
        <v>3</v>
      </c>
      <c r="H101" s="34" t="s">
        <v>158</v>
      </c>
      <c r="I101" s="34" t="s">
        <v>175</v>
      </c>
      <c r="J101" s="34" t="s">
        <v>176</v>
      </c>
      <c r="K101" s="34">
        <v>1</v>
      </c>
      <c r="L101" s="34" t="s">
        <v>149</v>
      </c>
      <c r="M101" s="34" t="s">
        <v>163</v>
      </c>
      <c r="N101" s="34" t="s">
        <v>179</v>
      </c>
      <c r="O101" s="34" t="s">
        <v>184</v>
      </c>
      <c r="P101" s="34" t="s">
        <v>177</v>
      </c>
      <c r="Q101" s="34" t="s">
        <v>180</v>
      </c>
      <c r="R101" s="37">
        <v>-8</v>
      </c>
      <c r="S101" s="37">
        <v>10</v>
      </c>
      <c r="T101" s="34">
        <v>10.1</v>
      </c>
      <c r="U101" s="34">
        <v>5.8</v>
      </c>
      <c r="V101" s="34" t="s">
        <v>145</v>
      </c>
      <c r="W101" s="34" t="s">
        <v>145</v>
      </c>
      <c r="X101" s="34" t="s">
        <v>145</v>
      </c>
      <c r="Y101" s="37">
        <v>-17.100000000000001</v>
      </c>
      <c r="Z101" s="34">
        <v>246</v>
      </c>
      <c r="AA101" s="39" t="s">
        <v>145</v>
      </c>
      <c r="AB101" s="34" t="s">
        <v>145</v>
      </c>
      <c r="AC101" s="34">
        <v>1730</v>
      </c>
      <c r="AD101" s="34">
        <v>1300</v>
      </c>
      <c r="AE101" s="34">
        <v>135</v>
      </c>
      <c r="AF101" s="34">
        <v>135</v>
      </c>
      <c r="AG101" s="34">
        <v>6</v>
      </c>
      <c r="AH101" s="34">
        <f>IF(CADO_EMPREGOS_2022[[#This Row],[ABORTIVA]]="METEORO","",IF(COUNTA(CADO_EMPREGOS_2022[[#This Row],[TRANSGRESSÕES]])&gt;0,0,CADO_EMPREGOS_2022[[#This Row],[NOTA COM PENALIDADES (FOULS)]]))</f>
        <v>8.99</v>
      </c>
      <c r="AI101" s="34"/>
      <c r="AJ101" s="34">
        <f>IFERROR(IF(CADO_EMPREGOS_2022[[#This Row],[NOTA SEM FOULS]]=0,0,IF(COUNTIF(CADO_EMPREGOS_2022[[#This Row],[FOUL TVB]:[FOUL DE EIXO]],1)&gt;0,0,CADO_EMPREGOS_2022[[#This Row],[NOTA SEM FOULS]])),"")</f>
        <v>8.99</v>
      </c>
      <c r="AK101" s="34">
        <f>IF(CADO_EMPREGOS_2022[[#This Row],[MODALIDADE]]="TT",CADO_EMPREGOS_2022[[#This Row],[NOTA ACERTOS]],IF(COUNTA(CADO_EMPREGOS_2022[[#This Row],[MODALIDADE]])=0,"",CADO_EMPREGOS_2022[[#This Row],[NOTA DISTÂNCIA]]))</f>
        <v>8.99</v>
      </c>
      <c r="AL101" s="34">
        <f>IF(AND(CADO_EMPREGOS_2022[[#This Row],[MODALIDADE]]="BRB",CADO_EMPREGOS_2022[[#This Row],[TVB]]&lt;=3),1,0)</f>
        <v>0</v>
      </c>
      <c r="AM10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0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01" s="34">
        <f>IFERROR(IF(CADO_EMPREGOS_2022[[#This Row],[ALTURA DE RECUPERAÇÃO (FT)]]&lt;VLOOKUP(CADO_EMPREGOS_2022[[#This Row],[MODALIDADE]],Dados!$R$3:$AB$16,10,FALSE),1,0),"")</f>
        <v>0</v>
      </c>
      <c r="AP10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0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01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01" s="34" cm="1">
        <f t="array" ref="AS10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8.99</v>
      </c>
      <c r="AT101" s="34" t="s">
        <v>174</v>
      </c>
    </row>
    <row r="102" spans="1:46" x14ac:dyDescent="0.25">
      <c r="A102" s="35">
        <v>44698</v>
      </c>
      <c r="B102" s="36">
        <v>0.36805555555555558</v>
      </c>
      <c r="C102" s="34" t="s">
        <v>183</v>
      </c>
      <c r="D102" s="34" t="s">
        <v>129</v>
      </c>
      <c r="E102" s="34">
        <v>5927</v>
      </c>
      <c r="F102" s="34" t="s">
        <v>133</v>
      </c>
      <c r="G102" s="34">
        <v>3</v>
      </c>
      <c r="H102" s="34" t="s">
        <v>25</v>
      </c>
      <c r="I102" s="34" t="s">
        <v>175</v>
      </c>
      <c r="J102" s="34" t="s">
        <v>169</v>
      </c>
      <c r="K102" s="34">
        <v>0</v>
      </c>
      <c r="L102" s="34" t="s">
        <v>188</v>
      </c>
      <c r="M102" s="34" t="s">
        <v>163</v>
      </c>
      <c r="N102" s="34" t="s">
        <v>179</v>
      </c>
      <c r="O102" s="34" t="s">
        <v>184</v>
      </c>
      <c r="P102" s="34" t="s">
        <v>172</v>
      </c>
      <c r="Q102" s="34" t="s">
        <v>145</v>
      </c>
      <c r="R102" s="37" t="s">
        <v>145</v>
      </c>
      <c r="S102" s="37" t="s">
        <v>145</v>
      </c>
      <c r="T102" s="34" t="s">
        <v>145</v>
      </c>
      <c r="U102" s="34" t="s">
        <v>145</v>
      </c>
      <c r="V102" s="34">
        <v>24</v>
      </c>
      <c r="W102" s="34">
        <v>20</v>
      </c>
      <c r="X102" s="34">
        <v>0.83</v>
      </c>
      <c r="Y102" s="37">
        <v>-15.8</v>
      </c>
      <c r="Z102" s="34">
        <v>222</v>
      </c>
      <c r="AA102" s="39">
        <v>849</v>
      </c>
      <c r="AB102" s="34">
        <v>674</v>
      </c>
      <c r="AC102" s="34">
        <v>350</v>
      </c>
      <c r="AD102" s="34">
        <v>200</v>
      </c>
      <c r="AE102" s="34">
        <v>135</v>
      </c>
      <c r="AF102" s="34">
        <v>118</v>
      </c>
      <c r="AG102" s="34" t="s">
        <v>145</v>
      </c>
      <c r="AH102" s="34">
        <f>IF(CADO_EMPREGOS_2022[[#This Row],[ABORTIVA]]="METEORO","",IF(COUNTA(CADO_EMPREGOS_2022[[#This Row],[TRANSGRESSÕES]])&gt;0,0,CADO_EMPREGOS_2022[[#This Row],[NOTA COM PENALIDADES (FOULS)]]))</f>
        <v>0</v>
      </c>
      <c r="AI102" s="34"/>
      <c r="AJ102" s="34">
        <f>IFERROR(IF(CADO_EMPREGOS_2022[[#This Row],[NOTA SEM FOULS]]=0,0,IF(COUNTIF(CADO_EMPREGOS_2022[[#This Row],[FOUL TVB]:[FOUL DE EIXO]],1)&gt;0,0,CADO_EMPREGOS_2022[[#This Row],[NOTA SEM FOULS]])),"")</f>
        <v>0</v>
      </c>
      <c r="AK102" s="34">
        <f>IF(CADO_EMPREGOS_2022[[#This Row],[MODALIDADE]]="TT",CADO_EMPREGOS_2022[[#This Row],[NOTA ACERTOS]],IF(COUNTA(CADO_EMPREGOS_2022[[#This Row],[MODALIDADE]])=0,"",CADO_EMPREGOS_2022[[#This Row],[NOTA DISTÂNCIA]]))</f>
        <v>6.6666666666666661</v>
      </c>
      <c r="AL102" s="34">
        <f>IF(AND(CADO_EMPREGOS_2022[[#This Row],[MODALIDADE]]="BRB",CADO_EMPREGOS_2022[[#This Row],[TVB]]&lt;=3),1,0)</f>
        <v>0</v>
      </c>
      <c r="AM10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0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1</v>
      </c>
      <c r="AO102" s="34">
        <f>IFERROR(IF(CADO_EMPREGOS_2022[[#This Row],[ALTURA DE RECUPERAÇÃO (FT)]]&lt;VLOOKUP(CADO_EMPREGOS_2022[[#This Row],[MODALIDADE]],Dados!$R$3:$AB$16,10,FALSE),1,0),"")</f>
        <v>0</v>
      </c>
      <c r="AP10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0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1</v>
      </c>
      <c r="AR102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6.6666666666666661</v>
      </c>
      <c r="AS102" s="34" cm="1">
        <f t="array" ref="AS10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02" s="34" t="s">
        <v>174</v>
      </c>
    </row>
    <row r="103" spans="1:46" x14ac:dyDescent="0.25">
      <c r="A103" s="35">
        <v>44699</v>
      </c>
      <c r="B103" s="36">
        <v>0.6875</v>
      </c>
      <c r="C103" s="34" t="s">
        <v>187</v>
      </c>
      <c r="D103" s="34" t="s">
        <v>129</v>
      </c>
      <c r="E103" s="34">
        <v>5927</v>
      </c>
      <c r="F103" s="34" t="s">
        <v>100</v>
      </c>
      <c r="G103" s="34">
        <v>3</v>
      </c>
      <c r="H103" s="34" t="s">
        <v>25</v>
      </c>
      <c r="I103" s="34" t="s">
        <v>175</v>
      </c>
      <c r="J103" s="34" t="s">
        <v>169</v>
      </c>
      <c r="K103" s="34">
        <v>0</v>
      </c>
      <c r="L103" s="34" t="s">
        <v>149</v>
      </c>
      <c r="M103" s="34" t="s">
        <v>163</v>
      </c>
      <c r="N103" s="34" t="s">
        <v>179</v>
      </c>
      <c r="O103" s="34" t="s">
        <v>184</v>
      </c>
      <c r="P103" s="34" t="s">
        <v>172</v>
      </c>
      <c r="Q103" s="34" t="s">
        <v>145</v>
      </c>
      <c r="R103" s="37" t="s">
        <v>145</v>
      </c>
      <c r="S103" s="37" t="s">
        <v>145</v>
      </c>
      <c r="T103" s="34" t="s">
        <v>145</v>
      </c>
      <c r="U103" s="34" t="s">
        <v>145</v>
      </c>
      <c r="V103" s="34">
        <v>28</v>
      </c>
      <c r="W103" s="34">
        <v>27</v>
      </c>
      <c r="X103" s="34">
        <v>0.96</v>
      </c>
      <c r="Y103" s="37">
        <v>-14.6</v>
      </c>
      <c r="Z103" s="34">
        <v>238</v>
      </c>
      <c r="AA103" s="39">
        <v>708</v>
      </c>
      <c r="AB103" s="34">
        <v>623</v>
      </c>
      <c r="AC103" s="34">
        <v>330</v>
      </c>
      <c r="AD103" s="34">
        <v>200</v>
      </c>
      <c r="AE103" s="34">
        <v>135</v>
      </c>
      <c r="AF103" s="34">
        <v>128</v>
      </c>
      <c r="AG103" s="34" t="s">
        <v>145</v>
      </c>
      <c r="AH103" s="34">
        <f>IF(CADO_EMPREGOS_2022[[#This Row],[ABORTIVA]]="METEORO","",IF(COUNTA(CADO_EMPREGOS_2022[[#This Row],[TRANSGRESSÕES]])&gt;0,0,CADO_EMPREGOS_2022[[#This Row],[NOTA COM PENALIDADES (FOULS)]]))</f>
        <v>9</v>
      </c>
      <c r="AI103" s="34"/>
      <c r="AJ103" s="34">
        <f>IFERROR(IF(CADO_EMPREGOS_2022[[#This Row],[NOTA SEM FOULS]]=0,0,IF(COUNTIF(CADO_EMPREGOS_2022[[#This Row],[FOUL TVB]:[FOUL DE EIXO]],1)&gt;0,0,CADO_EMPREGOS_2022[[#This Row],[NOTA SEM FOULS]])),"")</f>
        <v>9</v>
      </c>
      <c r="AK103" s="34">
        <f>IF(CADO_EMPREGOS_2022[[#This Row],[MODALIDADE]]="TT",CADO_EMPREGOS_2022[[#This Row],[NOTA ACERTOS]],IF(COUNTA(CADO_EMPREGOS_2022[[#This Row],[MODALIDADE]])=0,"",CADO_EMPREGOS_2022[[#This Row],[NOTA DISTÂNCIA]]))</f>
        <v>9</v>
      </c>
      <c r="AL103" s="34">
        <f>IF(AND(CADO_EMPREGOS_2022[[#This Row],[MODALIDADE]]="BRB",CADO_EMPREGOS_2022[[#This Row],[TVB]]&lt;=3),1,0)</f>
        <v>0</v>
      </c>
      <c r="AM10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0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03" s="34">
        <f>IFERROR(IF(CADO_EMPREGOS_2022[[#This Row],[ALTURA DE RECUPERAÇÃO (FT)]]&lt;VLOOKUP(CADO_EMPREGOS_2022[[#This Row],[MODALIDADE]],Dados!$R$3:$AB$16,10,FALSE),1,0),"")</f>
        <v>0</v>
      </c>
      <c r="AP10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0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03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</v>
      </c>
      <c r="AS103" s="34" cm="1">
        <f t="array" ref="AS10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03" s="34" t="s">
        <v>174</v>
      </c>
    </row>
    <row r="104" spans="1:46" x14ac:dyDescent="0.25">
      <c r="A104" s="35">
        <v>44698</v>
      </c>
      <c r="B104" s="36">
        <v>0.57638888888888895</v>
      </c>
      <c r="C104" s="34" t="s">
        <v>183</v>
      </c>
      <c r="D104" s="34" t="s">
        <v>105</v>
      </c>
      <c r="E104" s="34">
        <v>5959</v>
      </c>
      <c r="F104" s="34" t="s">
        <v>134</v>
      </c>
      <c r="G104" s="34">
        <v>4</v>
      </c>
      <c r="H104" s="34" t="s">
        <v>158</v>
      </c>
      <c r="I104" s="34" t="s">
        <v>175</v>
      </c>
      <c r="J104" s="34" t="s">
        <v>176</v>
      </c>
      <c r="K104" s="34">
        <v>1</v>
      </c>
      <c r="L104" s="34" t="s">
        <v>149</v>
      </c>
      <c r="M104" s="34" t="s">
        <v>163</v>
      </c>
      <c r="N104" s="34" t="s">
        <v>179</v>
      </c>
      <c r="O104" s="34" t="s">
        <v>184</v>
      </c>
      <c r="P104" s="34" t="s">
        <v>177</v>
      </c>
      <c r="Q104" s="34" t="s">
        <v>180</v>
      </c>
      <c r="R104" s="37">
        <v>-11</v>
      </c>
      <c r="S104" s="37">
        <v>-3</v>
      </c>
      <c r="T104" s="34">
        <v>9.4</v>
      </c>
      <c r="U104" s="34">
        <v>8</v>
      </c>
      <c r="V104" s="34" t="s">
        <v>145</v>
      </c>
      <c r="W104" s="34" t="s">
        <v>145</v>
      </c>
      <c r="X104" s="34" t="s">
        <v>145</v>
      </c>
      <c r="Y104" s="37">
        <v>-17.100000000000001</v>
      </c>
      <c r="Z104" s="34">
        <v>246</v>
      </c>
      <c r="AA104" s="39" t="s">
        <v>145</v>
      </c>
      <c r="AB104" s="34" t="s">
        <v>145</v>
      </c>
      <c r="AC104" s="34">
        <v>2000</v>
      </c>
      <c r="AD104" s="34">
        <v>1300</v>
      </c>
      <c r="AE104" s="34">
        <v>135</v>
      </c>
      <c r="AF104" s="34">
        <v>141</v>
      </c>
      <c r="AG104" s="34">
        <v>7</v>
      </c>
      <c r="AH104" s="34">
        <f>IF(CADO_EMPREGOS_2022[[#This Row],[ABORTIVA]]="METEORO","",IF(COUNTA(CADO_EMPREGOS_2022[[#This Row],[TRANSGRESSÕES]])&gt;0,0,CADO_EMPREGOS_2022[[#This Row],[NOTA COM PENALIDADES (FOULS)]]))</f>
        <v>9.06</v>
      </c>
      <c r="AI104" s="34"/>
      <c r="AJ104" s="34">
        <f>IFERROR(IF(CADO_EMPREGOS_2022[[#This Row],[NOTA SEM FOULS]]=0,0,IF(COUNTIF(CADO_EMPREGOS_2022[[#This Row],[FOUL TVB]:[FOUL DE EIXO]],1)&gt;0,0,CADO_EMPREGOS_2022[[#This Row],[NOTA SEM FOULS]])),"")</f>
        <v>9.06</v>
      </c>
      <c r="AK104" s="34">
        <f>IF(CADO_EMPREGOS_2022[[#This Row],[MODALIDADE]]="TT",CADO_EMPREGOS_2022[[#This Row],[NOTA ACERTOS]],IF(COUNTA(CADO_EMPREGOS_2022[[#This Row],[MODALIDADE]])=0,"",CADO_EMPREGOS_2022[[#This Row],[NOTA DISTÂNCIA]]))</f>
        <v>9.06</v>
      </c>
      <c r="AL104" s="34">
        <f>IF(AND(CADO_EMPREGOS_2022[[#This Row],[MODALIDADE]]="BRB",CADO_EMPREGOS_2022[[#This Row],[TVB]]&lt;=3),1,0)</f>
        <v>0</v>
      </c>
      <c r="AM10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0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04" s="34">
        <f>IFERROR(IF(CADO_EMPREGOS_2022[[#This Row],[ALTURA DE RECUPERAÇÃO (FT)]]&lt;VLOOKUP(CADO_EMPREGOS_2022[[#This Row],[MODALIDADE]],Dados!$R$3:$AB$16,10,FALSE),1,0),"")</f>
        <v>0</v>
      </c>
      <c r="AP10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0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04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04" s="34" cm="1">
        <f t="array" ref="AS10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9.06</v>
      </c>
      <c r="AT104" s="34" t="s">
        <v>174</v>
      </c>
    </row>
    <row r="105" spans="1:46" x14ac:dyDescent="0.25">
      <c r="A105" s="35">
        <v>44698</v>
      </c>
      <c r="B105" s="36">
        <v>0.57638888888888895</v>
      </c>
      <c r="C105" s="34" t="s">
        <v>183</v>
      </c>
      <c r="D105" s="34" t="s">
        <v>105</v>
      </c>
      <c r="E105" s="34">
        <v>5959</v>
      </c>
      <c r="F105" s="34" t="s">
        <v>134</v>
      </c>
      <c r="G105" s="34">
        <v>4</v>
      </c>
      <c r="H105" s="34" t="s">
        <v>158</v>
      </c>
      <c r="I105" s="34" t="s">
        <v>175</v>
      </c>
      <c r="J105" s="34" t="s">
        <v>176</v>
      </c>
      <c r="K105" s="34">
        <v>1</v>
      </c>
      <c r="L105" s="34" t="s">
        <v>149</v>
      </c>
      <c r="M105" s="34" t="s">
        <v>163</v>
      </c>
      <c r="N105" s="34" t="s">
        <v>179</v>
      </c>
      <c r="O105" s="34" t="s">
        <v>184</v>
      </c>
      <c r="P105" s="34" t="s">
        <v>177</v>
      </c>
      <c r="Q105" s="34" t="s">
        <v>180</v>
      </c>
      <c r="R105" s="37">
        <v>10</v>
      </c>
      <c r="S105" s="37">
        <v>-15</v>
      </c>
      <c r="T105" s="34">
        <v>14.5</v>
      </c>
      <c r="U105" s="34">
        <v>5.6</v>
      </c>
      <c r="V105" s="34" t="s">
        <v>145</v>
      </c>
      <c r="W105" s="34" t="s">
        <v>145</v>
      </c>
      <c r="X105" s="34" t="s">
        <v>145</v>
      </c>
      <c r="Y105" s="37">
        <v>-21.6</v>
      </c>
      <c r="Z105" s="34">
        <v>227</v>
      </c>
      <c r="AA105" s="39" t="s">
        <v>145</v>
      </c>
      <c r="AB105" s="34" t="s">
        <v>145</v>
      </c>
      <c r="AC105" s="34">
        <v>1700</v>
      </c>
      <c r="AD105" s="34">
        <v>1300</v>
      </c>
      <c r="AE105" s="34">
        <v>315</v>
      </c>
      <c r="AF105" s="34">
        <v>316</v>
      </c>
      <c r="AG105" s="34">
        <v>6</v>
      </c>
      <c r="AH105" s="34">
        <f>IF(CADO_EMPREGOS_2022[[#This Row],[ABORTIVA]]="METEORO","",IF(COUNTA(CADO_EMPREGOS_2022[[#This Row],[TRANSGRESSÕES]])&gt;0,0,CADO_EMPREGOS_2022[[#This Row],[NOTA COM PENALIDADES (FOULS)]]))</f>
        <v>8.5500000000000007</v>
      </c>
      <c r="AI105" s="34"/>
      <c r="AJ105" s="34">
        <f>IFERROR(IF(CADO_EMPREGOS_2022[[#This Row],[NOTA SEM FOULS]]=0,0,IF(COUNTIF(CADO_EMPREGOS_2022[[#This Row],[FOUL TVB]:[FOUL DE EIXO]],1)&gt;0,0,CADO_EMPREGOS_2022[[#This Row],[NOTA SEM FOULS]])),"")</f>
        <v>8.5500000000000007</v>
      </c>
      <c r="AK105" s="34">
        <f>IF(CADO_EMPREGOS_2022[[#This Row],[MODALIDADE]]="TT",CADO_EMPREGOS_2022[[#This Row],[NOTA ACERTOS]],IF(COUNTA(CADO_EMPREGOS_2022[[#This Row],[MODALIDADE]])=0,"",CADO_EMPREGOS_2022[[#This Row],[NOTA DISTÂNCIA]]))</f>
        <v>8.5500000000000007</v>
      </c>
      <c r="AL105" s="34">
        <f>IF(AND(CADO_EMPREGOS_2022[[#This Row],[MODALIDADE]]="BRB",CADO_EMPREGOS_2022[[#This Row],[TVB]]&lt;=3),1,0)</f>
        <v>0</v>
      </c>
      <c r="AM10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0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05" s="34">
        <f>IFERROR(IF(CADO_EMPREGOS_2022[[#This Row],[ALTURA DE RECUPERAÇÃO (FT)]]&lt;VLOOKUP(CADO_EMPREGOS_2022[[#This Row],[MODALIDADE]],Dados!$R$3:$AB$16,10,FALSE),1,0),"")</f>
        <v>0</v>
      </c>
      <c r="AP10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0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05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05" s="34" cm="1">
        <f t="array" ref="AS10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8.5500000000000007</v>
      </c>
      <c r="AT105" s="34" t="s">
        <v>174</v>
      </c>
    </row>
    <row r="106" spans="1:46" x14ac:dyDescent="0.25">
      <c r="A106" s="35">
        <v>44698</v>
      </c>
      <c r="B106" s="36">
        <v>0.79166666666666663</v>
      </c>
      <c r="C106" s="34" t="s">
        <v>187</v>
      </c>
      <c r="D106" s="34" t="s">
        <v>105</v>
      </c>
      <c r="E106" s="34">
        <v>5921</v>
      </c>
      <c r="F106" s="34" t="s">
        <v>134</v>
      </c>
      <c r="G106" s="34">
        <v>4</v>
      </c>
      <c r="H106" s="34" t="s">
        <v>158</v>
      </c>
      <c r="I106" s="34" t="s">
        <v>175</v>
      </c>
      <c r="J106" s="34" t="s">
        <v>176</v>
      </c>
      <c r="K106" s="34">
        <v>1</v>
      </c>
      <c r="L106" s="34" t="s">
        <v>149</v>
      </c>
      <c r="M106" s="34" t="s">
        <v>163</v>
      </c>
      <c r="N106" s="34" t="s">
        <v>179</v>
      </c>
      <c r="O106" s="34" t="s">
        <v>184</v>
      </c>
      <c r="P106" s="34" t="s">
        <v>177</v>
      </c>
      <c r="Q106" s="34" t="s">
        <v>180</v>
      </c>
      <c r="R106" s="37">
        <v>-5</v>
      </c>
      <c r="S106" s="37">
        <v>5</v>
      </c>
      <c r="T106" s="34">
        <v>5.6</v>
      </c>
      <c r="U106" s="34">
        <v>6</v>
      </c>
      <c r="V106" s="34" t="s">
        <v>145</v>
      </c>
      <c r="W106" s="34" t="s">
        <v>145</v>
      </c>
      <c r="X106" s="34" t="s">
        <v>145</v>
      </c>
      <c r="Y106" s="37">
        <v>-17</v>
      </c>
      <c r="Z106" s="34">
        <v>241</v>
      </c>
      <c r="AA106" s="39" t="s">
        <v>145</v>
      </c>
      <c r="AB106" s="34" t="s">
        <v>145</v>
      </c>
      <c r="AC106" s="34">
        <v>2300</v>
      </c>
      <c r="AD106" s="34">
        <v>1300</v>
      </c>
      <c r="AE106" s="34">
        <v>135</v>
      </c>
      <c r="AF106" s="34">
        <v>139</v>
      </c>
      <c r="AG106" s="34">
        <v>9</v>
      </c>
      <c r="AH106" s="34">
        <f>IF(CADO_EMPREGOS_2022[[#This Row],[ABORTIVA]]="METEORO","",IF(COUNTA(CADO_EMPREGOS_2022[[#This Row],[TRANSGRESSÕES]])&gt;0,0,CADO_EMPREGOS_2022[[#This Row],[NOTA COM PENALIDADES (FOULS)]]))</f>
        <v>9.44</v>
      </c>
      <c r="AI106" s="34"/>
      <c r="AJ106" s="34">
        <f>IFERROR(IF(CADO_EMPREGOS_2022[[#This Row],[NOTA SEM FOULS]]=0,0,IF(COUNTIF(CADO_EMPREGOS_2022[[#This Row],[FOUL TVB]:[FOUL DE EIXO]],1)&gt;0,0,CADO_EMPREGOS_2022[[#This Row],[NOTA SEM FOULS]])),"")</f>
        <v>9.44</v>
      </c>
      <c r="AK106" s="34">
        <f>IF(CADO_EMPREGOS_2022[[#This Row],[MODALIDADE]]="TT",CADO_EMPREGOS_2022[[#This Row],[NOTA ACERTOS]],IF(COUNTA(CADO_EMPREGOS_2022[[#This Row],[MODALIDADE]])=0,"",CADO_EMPREGOS_2022[[#This Row],[NOTA DISTÂNCIA]]))</f>
        <v>9.44</v>
      </c>
      <c r="AL106" s="34">
        <f>IF(AND(CADO_EMPREGOS_2022[[#This Row],[MODALIDADE]]="BRB",CADO_EMPREGOS_2022[[#This Row],[TVB]]&lt;=3),1,0)</f>
        <v>0</v>
      </c>
      <c r="AM10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0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06" s="34">
        <f>IFERROR(IF(CADO_EMPREGOS_2022[[#This Row],[ALTURA DE RECUPERAÇÃO (FT)]]&lt;VLOOKUP(CADO_EMPREGOS_2022[[#This Row],[MODALIDADE]],Dados!$R$3:$AB$16,10,FALSE),1,0),"")</f>
        <v>0</v>
      </c>
      <c r="AP10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0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0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06" s="34" cm="1">
        <f t="array" ref="AS10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9.44</v>
      </c>
      <c r="AT106" s="34" t="s">
        <v>174</v>
      </c>
    </row>
    <row r="107" spans="1:46" x14ac:dyDescent="0.25">
      <c r="A107" s="35">
        <v>44698</v>
      </c>
      <c r="B107" s="36">
        <v>0.79166666666666663</v>
      </c>
      <c r="C107" s="34" t="s">
        <v>187</v>
      </c>
      <c r="D107" s="34" t="s">
        <v>105</v>
      </c>
      <c r="E107" s="34">
        <v>5921</v>
      </c>
      <c r="F107" s="34" t="s">
        <v>134</v>
      </c>
      <c r="G107" s="34">
        <v>4</v>
      </c>
      <c r="H107" s="34" t="s">
        <v>158</v>
      </c>
      <c r="I107" s="34" t="s">
        <v>175</v>
      </c>
      <c r="J107" s="34" t="s">
        <v>176</v>
      </c>
      <c r="K107" s="34">
        <v>1</v>
      </c>
      <c r="L107" s="34" t="s">
        <v>149</v>
      </c>
      <c r="M107" s="34" t="s">
        <v>163</v>
      </c>
      <c r="N107" s="34" t="s">
        <v>179</v>
      </c>
      <c r="O107" s="34" t="s">
        <v>184</v>
      </c>
      <c r="P107" s="34" t="s">
        <v>177</v>
      </c>
      <c r="Q107" s="34" t="s">
        <v>180</v>
      </c>
      <c r="R107" s="37">
        <v>4</v>
      </c>
      <c r="S107" s="37">
        <v>-19</v>
      </c>
      <c r="T107" s="34">
        <v>15.6</v>
      </c>
      <c r="U107" s="34">
        <v>4.9000000000000004</v>
      </c>
      <c r="V107" s="34" t="s">
        <v>145</v>
      </c>
      <c r="W107" s="34" t="s">
        <v>145</v>
      </c>
      <c r="X107" s="34" t="s">
        <v>145</v>
      </c>
      <c r="Y107" s="37">
        <v>-18</v>
      </c>
      <c r="Z107" s="34">
        <v>230</v>
      </c>
      <c r="AA107" s="39" t="s">
        <v>145</v>
      </c>
      <c r="AB107" s="34" t="s">
        <v>145</v>
      </c>
      <c r="AC107" s="34">
        <v>2140</v>
      </c>
      <c r="AD107" s="34">
        <v>1300</v>
      </c>
      <c r="AE107" s="34">
        <v>315</v>
      </c>
      <c r="AF107" s="34">
        <v>321</v>
      </c>
      <c r="AG107" s="34">
        <v>7</v>
      </c>
      <c r="AH107" s="34">
        <f>IF(CADO_EMPREGOS_2022[[#This Row],[ABORTIVA]]="METEORO","",IF(COUNTA(CADO_EMPREGOS_2022[[#This Row],[TRANSGRESSÕES]])&gt;0,0,CADO_EMPREGOS_2022[[#This Row],[NOTA COM PENALIDADES (FOULS)]]))</f>
        <v>8.44</v>
      </c>
      <c r="AI107" s="34"/>
      <c r="AJ107" s="34">
        <f>IFERROR(IF(CADO_EMPREGOS_2022[[#This Row],[NOTA SEM FOULS]]=0,0,IF(COUNTIF(CADO_EMPREGOS_2022[[#This Row],[FOUL TVB]:[FOUL DE EIXO]],1)&gt;0,0,CADO_EMPREGOS_2022[[#This Row],[NOTA SEM FOULS]])),"")</f>
        <v>8.44</v>
      </c>
      <c r="AK107" s="34">
        <f>IF(CADO_EMPREGOS_2022[[#This Row],[MODALIDADE]]="TT",CADO_EMPREGOS_2022[[#This Row],[NOTA ACERTOS]],IF(COUNTA(CADO_EMPREGOS_2022[[#This Row],[MODALIDADE]])=0,"",CADO_EMPREGOS_2022[[#This Row],[NOTA DISTÂNCIA]]))</f>
        <v>8.44</v>
      </c>
      <c r="AL107" s="34">
        <f>IF(AND(CADO_EMPREGOS_2022[[#This Row],[MODALIDADE]]="BRB",CADO_EMPREGOS_2022[[#This Row],[TVB]]&lt;=3),1,0)</f>
        <v>0</v>
      </c>
      <c r="AM10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0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07" s="34">
        <f>IFERROR(IF(CADO_EMPREGOS_2022[[#This Row],[ALTURA DE RECUPERAÇÃO (FT)]]&lt;VLOOKUP(CADO_EMPREGOS_2022[[#This Row],[MODALIDADE]],Dados!$R$3:$AB$16,10,FALSE),1,0),"")</f>
        <v>0</v>
      </c>
      <c r="AP10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0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0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07" s="34" cm="1">
        <f t="array" ref="AS10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8.44</v>
      </c>
      <c r="AT107" s="34" t="s">
        <v>174</v>
      </c>
    </row>
    <row r="108" spans="1:46" x14ac:dyDescent="0.25">
      <c r="A108" s="35">
        <v>44698</v>
      </c>
      <c r="B108" s="36">
        <v>0.57638888888888895</v>
      </c>
      <c r="C108" s="34" t="s">
        <v>183</v>
      </c>
      <c r="D108" s="34" t="s">
        <v>105</v>
      </c>
      <c r="E108" s="34">
        <v>5959</v>
      </c>
      <c r="F108" s="34" t="s">
        <v>134</v>
      </c>
      <c r="G108" s="34">
        <v>4</v>
      </c>
      <c r="H108" s="34" t="s">
        <v>25</v>
      </c>
      <c r="I108" s="34" t="s">
        <v>175</v>
      </c>
      <c r="J108" s="34" t="s">
        <v>169</v>
      </c>
      <c r="K108" s="34">
        <v>1</v>
      </c>
      <c r="L108" s="34" t="s">
        <v>149</v>
      </c>
      <c r="M108" s="34" t="s">
        <v>163</v>
      </c>
      <c r="N108" s="34" t="s">
        <v>179</v>
      </c>
      <c r="O108" s="34" t="s">
        <v>184</v>
      </c>
      <c r="P108" s="34" t="s">
        <v>172</v>
      </c>
      <c r="Q108" s="34" t="s">
        <v>145</v>
      </c>
      <c r="R108" s="37" t="s">
        <v>145</v>
      </c>
      <c r="S108" s="37" t="s">
        <v>145</v>
      </c>
      <c r="T108" s="34" t="s">
        <v>145</v>
      </c>
      <c r="U108" s="34" t="s">
        <v>145</v>
      </c>
      <c r="V108" s="34">
        <v>28</v>
      </c>
      <c r="W108" s="34">
        <v>14</v>
      </c>
      <c r="X108" s="34">
        <v>0.5</v>
      </c>
      <c r="Y108" s="37">
        <v>-13.5</v>
      </c>
      <c r="Z108" s="34">
        <v>245</v>
      </c>
      <c r="AA108" s="39">
        <v>733</v>
      </c>
      <c r="AB108" s="34">
        <v>589</v>
      </c>
      <c r="AC108" s="34">
        <v>260</v>
      </c>
      <c r="AD108" s="34">
        <v>200</v>
      </c>
      <c r="AE108" s="34">
        <v>135</v>
      </c>
      <c r="AF108" s="34">
        <v>139</v>
      </c>
      <c r="AG108" s="34" t="s">
        <v>145</v>
      </c>
      <c r="AH108" s="34">
        <f>IF(CADO_EMPREGOS_2022[[#This Row],[ABORTIVA]]="METEORO","",IF(COUNTA(CADO_EMPREGOS_2022[[#This Row],[TRANSGRESSÕES]])&gt;0,0,CADO_EMPREGOS_2022[[#This Row],[NOTA COM PENALIDADES (FOULS)]]))</f>
        <v>4.666666666666667</v>
      </c>
      <c r="AI108" s="34"/>
      <c r="AJ108" s="34">
        <f>IFERROR(IF(CADO_EMPREGOS_2022[[#This Row],[NOTA SEM FOULS]]=0,0,IF(COUNTIF(CADO_EMPREGOS_2022[[#This Row],[FOUL TVB]:[FOUL DE EIXO]],1)&gt;0,0,CADO_EMPREGOS_2022[[#This Row],[NOTA SEM FOULS]])),"")</f>
        <v>4.666666666666667</v>
      </c>
      <c r="AK108" s="34">
        <f>IF(CADO_EMPREGOS_2022[[#This Row],[MODALIDADE]]="TT",CADO_EMPREGOS_2022[[#This Row],[NOTA ACERTOS]],IF(COUNTA(CADO_EMPREGOS_2022[[#This Row],[MODALIDADE]])=0,"",CADO_EMPREGOS_2022[[#This Row],[NOTA DISTÂNCIA]]))</f>
        <v>4.666666666666667</v>
      </c>
      <c r="AL108" s="34">
        <f>IF(AND(CADO_EMPREGOS_2022[[#This Row],[MODALIDADE]]="BRB",CADO_EMPREGOS_2022[[#This Row],[TVB]]&lt;=3),1,0)</f>
        <v>0</v>
      </c>
      <c r="AM10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0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08" s="34">
        <f>IFERROR(IF(CADO_EMPREGOS_2022[[#This Row],[ALTURA DE RECUPERAÇÃO (FT)]]&lt;VLOOKUP(CADO_EMPREGOS_2022[[#This Row],[MODALIDADE]],Dados!$R$3:$AB$16,10,FALSE),1,0),"")</f>
        <v>0</v>
      </c>
      <c r="AP10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0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08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4.666666666666667</v>
      </c>
      <c r="AS108" s="34" cm="1">
        <f t="array" ref="AS10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08" s="34" t="s">
        <v>174</v>
      </c>
    </row>
    <row r="109" spans="1:46" x14ac:dyDescent="0.25">
      <c r="A109" s="35">
        <v>44698</v>
      </c>
      <c r="B109" s="36">
        <v>0.79166666666666663</v>
      </c>
      <c r="C109" s="34" t="s">
        <v>187</v>
      </c>
      <c r="D109" s="34" t="s">
        <v>105</v>
      </c>
      <c r="E109" s="34">
        <v>5921</v>
      </c>
      <c r="F109" s="34" t="s">
        <v>134</v>
      </c>
      <c r="G109" s="34">
        <v>4</v>
      </c>
      <c r="H109" s="34" t="s">
        <v>25</v>
      </c>
      <c r="I109" s="34" t="s">
        <v>175</v>
      </c>
      <c r="J109" s="34" t="s">
        <v>169</v>
      </c>
      <c r="K109" s="34">
        <v>1</v>
      </c>
      <c r="L109" s="34" t="s">
        <v>149</v>
      </c>
      <c r="M109" s="34" t="s">
        <v>163</v>
      </c>
      <c r="N109" s="34" t="s">
        <v>179</v>
      </c>
      <c r="O109" s="34" t="s">
        <v>184</v>
      </c>
      <c r="P109" s="34" t="s">
        <v>172</v>
      </c>
      <c r="Q109" s="34" t="s">
        <v>145</v>
      </c>
      <c r="R109" s="37" t="s">
        <v>145</v>
      </c>
      <c r="S109" s="37" t="s">
        <v>145</v>
      </c>
      <c r="T109" s="34" t="s">
        <v>145</v>
      </c>
      <c r="U109" s="34" t="s">
        <v>145</v>
      </c>
      <c r="V109" s="34">
        <v>30</v>
      </c>
      <c r="W109" s="34">
        <v>18</v>
      </c>
      <c r="X109" s="34">
        <v>0.6</v>
      </c>
      <c r="Y109" s="37">
        <v>-14.8</v>
      </c>
      <c r="Z109" s="34">
        <v>242</v>
      </c>
      <c r="AA109" s="39">
        <v>703</v>
      </c>
      <c r="AB109" s="34">
        <v>537</v>
      </c>
      <c r="AC109" s="34">
        <v>260</v>
      </c>
      <c r="AD109" s="34">
        <v>200</v>
      </c>
      <c r="AE109" s="34">
        <v>135</v>
      </c>
      <c r="AF109" s="34">
        <v>137</v>
      </c>
      <c r="AG109" s="34" t="s">
        <v>145</v>
      </c>
      <c r="AH109" s="34">
        <f>IF(CADO_EMPREGOS_2022[[#This Row],[ABORTIVA]]="METEORO","",IF(COUNTA(CADO_EMPREGOS_2022[[#This Row],[TRANSGRESSÕES]])&gt;0,0,CADO_EMPREGOS_2022[[#This Row],[NOTA COM PENALIDADES (FOULS)]]))</f>
        <v>6</v>
      </c>
      <c r="AI109" s="34"/>
      <c r="AJ109" s="34">
        <f>IFERROR(IF(CADO_EMPREGOS_2022[[#This Row],[NOTA SEM FOULS]]=0,0,IF(COUNTIF(CADO_EMPREGOS_2022[[#This Row],[FOUL TVB]:[FOUL DE EIXO]],1)&gt;0,0,CADO_EMPREGOS_2022[[#This Row],[NOTA SEM FOULS]])),"")</f>
        <v>6</v>
      </c>
      <c r="AK109" s="34">
        <f>IF(CADO_EMPREGOS_2022[[#This Row],[MODALIDADE]]="TT",CADO_EMPREGOS_2022[[#This Row],[NOTA ACERTOS]],IF(COUNTA(CADO_EMPREGOS_2022[[#This Row],[MODALIDADE]])=0,"",CADO_EMPREGOS_2022[[#This Row],[NOTA DISTÂNCIA]]))</f>
        <v>6</v>
      </c>
      <c r="AL109" s="34">
        <f>IF(AND(CADO_EMPREGOS_2022[[#This Row],[MODALIDADE]]="BRB",CADO_EMPREGOS_2022[[#This Row],[TVB]]&lt;=3),1,0)</f>
        <v>0</v>
      </c>
      <c r="AM10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0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09" s="34">
        <f>IFERROR(IF(CADO_EMPREGOS_2022[[#This Row],[ALTURA DE RECUPERAÇÃO (FT)]]&lt;VLOOKUP(CADO_EMPREGOS_2022[[#This Row],[MODALIDADE]],Dados!$R$3:$AB$16,10,FALSE),1,0),"")</f>
        <v>0</v>
      </c>
      <c r="AP10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0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09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6</v>
      </c>
      <c r="AS109" s="34" cm="1">
        <f t="array" ref="AS10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09" s="34" t="s">
        <v>174</v>
      </c>
    </row>
    <row r="110" spans="1:46" x14ac:dyDescent="0.25">
      <c r="A110" s="35">
        <v>44693</v>
      </c>
      <c r="B110" s="36">
        <v>0.36805555555555558</v>
      </c>
      <c r="C110" s="34" t="s">
        <v>183</v>
      </c>
      <c r="D110" s="34" t="s">
        <v>111</v>
      </c>
      <c r="E110" s="34">
        <v>5733</v>
      </c>
      <c r="F110" s="34" t="s">
        <v>100</v>
      </c>
      <c r="G110" s="34">
        <v>2</v>
      </c>
      <c r="H110" s="34" t="s">
        <v>158</v>
      </c>
      <c r="I110" s="34" t="s">
        <v>175</v>
      </c>
      <c r="J110" s="34" t="s">
        <v>176</v>
      </c>
      <c r="K110" s="34">
        <v>1</v>
      </c>
      <c r="L110" s="34" t="s">
        <v>149</v>
      </c>
      <c r="M110" s="34" t="s">
        <v>163</v>
      </c>
      <c r="N110" s="34" t="s">
        <v>179</v>
      </c>
      <c r="O110" s="34" t="s">
        <v>184</v>
      </c>
      <c r="P110" s="34" t="s">
        <v>177</v>
      </c>
      <c r="Q110" s="34" t="s">
        <v>180</v>
      </c>
      <c r="R110" s="37">
        <v>5</v>
      </c>
      <c r="S110" s="37">
        <v>4</v>
      </c>
      <c r="T110" s="34">
        <v>5.3</v>
      </c>
      <c r="U110" s="34">
        <v>8.8000000000000007</v>
      </c>
      <c r="V110" s="34" t="s">
        <v>145</v>
      </c>
      <c r="W110" s="34" t="s">
        <v>145</v>
      </c>
      <c r="X110" s="34" t="s">
        <v>145</v>
      </c>
      <c r="Y110" s="37">
        <v>-19.899999999999999</v>
      </c>
      <c r="Z110" s="34">
        <v>244</v>
      </c>
      <c r="AA110" s="39" t="s">
        <v>145</v>
      </c>
      <c r="AB110" s="34" t="s">
        <v>145</v>
      </c>
      <c r="AC110" s="34">
        <v>1800</v>
      </c>
      <c r="AD110" s="34">
        <v>1300</v>
      </c>
      <c r="AE110" s="34">
        <v>315</v>
      </c>
      <c r="AF110" s="34">
        <v>318</v>
      </c>
      <c r="AG110" s="34">
        <v>6</v>
      </c>
      <c r="AH110" s="34">
        <f>IF(CADO_EMPREGOS_2022[[#This Row],[ABORTIVA]]="METEORO","",IF(COUNTA(CADO_EMPREGOS_2022[[#This Row],[TRANSGRESSÕES]])&gt;0,0,CADO_EMPREGOS_2022[[#This Row],[NOTA COM PENALIDADES (FOULS)]]))</f>
        <v>9.4700000000000006</v>
      </c>
      <c r="AI110" s="34"/>
      <c r="AJ110" s="34">
        <f>IFERROR(IF(CADO_EMPREGOS_2022[[#This Row],[NOTA SEM FOULS]]=0,0,IF(COUNTIF(CADO_EMPREGOS_2022[[#This Row],[FOUL TVB]:[FOUL DE EIXO]],1)&gt;0,0,CADO_EMPREGOS_2022[[#This Row],[NOTA SEM FOULS]])),"")</f>
        <v>9.4700000000000006</v>
      </c>
      <c r="AK110" s="34">
        <f>IF(CADO_EMPREGOS_2022[[#This Row],[MODALIDADE]]="TT",CADO_EMPREGOS_2022[[#This Row],[NOTA ACERTOS]],IF(COUNTA(CADO_EMPREGOS_2022[[#This Row],[MODALIDADE]])=0,"",CADO_EMPREGOS_2022[[#This Row],[NOTA DISTÂNCIA]]))</f>
        <v>9.4700000000000006</v>
      </c>
      <c r="AL110" s="34">
        <f>IF(AND(CADO_EMPREGOS_2022[[#This Row],[MODALIDADE]]="BRB",CADO_EMPREGOS_2022[[#This Row],[TVB]]&lt;=3),1,0)</f>
        <v>0</v>
      </c>
      <c r="AM11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1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10" s="34">
        <f>IFERROR(IF(CADO_EMPREGOS_2022[[#This Row],[ALTURA DE RECUPERAÇÃO (FT)]]&lt;VLOOKUP(CADO_EMPREGOS_2022[[#This Row],[MODALIDADE]],Dados!$R$3:$AB$16,10,FALSE),1,0),"")</f>
        <v>0</v>
      </c>
      <c r="AP11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1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1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10" s="34" cm="1">
        <f t="array" ref="AS11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9.4700000000000006</v>
      </c>
      <c r="AT110" s="34" t="s">
        <v>174</v>
      </c>
    </row>
    <row r="111" spans="1:46" x14ac:dyDescent="0.25">
      <c r="A111" s="35">
        <v>44693</v>
      </c>
      <c r="B111" s="36">
        <v>0.57638888888888895</v>
      </c>
      <c r="C111" s="34" t="s">
        <v>183</v>
      </c>
      <c r="D111" s="34" t="s">
        <v>111</v>
      </c>
      <c r="E111" s="34">
        <v>5733</v>
      </c>
      <c r="F111" s="34" t="s">
        <v>133</v>
      </c>
      <c r="G111" s="34">
        <v>2</v>
      </c>
      <c r="H111" s="34" t="s">
        <v>158</v>
      </c>
      <c r="I111" s="34" t="s">
        <v>175</v>
      </c>
      <c r="J111" s="34" t="s">
        <v>176</v>
      </c>
      <c r="K111" s="34">
        <v>1</v>
      </c>
      <c r="L111" s="34" t="s">
        <v>149</v>
      </c>
      <c r="M111" s="34" t="s">
        <v>163</v>
      </c>
      <c r="N111" s="34" t="s">
        <v>179</v>
      </c>
      <c r="O111" s="34" t="s">
        <v>184</v>
      </c>
      <c r="P111" s="34" t="s">
        <v>177</v>
      </c>
      <c r="Q111" s="34" t="s">
        <v>180</v>
      </c>
      <c r="R111" s="37">
        <v>-9</v>
      </c>
      <c r="S111" s="37">
        <v>7</v>
      </c>
      <c r="T111" s="34">
        <v>9</v>
      </c>
      <c r="U111" s="34">
        <v>6.2</v>
      </c>
      <c r="V111" s="34" t="s">
        <v>145</v>
      </c>
      <c r="W111" s="34" t="s">
        <v>145</v>
      </c>
      <c r="X111" s="34" t="s">
        <v>145</v>
      </c>
      <c r="Y111" s="37">
        <v>-19.399999999999999</v>
      </c>
      <c r="Z111" s="34">
        <v>251</v>
      </c>
      <c r="AA111" s="39" t="s">
        <v>145</v>
      </c>
      <c r="AB111" s="34" t="s">
        <v>145</v>
      </c>
      <c r="AC111" s="34">
        <v>1620</v>
      </c>
      <c r="AD111" s="34">
        <v>1300</v>
      </c>
      <c r="AE111" s="34">
        <v>315</v>
      </c>
      <c r="AF111" s="34">
        <v>317</v>
      </c>
      <c r="AG111" s="34">
        <v>6</v>
      </c>
      <c r="AH111" s="34">
        <f>IF(CADO_EMPREGOS_2022[[#This Row],[ABORTIVA]]="METEORO","",IF(COUNTA(CADO_EMPREGOS_2022[[#This Row],[TRANSGRESSÕES]])&gt;0,0,CADO_EMPREGOS_2022[[#This Row],[NOTA COM PENALIDADES (FOULS)]]))</f>
        <v>9.1</v>
      </c>
      <c r="AI111" s="34"/>
      <c r="AJ111" s="34">
        <f>IFERROR(IF(CADO_EMPREGOS_2022[[#This Row],[NOTA SEM FOULS]]=0,0,IF(COUNTIF(CADO_EMPREGOS_2022[[#This Row],[FOUL TVB]:[FOUL DE EIXO]],1)&gt;0,0,CADO_EMPREGOS_2022[[#This Row],[NOTA SEM FOULS]])),"")</f>
        <v>9.1</v>
      </c>
      <c r="AK111" s="34">
        <f>IF(CADO_EMPREGOS_2022[[#This Row],[MODALIDADE]]="TT",CADO_EMPREGOS_2022[[#This Row],[NOTA ACERTOS]],IF(COUNTA(CADO_EMPREGOS_2022[[#This Row],[MODALIDADE]])=0,"",CADO_EMPREGOS_2022[[#This Row],[NOTA DISTÂNCIA]]))</f>
        <v>9.1</v>
      </c>
      <c r="AL111" s="34">
        <f>IF(AND(CADO_EMPREGOS_2022[[#This Row],[MODALIDADE]]="BRB",CADO_EMPREGOS_2022[[#This Row],[TVB]]&lt;=3),1,0)</f>
        <v>0</v>
      </c>
      <c r="AM11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1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11" s="34">
        <f>IFERROR(IF(CADO_EMPREGOS_2022[[#This Row],[ALTURA DE RECUPERAÇÃO (FT)]]&lt;VLOOKUP(CADO_EMPREGOS_2022[[#This Row],[MODALIDADE]],Dados!$R$3:$AB$16,10,FALSE),1,0),"")</f>
        <v>0</v>
      </c>
      <c r="AP11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1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11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11" s="34" cm="1">
        <f t="array" ref="AS11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</v>
      </c>
      <c r="AT111" s="34" t="s">
        <v>174</v>
      </c>
    </row>
    <row r="112" spans="1:46" x14ac:dyDescent="0.25">
      <c r="A112" s="35">
        <v>44698</v>
      </c>
      <c r="B112" s="36">
        <v>0.57638888888888895</v>
      </c>
      <c r="C112" s="34" t="s">
        <v>187</v>
      </c>
      <c r="D112" s="34" t="s">
        <v>111</v>
      </c>
      <c r="E112" s="34">
        <v>5934</v>
      </c>
      <c r="F112" s="34" t="s">
        <v>134</v>
      </c>
      <c r="G112" s="34">
        <v>3</v>
      </c>
      <c r="H112" s="34" t="s">
        <v>158</v>
      </c>
      <c r="I112" s="34" t="s">
        <v>175</v>
      </c>
      <c r="J112" s="34" t="s">
        <v>176</v>
      </c>
      <c r="K112" s="34">
        <v>1</v>
      </c>
      <c r="L112" s="34" t="s">
        <v>149</v>
      </c>
      <c r="M112" s="34" t="s">
        <v>163</v>
      </c>
      <c r="N112" s="34" t="s">
        <v>179</v>
      </c>
      <c r="O112" s="34" t="s">
        <v>184</v>
      </c>
      <c r="P112" s="34" t="s">
        <v>177</v>
      </c>
      <c r="Q112" s="34" t="s">
        <v>180</v>
      </c>
      <c r="R112" s="37">
        <v>-28</v>
      </c>
      <c r="S112" s="37">
        <v>-22</v>
      </c>
      <c r="T112" s="34">
        <v>29.5</v>
      </c>
      <c r="U112" s="34">
        <v>8.6999999999999993</v>
      </c>
      <c r="V112" s="34" t="s">
        <v>145</v>
      </c>
      <c r="W112" s="34" t="s">
        <v>145</v>
      </c>
      <c r="X112" s="34" t="s">
        <v>145</v>
      </c>
      <c r="Y112" s="37">
        <v>-20.6</v>
      </c>
      <c r="Z112" s="34">
        <v>253</v>
      </c>
      <c r="AA112" s="39" t="s">
        <v>145</v>
      </c>
      <c r="AB112" s="34" t="s">
        <v>145</v>
      </c>
      <c r="AC112" s="34">
        <v>1510</v>
      </c>
      <c r="AD112" s="34">
        <v>1300</v>
      </c>
      <c r="AE112" s="34">
        <v>135</v>
      </c>
      <c r="AF112" s="34">
        <v>135</v>
      </c>
      <c r="AG112" s="34">
        <v>5</v>
      </c>
      <c r="AH112" s="34">
        <f>IF(CADO_EMPREGOS_2022[[#This Row],[ABORTIVA]]="METEORO","",IF(COUNTA(CADO_EMPREGOS_2022[[#This Row],[TRANSGRESSÕES]])&gt;0,0,CADO_EMPREGOS_2022[[#This Row],[NOTA COM PENALIDADES (FOULS)]]))</f>
        <v>7.05</v>
      </c>
      <c r="AI112" s="34"/>
      <c r="AJ112" s="34">
        <f>IFERROR(IF(CADO_EMPREGOS_2022[[#This Row],[NOTA SEM FOULS]]=0,0,IF(COUNTIF(CADO_EMPREGOS_2022[[#This Row],[FOUL TVB]:[FOUL DE EIXO]],1)&gt;0,0,CADO_EMPREGOS_2022[[#This Row],[NOTA SEM FOULS]])),"")</f>
        <v>7.05</v>
      </c>
      <c r="AK112" s="34">
        <f>IF(CADO_EMPREGOS_2022[[#This Row],[MODALIDADE]]="TT",CADO_EMPREGOS_2022[[#This Row],[NOTA ACERTOS]],IF(COUNTA(CADO_EMPREGOS_2022[[#This Row],[MODALIDADE]])=0,"",CADO_EMPREGOS_2022[[#This Row],[NOTA DISTÂNCIA]]))</f>
        <v>7.05</v>
      </c>
      <c r="AL112" s="34">
        <f>IF(AND(CADO_EMPREGOS_2022[[#This Row],[MODALIDADE]]="BRB",CADO_EMPREGOS_2022[[#This Row],[TVB]]&lt;=3),1,0)</f>
        <v>0</v>
      </c>
      <c r="AM11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1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12" s="34">
        <f>IFERROR(IF(CADO_EMPREGOS_2022[[#This Row],[ALTURA DE RECUPERAÇÃO (FT)]]&lt;VLOOKUP(CADO_EMPREGOS_2022[[#This Row],[MODALIDADE]],Dados!$R$3:$AB$16,10,FALSE),1,0),"")</f>
        <v>0</v>
      </c>
      <c r="AP11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1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12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12" s="34" cm="1">
        <f t="array" ref="AS11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7.05</v>
      </c>
      <c r="AT112" s="34" t="s">
        <v>174</v>
      </c>
    </row>
    <row r="113" spans="1:46" x14ac:dyDescent="0.25">
      <c r="A113" s="35">
        <v>44693</v>
      </c>
      <c r="B113" s="36">
        <v>0.36805555555555558</v>
      </c>
      <c r="C113" s="34" t="s">
        <v>183</v>
      </c>
      <c r="D113" s="34" t="s">
        <v>111</v>
      </c>
      <c r="E113" s="34">
        <v>5733</v>
      </c>
      <c r="F113" s="34" t="s">
        <v>100</v>
      </c>
      <c r="G113" s="34">
        <v>2</v>
      </c>
      <c r="H113" s="34" t="s">
        <v>25</v>
      </c>
      <c r="I113" s="34" t="s">
        <v>175</v>
      </c>
      <c r="J113" s="34" t="s">
        <v>169</v>
      </c>
      <c r="K113" s="34">
        <v>1</v>
      </c>
      <c r="L113" s="34" t="s">
        <v>149</v>
      </c>
      <c r="M113" s="34" t="s">
        <v>163</v>
      </c>
      <c r="N113" s="34" t="s">
        <v>179</v>
      </c>
      <c r="O113" s="34" t="s">
        <v>184</v>
      </c>
      <c r="P113" s="34" t="s">
        <v>172</v>
      </c>
      <c r="Q113" s="34" t="s">
        <v>145</v>
      </c>
      <c r="R113" s="37" t="s">
        <v>145</v>
      </c>
      <c r="S113" s="37" t="s">
        <v>145</v>
      </c>
      <c r="T113" s="34" t="s">
        <v>145</v>
      </c>
      <c r="U113" s="34" t="s">
        <v>145</v>
      </c>
      <c r="V113" s="34">
        <v>28</v>
      </c>
      <c r="W113" s="34">
        <v>28</v>
      </c>
      <c r="X113" s="34">
        <v>1</v>
      </c>
      <c r="Y113" s="37">
        <v>-16</v>
      </c>
      <c r="Z113" s="34">
        <v>241</v>
      </c>
      <c r="AA113" s="39">
        <v>772</v>
      </c>
      <c r="AB113" s="34">
        <v>622</v>
      </c>
      <c r="AC113" s="34">
        <v>330</v>
      </c>
      <c r="AD113" s="34">
        <v>200</v>
      </c>
      <c r="AE113" s="34">
        <v>135</v>
      </c>
      <c r="AF113" s="34">
        <v>137</v>
      </c>
      <c r="AG113" s="34" t="s">
        <v>145</v>
      </c>
      <c r="AH113" s="34">
        <f>IF(CADO_EMPREGOS_2022[[#This Row],[ABORTIVA]]="METEORO","",IF(COUNTA(CADO_EMPREGOS_2022[[#This Row],[TRANSGRESSÕES]])&gt;0,0,CADO_EMPREGOS_2022[[#This Row],[NOTA COM PENALIDADES (FOULS)]]))</f>
        <v>9.3333333333333339</v>
      </c>
      <c r="AI113" s="34"/>
      <c r="AJ113" s="34">
        <f>IFERROR(IF(CADO_EMPREGOS_2022[[#This Row],[NOTA SEM FOULS]]=0,0,IF(COUNTIF(CADO_EMPREGOS_2022[[#This Row],[FOUL TVB]:[FOUL DE EIXO]],1)&gt;0,0,CADO_EMPREGOS_2022[[#This Row],[NOTA SEM FOULS]])),"")</f>
        <v>9.3333333333333339</v>
      </c>
      <c r="AK113" s="34">
        <f>IF(CADO_EMPREGOS_2022[[#This Row],[MODALIDADE]]="TT",CADO_EMPREGOS_2022[[#This Row],[NOTA ACERTOS]],IF(COUNTA(CADO_EMPREGOS_2022[[#This Row],[MODALIDADE]])=0,"",CADO_EMPREGOS_2022[[#This Row],[NOTA DISTÂNCIA]]))</f>
        <v>9.3333333333333339</v>
      </c>
      <c r="AL113" s="34">
        <f>IF(AND(CADO_EMPREGOS_2022[[#This Row],[MODALIDADE]]="BRB",CADO_EMPREGOS_2022[[#This Row],[TVB]]&lt;=3),1,0)</f>
        <v>0</v>
      </c>
      <c r="AM11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1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13" s="34">
        <f>IFERROR(IF(CADO_EMPREGOS_2022[[#This Row],[ALTURA DE RECUPERAÇÃO (FT)]]&lt;VLOOKUP(CADO_EMPREGOS_2022[[#This Row],[MODALIDADE]],Dados!$R$3:$AB$16,10,FALSE),1,0),"")</f>
        <v>0</v>
      </c>
      <c r="AP11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1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13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9.3333333333333339</v>
      </c>
      <c r="AS113" s="34" cm="1">
        <f t="array" ref="AS11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13" s="34" t="s">
        <v>174</v>
      </c>
    </row>
    <row r="114" spans="1:46" x14ac:dyDescent="0.25">
      <c r="A114" s="35">
        <v>44693</v>
      </c>
      <c r="B114" s="36">
        <v>0.57638888888888895</v>
      </c>
      <c r="C114" s="34" t="s">
        <v>183</v>
      </c>
      <c r="D114" s="34" t="s">
        <v>111</v>
      </c>
      <c r="E114" s="34">
        <v>5733</v>
      </c>
      <c r="F114" s="34" t="s">
        <v>133</v>
      </c>
      <c r="G114" s="34">
        <v>2</v>
      </c>
      <c r="H114" s="34" t="s">
        <v>25</v>
      </c>
      <c r="I114" s="34" t="s">
        <v>175</v>
      </c>
      <c r="J114" s="34" t="s">
        <v>169</v>
      </c>
      <c r="K114" s="34">
        <v>1</v>
      </c>
      <c r="L114" s="34" t="s">
        <v>149</v>
      </c>
      <c r="M114" s="34" t="s">
        <v>163</v>
      </c>
      <c r="N114" s="34" t="s">
        <v>179</v>
      </c>
      <c r="O114" s="34" t="s">
        <v>184</v>
      </c>
      <c r="P114" s="34" t="s">
        <v>172</v>
      </c>
      <c r="Q114" s="34" t="s">
        <v>145</v>
      </c>
      <c r="R114" s="37" t="s">
        <v>145</v>
      </c>
      <c r="S114" s="37" t="s">
        <v>145</v>
      </c>
      <c r="T114" s="34" t="s">
        <v>145</v>
      </c>
      <c r="U114" s="34" t="s">
        <v>145</v>
      </c>
      <c r="V114" s="34">
        <v>30</v>
      </c>
      <c r="W114" s="34">
        <v>28</v>
      </c>
      <c r="X114" s="34">
        <v>0.93</v>
      </c>
      <c r="Y114" s="37">
        <v>-15.6</v>
      </c>
      <c r="Z114" s="34">
        <v>238</v>
      </c>
      <c r="AA114" s="39">
        <v>803</v>
      </c>
      <c r="AB114" s="34">
        <v>700</v>
      </c>
      <c r="AC114" s="34">
        <v>340</v>
      </c>
      <c r="AD114" s="34">
        <v>200</v>
      </c>
      <c r="AE114" s="34">
        <v>135</v>
      </c>
      <c r="AF114" s="34">
        <v>133</v>
      </c>
      <c r="AG114" s="34" t="s">
        <v>145</v>
      </c>
      <c r="AH114" s="34">
        <f>IF(CADO_EMPREGOS_2022[[#This Row],[ABORTIVA]]="METEORO","",IF(COUNTA(CADO_EMPREGOS_2022[[#This Row],[TRANSGRESSÕES]])&gt;0,0,CADO_EMPREGOS_2022[[#This Row],[NOTA COM PENALIDADES (FOULS)]]))</f>
        <v>9.3333333333333339</v>
      </c>
      <c r="AI114" s="34"/>
      <c r="AJ114" s="34">
        <f>IFERROR(IF(CADO_EMPREGOS_2022[[#This Row],[NOTA SEM FOULS]]=0,0,IF(COUNTIF(CADO_EMPREGOS_2022[[#This Row],[FOUL TVB]:[FOUL DE EIXO]],1)&gt;0,0,CADO_EMPREGOS_2022[[#This Row],[NOTA SEM FOULS]])),"")</f>
        <v>9.3333333333333339</v>
      </c>
      <c r="AK114" s="34">
        <f>IF(CADO_EMPREGOS_2022[[#This Row],[MODALIDADE]]="TT",CADO_EMPREGOS_2022[[#This Row],[NOTA ACERTOS]],IF(COUNTA(CADO_EMPREGOS_2022[[#This Row],[MODALIDADE]])=0,"",CADO_EMPREGOS_2022[[#This Row],[NOTA DISTÂNCIA]]))</f>
        <v>9.3333333333333339</v>
      </c>
      <c r="AL114" s="34">
        <f>IF(AND(CADO_EMPREGOS_2022[[#This Row],[MODALIDADE]]="BRB",CADO_EMPREGOS_2022[[#This Row],[TVB]]&lt;=3),1,0)</f>
        <v>0</v>
      </c>
      <c r="AM11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1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14" s="34">
        <f>IFERROR(IF(CADO_EMPREGOS_2022[[#This Row],[ALTURA DE RECUPERAÇÃO (FT)]]&lt;VLOOKUP(CADO_EMPREGOS_2022[[#This Row],[MODALIDADE]],Dados!$R$3:$AB$16,10,FALSE),1,0),"")</f>
        <v>0</v>
      </c>
      <c r="AP11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1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14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9.3333333333333339</v>
      </c>
      <c r="AS114" s="34" cm="1">
        <f t="array" ref="AS11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14" s="34" t="s">
        <v>174</v>
      </c>
    </row>
    <row r="115" spans="1:46" x14ac:dyDescent="0.25">
      <c r="A115" s="35">
        <v>44686</v>
      </c>
      <c r="B115" s="36">
        <v>0.79166666666666663</v>
      </c>
      <c r="C115" s="34" t="s">
        <v>187</v>
      </c>
      <c r="D115" s="34" t="s">
        <v>99</v>
      </c>
      <c r="E115" s="34">
        <v>5959</v>
      </c>
      <c r="F115" s="34" t="s">
        <v>134</v>
      </c>
      <c r="G115" s="34">
        <v>4</v>
      </c>
      <c r="H115" s="34" t="s">
        <v>158</v>
      </c>
      <c r="I115" s="34" t="s">
        <v>175</v>
      </c>
      <c r="J115" s="34" t="s">
        <v>176</v>
      </c>
      <c r="K115" s="34">
        <v>1</v>
      </c>
      <c r="L115" s="34" t="s">
        <v>149</v>
      </c>
      <c r="M115" s="34" t="s">
        <v>163</v>
      </c>
      <c r="N115" s="34" t="s">
        <v>179</v>
      </c>
      <c r="O115" s="34" t="s">
        <v>184</v>
      </c>
      <c r="P115" s="34" t="s">
        <v>177</v>
      </c>
      <c r="Q115" s="34" t="s">
        <v>180</v>
      </c>
      <c r="R115" s="37">
        <v>2</v>
      </c>
      <c r="S115" s="37">
        <v>5</v>
      </c>
      <c r="T115" s="34">
        <v>4</v>
      </c>
      <c r="U115" s="34">
        <v>9</v>
      </c>
      <c r="V115" s="34" t="s">
        <v>145</v>
      </c>
      <c r="W115" s="34" t="s">
        <v>145</v>
      </c>
      <c r="X115" s="34" t="s">
        <v>145</v>
      </c>
      <c r="Y115" s="37">
        <v>-20.100000000000001</v>
      </c>
      <c r="Z115" s="34">
        <v>240</v>
      </c>
      <c r="AA115" s="39" t="s">
        <v>145</v>
      </c>
      <c r="AB115" s="34" t="s">
        <v>145</v>
      </c>
      <c r="AC115" s="34">
        <v>1970</v>
      </c>
      <c r="AD115" s="34">
        <v>1300</v>
      </c>
      <c r="AE115" s="34">
        <v>315</v>
      </c>
      <c r="AF115" s="34">
        <v>317</v>
      </c>
      <c r="AG115" s="34">
        <v>6</v>
      </c>
      <c r="AH115" s="34">
        <f>IF(CADO_EMPREGOS_2022[[#This Row],[ABORTIVA]]="METEORO","",IF(COUNTA(CADO_EMPREGOS_2022[[#This Row],[TRANSGRESSÕES]])&gt;0,0,CADO_EMPREGOS_2022[[#This Row],[NOTA COM PENALIDADES (FOULS)]]))</f>
        <v>9.6</v>
      </c>
      <c r="AI115" s="34"/>
      <c r="AJ115" s="34">
        <f>IFERROR(IF(CADO_EMPREGOS_2022[[#This Row],[NOTA SEM FOULS]]=0,0,IF(COUNTIF(CADO_EMPREGOS_2022[[#This Row],[FOUL TVB]:[FOUL DE EIXO]],1)&gt;0,0,CADO_EMPREGOS_2022[[#This Row],[NOTA SEM FOULS]])),"")</f>
        <v>9.6</v>
      </c>
      <c r="AK115" s="34">
        <f>IF(CADO_EMPREGOS_2022[[#This Row],[MODALIDADE]]="TT",CADO_EMPREGOS_2022[[#This Row],[NOTA ACERTOS]],IF(COUNTA(CADO_EMPREGOS_2022[[#This Row],[MODALIDADE]])=0,"",CADO_EMPREGOS_2022[[#This Row],[NOTA DISTÂNCIA]]))</f>
        <v>9.6</v>
      </c>
      <c r="AL115" s="34">
        <f>IF(AND(CADO_EMPREGOS_2022[[#This Row],[MODALIDADE]]="BRB",CADO_EMPREGOS_2022[[#This Row],[TVB]]&lt;=3),1,0)</f>
        <v>0</v>
      </c>
      <c r="AM11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1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15" s="34">
        <f>IFERROR(IF(CADO_EMPREGOS_2022[[#This Row],[ALTURA DE RECUPERAÇÃO (FT)]]&lt;VLOOKUP(CADO_EMPREGOS_2022[[#This Row],[MODALIDADE]],Dados!$R$3:$AB$16,10,FALSE),1,0),"")</f>
        <v>0</v>
      </c>
      <c r="AP11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1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15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15" s="34" cm="1">
        <f t="array" ref="AS11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9.6</v>
      </c>
      <c r="AT115" s="34" t="s">
        <v>174</v>
      </c>
    </row>
    <row r="116" spans="1:46" x14ac:dyDescent="0.25">
      <c r="A116" s="35">
        <v>44686</v>
      </c>
      <c r="B116" s="36">
        <v>0.79166666666666663</v>
      </c>
      <c r="C116" s="34" t="s">
        <v>187</v>
      </c>
      <c r="D116" s="34" t="s">
        <v>99</v>
      </c>
      <c r="E116" s="34">
        <v>5959</v>
      </c>
      <c r="F116" s="34" t="s">
        <v>134</v>
      </c>
      <c r="G116" s="34">
        <v>4</v>
      </c>
      <c r="H116" s="34" t="s">
        <v>158</v>
      </c>
      <c r="I116" s="34" t="s">
        <v>175</v>
      </c>
      <c r="J116" s="34" t="s">
        <v>176</v>
      </c>
      <c r="K116" s="34">
        <v>1</v>
      </c>
      <c r="L116" s="34" t="s">
        <v>149</v>
      </c>
      <c r="M116" s="34" t="s">
        <v>163</v>
      </c>
      <c r="N116" s="34" t="s">
        <v>179</v>
      </c>
      <c r="O116" s="34" t="s">
        <v>184</v>
      </c>
      <c r="P116" s="34" t="s">
        <v>177</v>
      </c>
      <c r="Q116" s="34" t="s">
        <v>180</v>
      </c>
      <c r="R116" s="37">
        <v>15</v>
      </c>
      <c r="S116" s="37">
        <v>10</v>
      </c>
      <c r="T116" s="34">
        <v>14.9</v>
      </c>
      <c r="U116" s="34">
        <v>2</v>
      </c>
      <c r="V116" s="34" t="s">
        <v>145</v>
      </c>
      <c r="W116" s="34" t="s">
        <v>145</v>
      </c>
      <c r="X116" s="34" t="s">
        <v>145</v>
      </c>
      <c r="Y116" s="37">
        <v>-18.5</v>
      </c>
      <c r="Z116" s="34">
        <v>247</v>
      </c>
      <c r="AA116" s="39" t="s">
        <v>145</v>
      </c>
      <c r="AB116" s="34" t="s">
        <v>145</v>
      </c>
      <c r="AC116" s="34">
        <v>1960</v>
      </c>
      <c r="AD116" s="34">
        <v>1300</v>
      </c>
      <c r="AE116" s="34">
        <v>135</v>
      </c>
      <c r="AF116" s="34">
        <v>136</v>
      </c>
      <c r="AG116" s="34">
        <v>6</v>
      </c>
      <c r="AH116" s="34">
        <f>IF(CADO_EMPREGOS_2022[[#This Row],[ABORTIVA]]="METEORO","",IF(COUNTA(CADO_EMPREGOS_2022[[#This Row],[TRANSGRESSÕES]])&gt;0,0,CADO_EMPREGOS_2022[[#This Row],[NOTA COM PENALIDADES (FOULS)]]))</f>
        <v>8.51</v>
      </c>
      <c r="AI116" s="34"/>
      <c r="AJ116" s="34">
        <f>IFERROR(IF(CADO_EMPREGOS_2022[[#This Row],[NOTA SEM FOULS]]=0,0,IF(COUNTIF(CADO_EMPREGOS_2022[[#This Row],[FOUL TVB]:[FOUL DE EIXO]],1)&gt;0,0,CADO_EMPREGOS_2022[[#This Row],[NOTA SEM FOULS]])),"")</f>
        <v>8.51</v>
      </c>
      <c r="AK116" s="34">
        <f>IF(CADO_EMPREGOS_2022[[#This Row],[MODALIDADE]]="TT",CADO_EMPREGOS_2022[[#This Row],[NOTA ACERTOS]],IF(COUNTA(CADO_EMPREGOS_2022[[#This Row],[MODALIDADE]])=0,"",CADO_EMPREGOS_2022[[#This Row],[NOTA DISTÂNCIA]]))</f>
        <v>8.51</v>
      </c>
      <c r="AL116" s="34">
        <f>IF(AND(CADO_EMPREGOS_2022[[#This Row],[MODALIDADE]]="BRB",CADO_EMPREGOS_2022[[#This Row],[TVB]]&lt;=3),1,0)</f>
        <v>0</v>
      </c>
      <c r="AM11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1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16" s="34">
        <f>IFERROR(IF(CADO_EMPREGOS_2022[[#This Row],[ALTURA DE RECUPERAÇÃO (FT)]]&lt;VLOOKUP(CADO_EMPREGOS_2022[[#This Row],[MODALIDADE]],Dados!$R$3:$AB$16,10,FALSE),1,0),"")</f>
        <v>0</v>
      </c>
      <c r="AP11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1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1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16" s="34" cm="1">
        <f t="array" ref="AS11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8.51</v>
      </c>
      <c r="AT116" s="34" t="s">
        <v>174</v>
      </c>
    </row>
    <row r="117" spans="1:46" x14ac:dyDescent="0.25">
      <c r="A117" s="35">
        <v>44687</v>
      </c>
      <c r="B117" s="36">
        <v>0.57638888888888895</v>
      </c>
      <c r="C117" s="34" t="s">
        <v>187</v>
      </c>
      <c r="D117" s="34" t="s">
        <v>99</v>
      </c>
      <c r="E117" s="34">
        <v>5927</v>
      </c>
      <c r="F117" s="34" t="s">
        <v>133</v>
      </c>
      <c r="G117" s="34">
        <v>4</v>
      </c>
      <c r="H117" s="34" t="s">
        <v>158</v>
      </c>
      <c r="I117" s="34" t="s">
        <v>175</v>
      </c>
      <c r="J117" s="34" t="s">
        <v>176</v>
      </c>
      <c r="K117" s="34">
        <v>1</v>
      </c>
      <c r="L117" s="34" t="s">
        <v>149</v>
      </c>
      <c r="M117" s="34" t="s">
        <v>163</v>
      </c>
      <c r="N117" s="34" t="s">
        <v>179</v>
      </c>
      <c r="O117" s="34" t="s">
        <v>184</v>
      </c>
      <c r="P117" s="34" t="s">
        <v>177</v>
      </c>
      <c r="Q117" s="34" t="s">
        <v>180</v>
      </c>
      <c r="R117" s="37">
        <v>-3</v>
      </c>
      <c r="S117" s="37">
        <v>-1</v>
      </c>
      <c r="T117" s="34">
        <v>2.6</v>
      </c>
      <c r="U117" s="34">
        <v>8</v>
      </c>
      <c r="V117" s="34" t="s">
        <v>145</v>
      </c>
      <c r="W117" s="34" t="s">
        <v>145</v>
      </c>
      <c r="X117" s="34" t="s">
        <v>145</v>
      </c>
      <c r="Y117" s="37">
        <v>-20</v>
      </c>
      <c r="Z117" s="34">
        <v>250</v>
      </c>
      <c r="AA117" s="39" t="s">
        <v>145</v>
      </c>
      <c r="AB117" s="34" t="s">
        <v>145</v>
      </c>
      <c r="AC117" s="34">
        <v>1350</v>
      </c>
      <c r="AD117" s="34">
        <v>1300</v>
      </c>
      <c r="AE117" s="34">
        <v>135</v>
      </c>
      <c r="AF117" s="34">
        <v>135</v>
      </c>
      <c r="AG117" s="34">
        <v>6</v>
      </c>
      <c r="AH117" s="34">
        <f>IF(CADO_EMPREGOS_2022[[#This Row],[ABORTIVA]]="METEORO","",IF(COUNTA(CADO_EMPREGOS_2022[[#This Row],[TRANSGRESSÕES]])&gt;0,0,CADO_EMPREGOS_2022[[#This Row],[NOTA COM PENALIDADES (FOULS)]]))</f>
        <v>9.74</v>
      </c>
      <c r="AI117" s="34"/>
      <c r="AJ117" s="34">
        <f>IFERROR(IF(CADO_EMPREGOS_2022[[#This Row],[NOTA SEM FOULS]]=0,0,IF(COUNTIF(CADO_EMPREGOS_2022[[#This Row],[FOUL TVB]:[FOUL DE EIXO]],1)&gt;0,0,CADO_EMPREGOS_2022[[#This Row],[NOTA SEM FOULS]])),"")</f>
        <v>9.74</v>
      </c>
      <c r="AK117" s="34">
        <f>IF(CADO_EMPREGOS_2022[[#This Row],[MODALIDADE]]="TT",CADO_EMPREGOS_2022[[#This Row],[NOTA ACERTOS]],IF(COUNTA(CADO_EMPREGOS_2022[[#This Row],[MODALIDADE]])=0,"",CADO_EMPREGOS_2022[[#This Row],[NOTA DISTÂNCIA]]))</f>
        <v>9.74</v>
      </c>
      <c r="AL117" s="34">
        <f>IF(AND(CADO_EMPREGOS_2022[[#This Row],[MODALIDADE]]="BRB",CADO_EMPREGOS_2022[[#This Row],[TVB]]&lt;=3),1,0)</f>
        <v>0</v>
      </c>
      <c r="AM11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1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17" s="34">
        <f>IFERROR(IF(CADO_EMPREGOS_2022[[#This Row],[ALTURA DE RECUPERAÇÃO (FT)]]&lt;VLOOKUP(CADO_EMPREGOS_2022[[#This Row],[MODALIDADE]],Dados!$R$3:$AB$16,10,FALSE),1,0),"")</f>
        <v>0</v>
      </c>
      <c r="AP11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1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1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17" s="34" cm="1">
        <f t="array" ref="AS11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9.74</v>
      </c>
      <c r="AT117" s="34" t="s">
        <v>190</v>
      </c>
    </row>
    <row r="118" spans="1:46" x14ac:dyDescent="0.25">
      <c r="A118" s="35">
        <v>44687</v>
      </c>
      <c r="B118" s="36">
        <v>0.57638888888888895</v>
      </c>
      <c r="C118" s="34" t="s">
        <v>187</v>
      </c>
      <c r="D118" s="34" t="s">
        <v>99</v>
      </c>
      <c r="E118" s="34">
        <v>5927</v>
      </c>
      <c r="F118" s="34" t="s">
        <v>133</v>
      </c>
      <c r="G118" s="34">
        <v>4</v>
      </c>
      <c r="H118" s="34" t="s">
        <v>158</v>
      </c>
      <c r="I118" s="34" t="s">
        <v>175</v>
      </c>
      <c r="J118" s="34" t="s">
        <v>176</v>
      </c>
      <c r="K118" s="34">
        <v>1</v>
      </c>
      <c r="L118" s="34" t="s">
        <v>149</v>
      </c>
      <c r="M118" s="34" t="s">
        <v>163</v>
      </c>
      <c r="N118" s="34" t="s">
        <v>179</v>
      </c>
      <c r="O118" s="34" t="s">
        <v>184</v>
      </c>
      <c r="P118" s="34" t="s">
        <v>177</v>
      </c>
      <c r="Q118" s="34" t="s">
        <v>180</v>
      </c>
      <c r="R118" s="37">
        <v>9</v>
      </c>
      <c r="S118" s="37">
        <v>-7</v>
      </c>
      <c r="T118" s="34">
        <v>9.1999999999999993</v>
      </c>
      <c r="U118" s="34">
        <v>6.1</v>
      </c>
      <c r="V118" s="34" t="s">
        <v>145</v>
      </c>
      <c r="W118" s="34" t="s">
        <v>145</v>
      </c>
      <c r="X118" s="34" t="s">
        <v>145</v>
      </c>
      <c r="Y118" s="37">
        <v>-20</v>
      </c>
      <c r="Z118" s="34">
        <v>250</v>
      </c>
      <c r="AA118" s="39" t="s">
        <v>145</v>
      </c>
      <c r="AB118" s="34" t="s">
        <v>145</v>
      </c>
      <c r="AC118" s="34">
        <v>1350</v>
      </c>
      <c r="AD118" s="34">
        <v>1300</v>
      </c>
      <c r="AE118" s="34">
        <v>135</v>
      </c>
      <c r="AF118" s="34">
        <v>135</v>
      </c>
      <c r="AG118" s="34">
        <v>6</v>
      </c>
      <c r="AH118" s="34">
        <f>IF(CADO_EMPREGOS_2022[[#This Row],[ABORTIVA]]="METEORO","",IF(COUNTA(CADO_EMPREGOS_2022[[#This Row],[TRANSGRESSÕES]])&gt;0,0,CADO_EMPREGOS_2022[[#This Row],[NOTA COM PENALIDADES (FOULS)]]))</f>
        <v>9.08</v>
      </c>
      <c r="AI118" s="34"/>
      <c r="AJ118" s="34">
        <f>IFERROR(IF(CADO_EMPREGOS_2022[[#This Row],[NOTA SEM FOULS]]=0,0,IF(COUNTIF(CADO_EMPREGOS_2022[[#This Row],[FOUL TVB]:[FOUL DE EIXO]],1)&gt;0,0,CADO_EMPREGOS_2022[[#This Row],[NOTA SEM FOULS]])),"")</f>
        <v>9.08</v>
      </c>
      <c r="AK118" s="34">
        <f>IF(CADO_EMPREGOS_2022[[#This Row],[MODALIDADE]]="TT",CADO_EMPREGOS_2022[[#This Row],[NOTA ACERTOS]],IF(COUNTA(CADO_EMPREGOS_2022[[#This Row],[MODALIDADE]])=0,"",CADO_EMPREGOS_2022[[#This Row],[NOTA DISTÂNCIA]]))</f>
        <v>9.08</v>
      </c>
      <c r="AL118" s="34">
        <f>IF(AND(CADO_EMPREGOS_2022[[#This Row],[MODALIDADE]]="BRB",CADO_EMPREGOS_2022[[#This Row],[TVB]]&lt;=3),1,0)</f>
        <v>0</v>
      </c>
      <c r="AM11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1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18" s="34">
        <f>IFERROR(IF(CADO_EMPREGOS_2022[[#This Row],[ALTURA DE RECUPERAÇÃO (FT)]]&lt;VLOOKUP(CADO_EMPREGOS_2022[[#This Row],[MODALIDADE]],Dados!$R$3:$AB$16,10,FALSE),1,0),"")</f>
        <v>0</v>
      </c>
      <c r="AP11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1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18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18" s="34" cm="1">
        <f t="array" ref="AS11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9.08</v>
      </c>
      <c r="AT118" s="34" t="s">
        <v>190</v>
      </c>
    </row>
    <row r="119" spans="1:46" x14ac:dyDescent="0.25">
      <c r="A119" s="35">
        <v>44687</v>
      </c>
      <c r="B119" s="36">
        <v>0.57638888888888895</v>
      </c>
      <c r="C119" s="34" t="s">
        <v>187</v>
      </c>
      <c r="D119" s="34" t="s">
        <v>99</v>
      </c>
      <c r="E119" s="34">
        <v>5927</v>
      </c>
      <c r="F119" s="34" t="s">
        <v>133</v>
      </c>
      <c r="G119" s="34">
        <v>4</v>
      </c>
      <c r="H119" s="34" t="s">
        <v>25</v>
      </c>
      <c r="I119" s="34" t="s">
        <v>175</v>
      </c>
      <c r="J119" s="34" t="s">
        <v>169</v>
      </c>
      <c r="K119" s="34">
        <v>1</v>
      </c>
      <c r="L119" s="34" t="s">
        <v>149</v>
      </c>
      <c r="M119" s="34" t="s">
        <v>163</v>
      </c>
      <c r="N119" s="34" t="s">
        <v>179</v>
      </c>
      <c r="O119" s="34" t="s">
        <v>184</v>
      </c>
      <c r="P119" s="34" t="s">
        <v>172</v>
      </c>
      <c r="Q119" s="34" t="s">
        <v>145</v>
      </c>
      <c r="R119" s="37" t="s">
        <v>145</v>
      </c>
      <c r="S119" s="37" t="s">
        <v>145</v>
      </c>
      <c r="T119" s="34" t="s">
        <v>145</v>
      </c>
      <c r="U119" s="34" t="s">
        <v>145</v>
      </c>
      <c r="V119" s="34">
        <v>28</v>
      </c>
      <c r="W119" s="34">
        <v>22</v>
      </c>
      <c r="X119" s="34">
        <v>0.77</v>
      </c>
      <c r="Y119" s="37">
        <v>-15</v>
      </c>
      <c r="Z119" s="34">
        <v>250</v>
      </c>
      <c r="AA119" s="39">
        <v>750</v>
      </c>
      <c r="AB119" s="34">
        <v>550</v>
      </c>
      <c r="AC119" s="34">
        <v>250</v>
      </c>
      <c r="AD119" s="34">
        <v>200</v>
      </c>
      <c r="AE119" s="34">
        <v>135</v>
      </c>
      <c r="AF119" s="34">
        <v>135</v>
      </c>
      <c r="AG119" s="34"/>
      <c r="AH119" s="34">
        <f>IF(CADO_EMPREGOS_2022[[#This Row],[ABORTIVA]]="METEORO","",IF(COUNTA(CADO_EMPREGOS_2022[[#This Row],[TRANSGRESSÕES]])&gt;0,0,CADO_EMPREGOS_2022[[#This Row],[NOTA COM PENALIDADES (FOULS)]]))</f>
        <v>7.333333333333333</v>
      </c>
      <c r="AI119" s="34"/>
      <c r="AJ119" s="34">
        <f>IFERROR(IF(CADO_EMPREGOS_2022[[#This Row],[NOTA SEM FOULS]]=0,0,IF(COUNTIF(CADO_EMPREGOS_2022[[#This Row],[FOUL TVB]:[FOUL DE EIXO]],1)&gt;0,0,CADO_EMPREGOS_2022[[#This Row],[NOTA SEM FOULS]])),"")</f>
        <v>7.333333333333333</v>
      </c>
      <c r="AK119" s="34">
        <f>IF(CADO_EMPREGOS_2022[[#This Row],[MODALIDADE]]="TT",CADO_EMPREGOS_2022[[#This Row],[NOTA ACERTOS]],IF(COUNTA(CADO_EMPREGOS_2022[[#This Row],[MODALIDADE]])=0,"",CADO_EMPREGOS_2022[[#This Row],[NOTA DISTÂNCIA]]))</f>
        <v>7.333333333333333</v>
      </c>
      <c r="AL119" s="34">
        <f>IF(AND(CADO_EMPREGOS_2022[[#This Row],[MODALIDADE]]="BRB",CADO_EMPREGOS_2022[[#This Row],[TVB]]&lt;=3),1,0)</f>
        <v>0</v>
      </c>
      <c r="AM11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1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19" s="34">
        <f>IFERROR(IF(CADO_EMPREGOS_2022[[#This Row],[ALTURA DE RECUPERAÇÃO (FT)]]&lt;VLOOKUP(CADO_EMPREGOS_2022[[#This Row],[MODALIDADE]],Dados!$R$3:$AB$16,10,FALSE),1,0),"")</f>
        <v>0</v>
      </c>
      <c r="AP11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1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19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7.333333333333333</v>
      </c>
      <c r="AS119" s="34" cm="1">
        <f t="array" ref="AS11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19" s="34" t="s">
        <v>190</v>
      </c>
    </row>
    <row r="120" spans="1:46" x14ac:dyDescent="0.25">
      <c r="A120" s="35">
        <v>44698</v>
      </c>
      <c r="B120" s="36">
        <v>0.6875</v>
      </c>
      <c r="C120" s="34" t="s">
        <v>183</v>
      </c>
      <c r="D120" s="34" t="s">
        <v>118</v>
      </c>
      <c r="E120" s="34">
        <v>5920</v>
      </c>
      <c r="F120" s="34" t="s">
        <v>100</v>
      </c>
      <c r="G120" s="34">
        <v>1</v>
      </c>
      <c r="H120" s="34" t="s">
        <v>158</v>
      </c>
      <c r="I120" s="34" t="s">
        <v>175</v>
      </c>
      <c r="J120" s="34" t="s">
        <v>176</v>
      </c>
      <c r="K120" s="34">
        <v>1</v>
      </c>
      <c r="L120" s="34" t="s">
        <v>149</v>
      </c>
      <c r="M120" s="34" t="s">
        <v>163</v>
      </c>
      <c r="N120" s="34" t="s">
        <v>179</v>
      </c>
      <c r="O120" s="34" t="s">
        <v>184</v>
      </c>
      <c r="P120" s="34" t="s">
        <v>177</v>
      </c>
      <c r="Q120" s="34" t="s">
        <v>180</v>
      </c>
      <c r="R120" s="37">
        <v>-4</v>
      </c>
      <c r="S120" s="37">
        <v>8</v>
      </c>
      <c r="T120" s="34">
        <v>7.1</v>
      </c>
      <c r="U120" s="34">
        <v>5.4</v>
      </c>
      <c r="V120" s="34" t="s">
        <v>145</v>
      </c>
      <c r="W120" s="34" t="s">
        <v>145</v>
      </c>
      <c r="X120" s="34" t="s">
        <v>145</v>
      </c>
      <c r="Y120" s="37">
        <v>-19.899999999999999</v>
      </c>
      <c r="Z120" s="34">
        <v>257</v>
      </c>
      <c r="AA120" s="39" t="s">
        <v>145</v>
      </c>
      <c r="AB120" s="34" t="s">
        <v>145</v>
      </c>
      <c r="AC120" s="34">
        <v>1610</v>
      </c>
      <c r="AD120" s="34">
        <v>1300</v>
      </c>
      <c r="AE120" s="34">
        <v>135</v>
      </c>
      <c r="AF120" s="34">
        <v>145</v>
      </c>
      <c r="AG120" s="34">
        <v>4</v>
      </c>
      <c r="AH120" s="34">
        <f>IF(CADO_EMPREGOS_2022[[#This Row],[ABORTIVA]]="METEORO","",IF(COUNTA(CADO_EMPREGOS_2022[[#This Row],[TRANSGRESSÕES]])&gt;0,0,CADO_EMPREGOS_2022[[#This Row],[NOTA COM PENALIDADES (FOULS)]]))</f>
        <v>9.2899999999999991</v>
      </c>
      <c r="AI120" s="34"/>
      <c r="AJ120" s="34">
        <f>IFERROR(IF(CADO_EMPREGOS_2022[[#This Row],[NOTA SEM FOULS]]=0,0,IF(COUNTIF(CADO_EMPREGOS_2022[[#This Row],[FOUL TVB]:[FOUL DE EIXO]],1)&gt;0,0,CADO_EMPREGOS_2022[[#This Row],[NOTA SEM FOULS]])),"")</f>
        <v>9.2899999999999991</v>
      </c>
      <c r="AK120" s="34">
        <f>IF(CADO_EMPREGOS_2022[[#This Row],[MODALIDADE]]="TT",CADO_EMPREGOS_2022[[#This Row],[NOTA ACERTOS]],IF(COUNTA(CADO_EMPREGOS_2022[[#This Row],[MODALIDADE]])=0,"",CADO_EMPREGOS_2022[[#This Row],[NOTA DISTÂNCIA]]))</f>
        <v>9.2899999999999991</v>
      </c>
      <c r="AL120" s="34">
        <f>IF(AND(CADO_EMPREGOS_2022[[#This Row],[MODALIDADE]]="BRB",CADO_EMPREGOS_2022[[#This Row],[TVB]]&lt;=3),1,0)</f>
        <v>0</v>
      </c>
      <c r="AM12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2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20" s="34">
        <f>IFERROR(IF(CADO_EMPREGOS_2022[[#This Row],[ALTURA DE RECUPERAÇÃO (FT)]]&lt;VLOOKUP(CADO_EMPREGOS_2022[[#This Row],[MODALIDADE]],Dados!$R$3:$AB$16,10,FALSE),1,0),"")</f>
        <v>0</v>
      </c>
      <c r="AP12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2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2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20" s="34" cm="1">
        <f t="array" ref="AS12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9.2899999999999991</v>
      </c>
      <c r="AT120" s="34" t="s">
        <v>174</v>
      </c>
    </row>
    <row r="121" spans="1:46" x14ac:dyDescent="0.25">
      <c r="A121" s="35">
        <v>44698</v>
      </c>
      <c r="B121" s="36">
        <v>0.6875</v>
      </c>
      <c r="C121" s="34" t="s">
        <v>183</v>
      </c>
      <c r="D121" s="34" t="s">
        <v>118</v>
      </c>
      <c r="E121" s="34">
        <v>5920</v>
      </c>
      <c r="F121" s="34" t="s">
        <v>100</v>
      </c>
      <c r="G121" s="34">
        <v>1</v>
      </c>
      <c r="H121" s="34" t="s">
        <v>158</v>
      </c>
      <c r="I121" s="34" t="s">
        <v>175</v>
      </c>
      <c r="J121" s="34" t="s">
        <v>176</v>
      </c>
      <c r="K121" s="34">
        <v>1</v>
      </c>
      <c r="L121" s="34" t="s">
        <v>149</v>
      </c>
      <c r="M121" s="34" t="s">
        <v>163</v>
      </c>
      <c r="N121" s="34" t="s">
        <v>179</v>
      </c>
      <c r="O121" s="34" t="s">
        <v>184</v>
      </c>
      <c r="P121" s="34" t="s">
        <v>177</v>
      </c>
      <c r="Q121" s="34" t="s">
        <v>180</v>
      </c>
      <c r="R121" s="37">
        <v>10</v>
      </c>
      <c r="S121" s="37">
        <v>3</v>
      </c>
      <c r="T121" s="34">
        <v>8.6</v>
      </c>
      <c r="U121" s="34">
        <v>5.0999999999999996</v>
      </c>
      <c r="V121" s="34" t="s">
        <v>145</v>
      </c>
      <c r="W121" s="34" t="s">
        <v>145</v>
      </c>
      <c r="X121" s="34" t="s">
        <v>145</v>
      </c>
      <c r="Y121" s="37">
        <v>-20.3</v>
      </c>
      <c r="Z121" s="34">
        <v>251</v>
      </c>
      <c r="AA121" s="39" t="s">
        <v>145</v>
      </c>
      <c r="AB121" s="34" t="s">
        <v>145</v>
      </c>
      <c r="AC121" s="34">
        <v>1510</v>
      </c>
      <c r="AD121" s="34">
        <v>1300</v>
      </c>
      <c r="AE121" s="34">
        <v>45</v>
      </c>
      <c r="AF121" s="34">
        <v>35</v>
      </c>
      <c r="AG121" s="34">
        <v>5</v>
      </c>
      <c r="AH121" s="34">
        <f>IF(CADO_EMPREGOS_2022[[#This Row],[ABORTIVA]]="METEORO","",IF(COUNTA(CADO_EMPREGOS_2022[[#This Row],[TRANSGRESSÕES]])&gt;0,0,CADO_EMPREGOS_2022[[#This Row],[NOTA COM PENALIDADES (FOULS)]]))</f>
        <v>9.14</v>
      </c>
      <c r="AI121" s="34"/>
      <c r="AJ121" s="34">
        <f>IFERROR(IF(CADO_EMPREGOS_2022[[#This Row],[NOTA SEM FOULS]]=0,0,IF(COUNTIF(CADO_EMPREGOS_2022[[#This Row],[FOUL TVB]:[FOUL DE EIXO]],1)&gt;0,0,CADO_EMPREGOS_2022[[#This Row],[NOTA SEM FOULS]])),"")</f>
        <v>9.14</v>
      </c>
      <c r="AK121" s="34">
        <f>IF(CADO_EMPREGOS_2022[[#This Row],[MODALIDADE]]="TT",CADO_EMPREGOS_2022[[#This Row],[NOTA ACERTOS]],IF(COUNTA(CADO_EMPREGOS_2022[[#This Row],[MODALIDADE]])=0,"",CADO_EMPREGOS_2022[[#This Row],[NOTA DISTÂNCIA]]))</f>
        <v>9.14</v>
      </c>
      <c r="AL121" s="34">
        <f>IF(AND(CADO_EMPREGOS_2022[[#This Row],[MODALIDADE]]="BRB",CADO_EMPREGOS_2022[[#This Row],[TVB]]&lt;=3),1,0)</f>
        <v>0</v>
      </c>
      <c r="AM12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2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21" s="34">
        <f>IFERROR(IF(CADO_EMPREGOS_2022[[#This Row],[ALTURA DE RECUPERAÇÃO (FT)]]&lt;VLOOKUP(CADO_EMPREGOS_2022[[#This Row],[MODALIDADE]],Dados!$R$3:$AB$16,10,FALSE),1,0),"")</f>
        <v>0</v>
      </c>
      <c r="AP12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2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21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21" s="34" cm="1">
        <f t="array" ref="AS12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9.14</v>
      </c>
      <c r="AT121" s="34" t="s">
        <v>174</v>
      </c>
    </row>
    <row r="122" spans="1:46" x14ac:dyDescent="0.25">
      <c r="A122" s="35">
        <v>44699</v>
      </c>
      <c r="B122" s="36">
        <v>0.36805555555555558</v>
      </c>
      <c r="C122" s="34" t="s">
        <v>187</v>
      </c>
      <c r="D122" s="34" t="s">
        <v>118</v>
      </c>
      <c r="E122" s="34">
        <v>5733</v>
      </c>
      <c r="F122" s="34" t="s">
        <v>132</v>
      </c>
      <c r="G122" s="34">
        <v>1</v>
      </c>
      <c r="H122" s="34" t="s">
        <v>158</v>
      </c>
      <c r="I122" s="34" t="s">
        <v>175</v>
      </c>
      <c r="J122" s="34" t="s">
        <v>176</v>
      </c>
      <c r="K122" s="34">
        <v>1</v>
      </c>
      <c r="L122" s="34" t="s">
        <v>149</v>
      </c>
      <c r="M122" s="34" t="s">
        <v>163</v>
      </c>
      <c r="N122" s="34" t="s">
        <v>179</v>
      </c>
      <c r="O122" s="34" t="s">
        <v>184</v>
      </c>
      <c r="P122" s="34" t="s">
        <v>177</v>
      </c>
      <c r="Q122" s="34" t="s">
        <v>180</v>
      </c>
      <c r="R122" s="37">
        <v>-21</v>
      </c>
      <c r="S122" s="37">
        <v>12</v>
      </c>
      <c r="T122" s="34">
        <v>19.2</v>
      </c>
      <c r="U122" s="34">
        <v>6.5</v>
      </c>
      <c r="V122" s="34" t="s">
        <v>145</v>
      </c>
      <c r="W122" s="34" t="s">
        <v>145</v>
      </c>
      <c r="X122" s="34" t="s">
        <v>145</v>
      </c>
      <c r="Y122" s="37">
        <v>-19.8</v>
      </c>
      <c r="Z122" s="34">
        <v>254</v>
      </c>
      <c r="AA122" s="39" t="s">
        <v>145</v>
      </c>
      <c r="AB122" s="34" t="s">
        <v>145</v>
      </c>
      <c r="AC122" s="34">
        <v>1480</v>
      </c>
      <c r="AD122" s="34">
        <v>1300</v>
      </c>
      <c r="AE122" s="34">
        <v>135</v>
      </c>
      <c r="AF122" s="34">
        <v>139</v>
      </c>
      <c r="AG122" s="34">
        <v>5</v>
      </c>
      <c r="AH122" s="34">
        <f>IF(CADO_EMPREGOS_2022[[#This Row],[ABORTIVA]]="METEORO","",IF(COUNTA(CADO_EMPREGOS_2022[[#This Row],[TRANSGRESSÕES]])&gt;0,0,CADO_EMPREGOS_2022[[#This Row],[NOTA COM PENALIDADES (FOULS)]]))</f>
        <v>8.08</v>
      </c>
      <c r="AI122" s="34"/>
      <c r="AJ122" s="34">
        <f>IFERROR(IF(CADO_EMPREGOS_2022[[#This Row],[NOTA SEM FOULS]]=0,0,IF(COUNTIF(CADO_EMPREGOS_2022[[#This Row],[FOUL TVB]:[FOUL DE EIXO]],1)&gt;0,0,CADO_EMPREGOS_2022[[#This Row],[NOTA SEM FOULS]])),"")</f>
        <v>8.08</v>
      </c>
      <c r="AK122" s="34">
        <f>IF(CADO_EMPREGOS_2022[[#This Row],[MODALIDADE]]="TT",CADO_EMPREGOS_2022[[#This Row],[NOTA ACERTOS]],IF(COUNTA(CADO_EMPREGOS_2022[[#This Row],[MODALIDADE]])=0,"",CADO_EMPREGOS_2022[[#This Row],[NOTA DISTÂNCIA]]))</f>
        <v>8.08</v>
      </c>
      <c r="AL122" s="34">
        <f>IF(AND(CADO_EMPREGOS_2022[[#This Row],[MODALIDADE]]="BRB",CADO_EMPREGOS_2022[[#This Row],[TVB]]&lt;=3),1,0)</f>
        <v>0</v>
      </c>
      <c r="AM12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2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22" s="34">
        <f>IFERROR(IF(CADO_EMPREGOS_2022[[#This Row],[ALTURA DE RECUPERAÇÃO (FT)]]&lt;VLOOKUP(CADO_EMPREGOS_2022[[#This Row],[MODALIDADE]],Dados!$R$3:$AB$16,10,FALSE),1,0),"")</f>
        <v>0</v>
      </c>
      <c r="AP12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2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22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22" s="34" cm="1">
        <f t="array" ref="AS12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8.08</v>
      </c>
      <c r="AT122" s="34" t="s">
        <v>174</v>
      </c>
    </row>
    <row r="123" spans="1:46" x14ac:dyDescent="0.25">
      <c r="A123" s="35">
        <v>44699</v>
      </c>
      <c r="B123" s="36">
        <v>0.36805555555555558</v>
      </c>
      <c r="C123" s="34" t="s">
        <v>187</v>
      </c>
      <c r="D123" s="34" t="s">
        <v>118</v>
      </c>
      <c r="E123" s="34">
        <v>5733</v>
      </c>
      <c r="F123" s="34" t="s">
        <v>132</v>
      </c>
      <c r="G123" s="34">
        <v>1</v>
      </c>
      <c r="H123" s="34" t="s">
        <v>158</v>
      </c>
      <c r="I123" s="34" t="s">
        <v>175</v>
      </c>
      <c r="J123" s="34" t="s">
        <v>176</v>
      </c>
      <c r="K123" s="34">
        <v>1</v>
      </c>
      <c r="L123" s="34" t="s">
        <v>149</v>
      </c>
      <c r="M123" s="34" t="s">
        <v>163</v>
      </c>
      <c r="N123" s="34" t="s">
        <v>179</v>
      </c>
      <c r="O123" s="34" t="s">
        <v>184</v>
      </c>
      <c r="P123" s="34" t="s">
        <v>177</v>
      </c>
      <c r="Q123" s="34" t="s">
        <v>180</v>
      </c>
      <c r="R123" s="37">
        <v>10</v>
      </c>
      <c r="S123" s="37">
        <v>-8</v>
      </c>
      <c r="T123" s="34">
        <v>10.3</v>
      </c>
      <c r="U123" s="34">
        <v>6.2</v>
      </c>
      <c r="V123" s="34" t="s">
        <v>145</v>
      </c>
      <c r="W123" s="34" t="s">
        <v>145</v>
      </c>
      <c r="X123" s="34" t="s">
        <v>145</v>
      </c>
      <c r="Y123" s="37">
        <v>-20</v>
      </c>
      <c r="Z123" s="34">
        <v>251</v>
      </c>
      <c r="AA123" s="39" t="s">
        <v>145</v>
      </c>
      <c r="AB123" s="34" t="s">
        <v>145</v>
      </c>
      <c r="AC123" s="34">
        <v>1550</v>
      </c>
      <c r="AD123" s="34">
        <v>1300</v>
      </c>
      <c r="AE123" s="34">
        <v>315</v>
      </c>
      <c r="AF123" s="34">
        <v>323</v>
      </c>
      <c r="AG123" s="34">
        <v>6</v>
      </c>
      <c r="AH123" s="34">
        <f>IF(CADO_EMPREGOS_2022[[#This Row],[ABORTIVA]]="METEORO","",IF(COUNTA(CADO_EMPREGOS_2022[[#This Row],[TRANSGRESSÕES]])&gt;0,0,CADO_EMPREGOS_2022[[#This Row],[NOTA COM PENALIDADES (FOULS)]]))</f>
        <v>8.9700000000000006</v>
      </c>
      <c r="AI123" s="34"/>
      <c r="AJ123" s="34">
        <f>IFERROR(IF(CADO_EMPREGOS_2022[[#This Row],[NOTA SEM FOULS]]=0,0,IF(COUNTIF(CADO_EMPREGOS_2022[[#This Row],[FOUL TVB]:[FOUL DE EIXO]],1)&gt;0,0,CADO_EMPREGOS_2022[[#This Row],[NOTA SEM FOULS]])),"")</f>
        <v>8.9700000000000006</v>
      </c>
      <c r="AK123" s="34">
        <f>IF(CADO_EMPREGOS_2022[[#This Row],[MODALIDADE]]="TT",CADO_EMPREGOS_2022[[#This Row],[NOTA ACERTOS]],IF(COUNTA(CADO_EMPREGOS_2022[[#This Row],[MODALIDADE]])=0,"",CADO_EMPREGOS_2022[[#This Row],[NOTA DISTÂNCIA]]))</f>
        <v>8.9700000000000006</v>
      </c>
      <c r="AL123" s="34">
        <f>IF(AND(CADO_EMPREGOS_2022[[#This Row],[MODALIDADE]]="BRB",CADO_EMPREGOS_2022[[#This Row],[TVB]]&lt;=3),1,0)</f>
        <v>0</v>
      </c>
      <c r="AM12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2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23" s="34">
        <f>IFERROR(IF(CADO_EMPREGOS_2022[[#This Row],[ALTURA DE RECUPERAÇÃO (FT)]]&lt;VLOOKUP(CADO_EMPREGOS_2022[[#This Row],[MODALIDADE]],Dados!$R$3:$AB$16,10,FALSE),1,0),"")</f>
        <v>0</v>
      </c>
      <c r="AP12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2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23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23" s="34" cm="1">
        <f t="array" ref="AS12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8.9700000000000006</v>
      </c>
      <c r="AT123" s="34" t="s">
        <v>174</v>
      </c>
    </row>
    <row r="124" spans="1:46" x14ac:dyDescent="0.25">
      <c r="A124" s="35">
        <v>44698</v>
      </c>
      <c r="B124" s="36">
        <v>0.47222222222222227</v>
      </c>
      <c r="C124" s="34" t="s">
        <v>183</v>
      </c>
      <c r="D124" s="34" t="s">
        <v>118</v>
      </c>
      <c r="E124" s="34">
        <v>5920</v>
      </c>
      <c r="F124" s="34" t="s">
        <v>100</v>
      </c>
      <c r="G124" s="34">
        <v>1</v>
      </c>
      <c r="H124" s="34" t="s">
        <v>25</v>
      </c>
      <c r="I124" s="34" t="s">
        <v>175</v>
      </c>
      <c r="J124" s="34" t="s">
        <v>169</v>
      </c>
      <c r="K124" s="34">
        <v>1</v>
      </c>
      <c r="L124" s="34" t="s">
        <v>149</v>
      </c>
      <c r="M124" s="34" t="s">
        <v>163</v>
      </c>
      <c r="N124" s="34" t="s">
        <v>179</v>
      </c>
      <c r="O124" s="34" t="s">
        <v>184</v>
      </c>
      <c r="P124" s="34" t="s">
        <v>172</v>
      </c>
      <c r="Q124" s="34" t="s">
        <v>145</v>
      </c>
      <c r="R124" s="37" t="s">
        <v>145</v>
      </c>
      <c r="S124" s="37" t="s">
        <v>145</v>
      </c>
      <c r="T124" s="34" t="s">
        <v>145</v>
      </c>
      <c r="U124" s="34" t="s">
        <v>145</v>
      </c>
      <c r="V124" s="34">
        <v>29</v>
      </c>
      <c r="W124" s="34">
        <v>16</v>
      </c>
      <c r="X124" s="34">
        <v>0.55000000000000004</v>
      </c>
      <c r="Y124" s="37">
        <v>-14.4</v>
      </c>
      <c r="Z124" s="34">
        <v>242</v>
      </c>
      <c r="AA124" s="39">
        <v>883</v>
      </c>
      <c r="AB124" s="34">
        <v>690</v>
      </c>
      <c r="AC124" s="34">
        <v>340</v>
      </c>
      <c r="AD124" s="34">
        <v>200</v>
      </c>
      <c r="AE124" s="34">
        <v>135</v>
      </c>
      <c r="AF124" s="34">
        <v>134</v>
      </c>
      <c r="AG124" s="34" t="s">
        <v>145</v>
      </c>
      <c r="AH124" s="34">
        <f>IF(CADO_EMPREGOS_2022[[#This Row],[ABORTIVA]]="METEORO","",IF(COUNTA(CADO_EMPREGOS_2022[[#This Row],[TRANSGRESSÕES]])&gt;0,0,CADO_EMPREGOS_2022[[#This Row],[NOTA COM PENALIDADES (FOULS)]]))</f>
        <v>5.333333333333333</v>
      </c>
      <c r="AI124" s="34"/>
      <c r="AJ124" s="34">
        <f>IFERROR(IF(CADO_EMPREGOS_2022[[#This Row],[NOTA SEM FOULS]]=0,0,IF(COUNTIF(CADO_EMPREGOS_2022[[#This Row],[FOUL TVB]:[FOUL DE EIXO]],1)&gt;0,0,CADO_EMPREGOS_2022[[#This Row],[NOTA SEM FOULS]])),"")</f>
        <v>5.333333333333333</v>
      </c>
      <c r="AK124" s="34">
        <f>IF(CADO_EMPREGOS_2022[[#This Row],[MODALIDADE]]="TT",CADO_EMPREGOS_2022[[#This Row],[NOTA ACERTOS]],IF(COUNTA(CADO_EMPREGOS_2022[[#This Row],[MODALIDADE]])=0,"",CADO_EMPREGOS_2022[[#This Row],[NOTA DISTÂNCIA]]))</f>
        <v>5.333333333333333</v>
      </c>
      <c r="AL124" s="34">
        <f>IF(AND(CADO_EMPREGOS_2022[[#This Row],[MODALIDADE]]="BRB",CADO_EMPREGOS_2022[[#This Row],[TVB]]&lt;=3),1,0)</f>
        <v>0</v>
      </c>
      <c r="AM12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2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24" s="34">
        <f>IFERROR(IF(CADO_EMPREGOS_2022[[#This Row],[ALTURA DE RECUPERAÇÃO (FT)]]&lt;VLOOKUP(CADO_EMPREGOS_2022[[#This Row],[MODALIDADE]],Dados!$R$3:$AB$16,10,FALSE),1,0),"")</f>
        <v>0</v>
      </c>
      <c r="AP12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2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24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5.333333333333333</v>
      </c>
      <c r="AS124" s="34" cm="1">
        <f t="array" ref="AS12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24" s="34" t="s">
        <v>174</v>
      </c>
    </row>
    <row r="125" spans="1:46" x14ac:dyDescent="0.25">
      <c r="A125" s="35">
        <v>44698</v>
      </c>
      <c r="B125" s="36">
        <v>0.6875</v>
      </c>
      <c r="C125" s="34" t="s">
        <v>183</v>
      </c>
      <c r="D125" s="34" t="s">
        <v>118</v>
      </c>
      <c r="E125" s="34">
        <v>5920</v>
      </c>
      <c r="F125" s="34" t="s">
        <v>100</v>
      </c>
      <c r="G125" s="34">
        <v>1</v>
      </c>
      <c r="H125" s="34" t="s">
        <v>25</v>
      </c>
      <c r="I125" s="34" t="s">
        <v>175</v>
      </c>
      <c r="J125" s="34" t="s">
        <v>169</v>
      </c>
      <c r="K125" s="34">
        <v>1</v>
      </c>
      <c r="L125" s="34" t="s">
        <v>149</v>
      </c>
      <c r="M125" s="34" t="s">
        <v>163</v>
      </c>
      <c r="N125" s="34" t="s">
        <v>179</v>
      </c>
      <c r="O125" s="34" t="s">
        <v>184</v>
      </c>
      <c r="P125" s="34" t="s">
        <v>172</v>
      </c>
      <c r="Q125" s="34" t="s">
        <v>145</v>
      </c>
      <c r="R125" s="37" t="s">
        <v>145</v>
      </c>
      <c r="S125" s="37" t="s">
        <v>145</v>
      </c>
      <c r="T125" s="34" t="s">
        <v>145</v>
      </c>
      <c r="U125" s="34" t="s">
        <v>145</v>
      </c>
      <c r="V125" s="34">
        <v>30</v>
      </c>
      <c r="W125" s="34">
        <v>19</v>
      </c>
      <c r="X125" s="34">
        <v>0.63</v>
      </c>
      <c r="Y125" s="37">
        <v>-14.5</v>
      </c>
      <c r="Z125" s="34">
        <v>241</v>
      </c>
      <c r="AA125" s="39">
        <v>787</v>
      </c>
      <c r="AB125" s="34">
        <v>665</v>
      </c>
      <c r="AC125" s="34">
        <v>330</v>
      </c>
      <c r="AD125" s="34">
        <v>200</v>
      </c>
      <c r="AE125" s="34">
        <v>135</v>
      </c>
      <c r="AF125" s="34">
        <v>133</v>
      </c>
      <c r="AG125" s="34" t="s">
        <v>145</v>
      </c>
      <c r="AH125" s="34">
        <f>IF(CADO_EMPREGOS_2022[[#This Row],[ABORTIVA]]="METEORO","",IF(COUNTA(CADO_EMPREGOS_2022[[#This Row],[TRANSGRESSÕES]])&gt;0,0,CADO_EMPREGOS_2022[[#This Row],[NOTA COM PENALIDADES (FOULS)]]))</f>
        <v>6.333333333333333</v>
      </c>
      <c r="AI125" s="34"/>
      <c r="AJ125" s="34">
        <f>IFERROR(IF(CADO_EMPREGOS_2022[[#This Row],[NOTA SEM FOULS]]=0,0,IF(COUNTIF(CADO_EMPREGOS_2022[[#This Row],[FOUL TVB]:[FOUL DE EIXO]],1)&gt;0,0,CADO_EMPREGOS_2022[[#This Row],[NOTA SEM FOULS]])),"")</f>
        <v>6.333333333333333</v>
      </c>
      <c r="AK125" s="34">
        <f>IF(CADO_EMPREGOS_2022[[#This Row],[MODALIDADE]]="TT",CADO_EMPREGOS_2022[[#This Row],[NOTA ACERTOS]],IF(COUNTA(CADO_EMPREGOS_2022[[#This Row],[MODALIDADE]])=0,"",CADO_EMPREGOS_2022[[#This Row],[NOTA DISTÂNCIA]]))</f>
        <v>6.333333333333333</v>
      </c>
      <c r="AL125" s="34">
        <f>IF(AND(CADO_EMPREGOS_2022[[#This Row],[MODALIDADE]]="BRB",CADO_EMPREGOS_2022[[#This Row],[TVB]]&lt;=3),1,0)</f>
        <v>0</v>
      </c>
      <c r="AM12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2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25" s="34">
        <f>IFERROR(IF(CADO_EMPREGOS_2022[[#This Row],[ALTURA DE RECUPERAÇÃO (FT)]]&lt;VLOOKUP(CADO_EMPREGOS_2022[[#This Row],[MODALIDADE]],Dados!$R$3:$AB$16,10,FALSE),1,0),"")</f>
        <v>0</v>
      </c>
      <c r="AP12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2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25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6.333333333333333</v>
      </c>
      <c r="AS125" s="34" cm="1">
        <f t="array" ref="AS12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25" s="34" t="s">
        <v>174</v>
      </c>
    </row>
    <row r="126" spans="1:46" x14ac:dyDescent="0.25">
      <c r="A126" s="35">
        <v>44698</v>
      </c>
      <c r="B126" s="36">
        <v>0.36805555555555558</v>
      </c>
      <c r="C126" s="34" t="s">
        <v>187</v>
      </c>
      <c r="D126" s="34" t="s">
        <v>101</v>
      </c>
      <c r="E126" s="34">
        <v>5920</v>
      </c>
      <c r="F126" s="34" t="s">
        <v>133</v>
      </c>
      <c r="G126" s="34">
        <v>2</v>
      </c>
      <c r="H126" s="34" t="s">
        <v>158</v>
      </c>
      <c r="I126" s="34" t="s">
        <v>175</v>
      </c>
      <c r="J126" s="34" t="s">
        <v>176</v>
      </c>
      <c r="K126" s="34">
        <v>1</v>
      </c>
      <c r="L126" s="34" t="s">
        <v>149</v>
      </c>
      <c r="M126" s="34" t="s">
        <v>163</v>
      </c>
      <c r="N126" s="34" t="s">
        <v>179</v>
      </c>
      <c r="O126" s="34" t="s">
        <v>184</v>
      </c>
      <c r="P126" s="34" t="s">
        <v>177</v>
      </c>
      <c r="Q126" s="34" t="s">
        <v>180</v>
      </c>
      <c r="R126" s="37">
        <v>5</v>
      </c>
      <c r="S126" s="37">
        <v>0</v>
      </c>
      <c r="T126" s="34">
        <v>4.0999999999999996</v>
      </c>
      <c r="U126" s="34">
        <v>7.5</v>
      </c>
      <c r="V126" s="34" t="s">
        <v>145</v>
      </c>
      <c r="W126" s="34" t="s">
        <v>145</v>
      </c>
      <c r="X126" s="34" t="s">
        <v>145</v>
      </c>
      <c r="Y126" s="37">
        <v>-22.3</v>
      </c>
      <c r="Z126" s="34">
        <v>237</v>
      </c>
      <c r="AA126" s="39" t="s">
        <v>145</v>
      </c>
      <c r="AB126" s="34" t="s">
        <v>145</v>
      </c>
      <c r="AC126" s="34">
        <v>2190</v>
      </c>
      <c r="AD126" s="34">
        <v>1300</v>
      </c>
      <c r="AE126" s="34">
        <v>315</v>
      </c>
      <c r="AF126" s="34">
        <v>312</v>
      </c>
      <c r="AG126" s="34">
        <v>6</v>
      </c>
      <c r="AH126" s="34">
        <f>IF(CADO_EMPREGOS_2022[[#This Row],[ABORTIVA]]="METEORO","",IF(COUNTA(CADO_EMPREGOS_2022[[#This Row],[TRANSGRESSÕES]])&gt;0,0,CADO_EMPREGOS_2022[[#This Row],[NOTA COM PENALIDADES (FOULS)]]))</f>
        <v>9.59</v>
      </c>
      <c r="AI126" s="34"/>
      <c r="AJ126" s="34">
        <f>IFERROR(IF(CADO_EMPREGOS_2022[[#This Row],[NOTA SEM FOULS]]=0,0,IF(COUNTIF(CADO_EMPREGOS_2022[[#This Row],[FOUL TVB]:[FOUL DE EIXO]],1)&gt;0,0,CADO_EMPREGOS_2022[[#This Row],[NOTA SEM FOULS]])),"")</f>
        <v>9.59</v>
      </c>
      <c r="AK126" s="34">
        <f>IF(CADO_EMPREGOS_2022[[#This Row],[MODALIDADE]]="TT",CADO_EMPREGOS_2022[[#This Row],[NOTA ACERTOS]],IF(COUNTA(CADO_EMPREGOS_2022[[#This Row],[MODALIDADE]])=0,"",CADO_EMPREGOS_2022[[#This Row],[NOTA DISTÂNCIA]]))</f>
        <v>9.59</v>
      </c>
      <c r="AL126" s="34">
        <f>IF(AND(CADO_EMPREGOS_2022[[#This Row],[MODALIDADE]]="BRB",CADO_EMPREGOS_2022[[#This Row],[TVB]]&lt;=3),1,0)</f>
        <v>0</v>
      </c>
      <c r="AM12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2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26" s="34">
        <f>IFERROR(IF(CADO_EMPREGOS_2022[[#This Row],[ALTURA DE RECUPERAÇÃO (FT)]]&lt;VLOOKUP(CADO_EMPREGOS_2022[[#This Row],[MODALIDADE]],Dados!$R$3:$AB$16,10,FALSE),1,0),"")</f>
        <v>0</v>
      </c>
      <c r="AP12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2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2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26" s="34" cm="1">
        <f t="array" ref="AS12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9.59</v>
      </c>
      <c r="AT126" s="34" t="s">
        <v>174</v>
      </c>
    </row>
    <row r="127" spans="1:46" x14ac:dyDescent="0.25">
      <c r="A127" s="35">
        <v>44698</v>
      </c>
      <c r="B127" s="36">
        <v>0.36805555555555558</v>
      </c>
      <c r="C127" s="34" t="s">
        <v>187</v>
      </c>
      <c r="D127" s="34" t="s">
        <v>101</v>
      </c>
      <c r="E127" s="34">
        <v>5920</v>
      </c>
      <c r="F127" s="34" t="s">
        <v>133</v>
      </c>
      <c r="G127" s="34">
        <v>2</v>
      </c>
      <c r="H127" s="34" t="s">
        <v>158</v>
      </c>
      <c r="I127" s="34" t="s">
        <v>175</v>
      </c>
      <c r="J127" s="34" t="s">
        <v>176</v>
      </c>
      <c r="K127" s="34">
        <v>1</v>
      </c>
      <c r="L127" s="34" t="s">
        <v>149</v>
      </c>
      <c r="M127" s="34" t="s">
        <v>163</v>
      </c>
      <c r="N127" s="34" t="s">
        <v>179</v>
      </c>
      <c r="O127" s="34" t="s">
        <v>184</v>
      </c>
      <c r="P127" s="34" t="s">
        <v>177</v>
      </c>
      <c r="Q127" s="34" t="s">
        <v>180</v>
      </c>
      <c r="R127" s="37">
        <v>-13</v>
      </c>
      <c r="S127" s="37">
        <v>20</v>
      </c>
      <c r="T127" s="34">
        <v>18.8</v>
      </c>
      <c r="U127" s="34">
        <v>5.6</v>
      </c>
      <c r="V127" s="34" t="s">
        <v>145</v>
      </c>
      <c r="W127" s="34" t="s">
        <v>145</v>
      </c>
      <c r="X127" s="34" t="s">
        <v>145</v>
      </c>
      <c r="Y127" s="37">
        <v>-18.3</v>
      </c>
      <c r="Z127" s="34">
        <v>237</v>
      </c>
      <c r="AA127" s="39" t="s">
        <v>145</v>
      </c>
      <c r="AB127" s="34" t="s">
        <v>145</v>
      </c>
      <c r="AC127" s="34">
        <v>1850</v>
      </c>
      <c r="AD127" s="34">
        <v>1300</v>
      </c>
      <c r="AE127" s="34">
        <v>135</v>
      </c>
      <c r="AF127" s="34">
        <v>134</v>
      </c>
      <c r="AG127" s="34">
        <v>7</v>
      </c>
      <c r="AH127" s="34">
        <f>IF(CADO_EMPREGOS_2022[[#This Row],[ABORTIVA]]="METEORO","",IF(COUNTA(CADO_EMPREGOS_2022[[#This Row],[TRANSGRESSÕES]])&gt;0,0,CADO_EMPREGOS_2022[[#This Row],[NOTA COM PENALIDADES (FOULS)]]))</f>
        <v>8.1199999999999992</v>
      </c>
      <c r="AI127" s="34"/>
      <c r="AJ127" s="34">
        <f>IFERROR(IF(CADO_EMPREGOS_2022[[#This Row],[NOTA SEM FOULS]]=0,0,IF(COUNTIF(CADO_EMPREGOS_2022[[#This Row],[FOUL TVB]:[FOUL DE EIXO]],1)&gt;0,0,CADO_EMPREGOS_2022[[#This Row],[NOTA SEM FOULS]])),"")</f>
        <v>8.1199999999999992</v>
      </c>
      <c r="AK127" s="34">
        <f>IF(CADO_EMPREGOS_2022[[#This Row],[MODALIDADE]]="TT",CADO_EMPREGOS_2022[[#This Row],[NOTA ACERTOS]],IF(COUNTA(CADO_EMPREGOS_2022[[#This Row],[MODALIDADE]])=0,"",CADO_EMPREGOS_2022[[#This Row],[NOTA DISTÂNCIA]]))</f>
        <v>8.1199999999999992</v>
      </c>
      <c r="AL127" s="34">
        <f>IF(AND(CADO_EMPREGOS_2022[[#This Row],[MODALIDADE]]="BRB",CADO_EMPREGOS_2022[[#This Row],[TVB]]&lt;=3),1,0)</f>
        <v>0</v>
      </c>
      <c r="AM12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2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27" s="34">
        <f>IFERROR(IF(CADO_EMPREGOS_2022[[#This Row],[ALTURA DE RECUPERAÇÃO (FT)]]&lt;VLOOKUP(CADO_EMPREGOS_2022[[#This Row],[MODALIDADE]],Dados!$R$3:$AB$16,10,FALSE),1,0),"")</f>
        <v>0</v>
      </c>
      <c r="AP12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2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2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27" s="34" cm="1">
        <f t="array" ref="AS12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8.1199999999999992</v>
      </c>
      <c r="AT127" s="34" t="s">
        <v>174</v>
      </c>
    </row>
    <row r="128" spans="1:46" x14ac:dyDescent="0.25">
      <c r="A128" s="35">
        <v>44699</v>
      </c>
      <c r="B128" s="36">
        <v>0.57638888888888895</v>
      </c>
      <c r="C128" s="34" t="s">
        <v>187</v>
      </c>
      <c r="D128" s="34" t="s">
        <v>101</v>
      </c>
      <c r="E128" s="34">
        <v>5921</v>
      </c>
      <c r="F128" s="34" t="s">
        <v>100</v>
      </c>
      <c r="G128" s="34">
        <v>4</v>
      </c>
      <c r="H128" s="34" t="s">
        <v>158</v>
      </c>
      <c r="I128" s="34" t="s">
        <v>175</v>
      </c>
      <c r="J128" s="34" t="s">
        <v>176</v>
      </c>
      <c r="K128" s="34">
        <v>1</v>
      </c>
      <c r="L128" s="34" t="s">
        <v>149</v>
      </c>
      <c r="M128" s="34" t="s">
        <v>163</v>
      </c>
      <c r="N128" s="34" t="s">
        <v>179</v>
      </c>
      <c r="O128" s="34" t="s">
        <v>184</v>
      </c>
      <c r="P128" s="34" t="s">
        <v>177</v>
      </c>
      <c r="Q128" s="34" t="s">
        <v>180</v>
      </c>
      <c r="R128" s="37">
        <v>8</v>
      </c>
      <c r="S128" s="37">
        <v>-2</v>
      </c>
      <c r="T128" s="34">
        <v>6.7</v>
      </c>
      <c r="U128" s="34">
        <v>1</v>
      </c>
      <c r="V128" s="34" t="s">
        <v>145</v>
      </c>
      <c r="W128" s="34" t="s">
        <v>145</v>
      </c>
      <c r="X128" s="34" t="s">
        <v>145</v>
      </c>
      <c r="Y128" s="37">
        <v>-20.3</v>
      </c>
      <c r="Z128" s="34">
        <v>245</v>
      </c>
      <c r="AA128" s="39" t="s">
        <v>145</v>
      </c>
      <c r="AB128" s="34" t="s">
        <v>145</v>
      </c>
      <c r="AC128" s="34">
        <v>1640</v>
      </c>
      <c r="AD128" s="34">
        <v>1300</v>
      </c>
      <c r="AE128" s="34">
        <v>135</v>
      </c>
      <c r="AF128" s="34">
        <v>133</v>
      </c>
      <c r="AG128" s="34">
        <v>7</v>
      </c>
      <c r="AH128" s="34">
        <f>IF(CADO_EMPREGOS_2022[[#This Row],[ABORTIVA]]="METEORO","",IF(COUNTA(CADO_EMPREGOS_2022[[#This Row],[TRANSGRESSÕES]])&gt;0,0,CADO_EMPREGOS_2022[[#This Row],[NOTA COM PENALIDADES (FOULS)]]))</f>
        <v>9.33</v>
      </c>
      <c r="AI128" s="34"/>
      <c r="AJ128" s="34">
        <f>IFERROR(IF(CADO_EMPREGOS_2022[[#This Row],[NOTA SEM FOULS]]=0,0,IF(COUNTIF(CADO_EMPREGOS_2022[[#This Row],[FOUL TVB]:[FOUL DE EIXO]],1)&gt;0,0,CADO_EMPREGOS_2022[[#This Row],[NOTA SEM FOULS]])),"")</f>
        <v>9.33</v>
      </c>
      <c r="AK128" s="34">
        <f>IF(CADO_EMPREGOS_2022[[#This Row],[MODALIDADE]]="TT",CADO_EMPREGOS_2022[[#This Row],[NOTA ACERTOS]],IF(COUNTA(CADO_EMPREGOS_2022[[#This Row],[MODALIDADE]])=0,"",CADO_EMPREGOS_2022[[#This Row],[NOTA DISTÂNCIA]]))</f>
        <v>9.33</v>
      </c>
      <c r="AL128" s="34">
        <f>IF(AND(CADO_EMPREGOS_2022[[#This Row],[MODALIDADE]]="BRB",CADO_EMPREGOS_2022[[#This Row],[TVB]]&lt;=3),1,0)</f>
        <v>0</v>
      </c>
      <c r="AM12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2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28" s="34">
        <f>IFERROR(IF(CADO_EMPREGOS_2022[[#This Row],[ALTURA DE RECUPERAÇÃO (FT)]]&lt;VLOOKUP(CADO_EMPREGOS_2022[[#This Row],[MODALIDADE]],Dados!$R$3:$AB$16,10,FALSE),1,0),"")</f>
        <v>0</v>
      </c>
      <c r="AP12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2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28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28" s="34" cm="1">
        <f t="array" ref="AS12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9.33</v>
      </c>
      <c r="AT128" s="34" t="s">
        <v>174</v>
      </c>
    </row>
    <row r="129" spans="1:46" x14ac:dyDescent="0.25">
      <c r="A129" s="35">
        <v>44699</v>
      </c>
      <c r="B129" s="36">
        <v>0.57638888888888895</v>
      </c>
      <c r="C129" s="34" t="s">
        <v>187</v>
      </c>
      <c r="D129" s="34" t="s">
        <v>101</v>
      </c>
      <c r="E129" s="34">
        <v>5921</v>
      </c>
      <c r="F129" s="34" t="s">
        <v>100</v>
      </c>
      <c r="G129" s="34">
        <v>4</v>
      </c>
      <c r="H129" s="34" t="s">
        <v>158</v>
      </c>
      <c r="I129" s="34" t="s">
        <v>175</v>
      </c>
      <c r="J129" s="34" t="s">
        <v>176</v>
      </c>
      <c r="K129" s="34">
        <v>1</v>
      </c>
      <c r="L129" s="34" t="s">
        <v>149</v>
      </c>
      <c r="M129" s="34" t="s">
        <v>163</v>
      </c>
      <c r="N129" s="34" t="s">
        <v>179</v>
      </c>
      <c r="O129" s="34" t="s">
        <v>184</v>
      </c>
      <c r="P129" s="34" t="s">
        <v>177</v>
      </c>
      <c r="Q129" s="34" t="s">
        <v>180</v>
      </c>
      <c r="R129" s="37">
        <v>-2</v>
      </c>
      <c r="S129" s="37">
        <v>6</v>
      </c>
      <c r="T129" s="34">
        <v>5</v>
      </c>
      <c r="U129" s="34">
        <v>5.0999999999999996</v>
      </c>
      <c r="V129" s="34" t="s">
        <v>145</v>
      </c>
      <c r="W129" s="34" t="s">
        <v>145</v>
      </c>
      <c r="X129" s="34" t="s">
        <v>145</v>
      </c>
      <c r="Y129" s="37">
        <v>-19.600000000000001</v>
      </c>
      <c r="Z129" s="34">
        <v>239</v>
      </c>
      <c r="AA129" s="39" t="s">
        <v>145</v>
      </c>
      <c r="AB129" s="34" t="s">
        <v>145</v>
      </c>
      <c r="AC129" s="34">
        <v>1720</v>
      </c>
      <c r="AD129" s="34">
        <v>1300</v>
      </c>
      <c r="AE129" s="34">
        <v>135</v>
      </c>
      <c r="AF129" s="34">
        <v>136</v>
      </c>
      <c r="AG129" s="34">
        <v>6</v>
      </c>
      <c r="AH129" s="34">
        <f>IF(CADO_EMPREGOS_2022[[#This Row],[ABORTIVA]]="METEORO","",IF(COUNTA(CADO_EMPREGOS_2022[[#This Row],[TRANSGRESSÕES]])&gt;0,0,CADO_EMPREGOS_2022[[#This Row],[NOTA COM PENALIDADES (FOULS)]]))</f>
        <v>9.5</v>
      </c>
      <c r="AI129" s="34"/>
      <c r="AJ129" s="34">
        <f>IFERROR(IF(CADO_EMPREGOS_2022[[#This Row],[NOTA SEM FOULS]]=0,0,IF(COUNTIF(CADO_EMPREGOS_2022[[#This Row],[FOUL TVB]:[FOUL DE EIXO]],1)&gt;0,0,CADO_EMPREGOS_2022[[#This Row],[NOTA SEM FOULS]])),"")</f>
        <v>9.5</v>
      </c>
      <c r="AK129" s="34">
        <f>IF(CADO_EMPREGOS_2022[[#This Row],[MODALIDADE]]="TT",CADO_EMPREGOS_2022[[#This Row],[NOTA ACERTOS]],IF(COUNTA(CADO_EMPREGOS_2022[[#This Row],[MODALIDADE]])=0,"",CADO_EMPREGOS_2022[[#This Row],[NOTA DISTÂNCIA]]))</f>
        <v>9.5</v>
      </c>
      <c r="AL129" s="34">
        <f>IF(AND(CADO_EMPREGOS_2022[[#This Row],[MODALIDADE]]="BRB",CADO_EMPREGOS_2022[[#This Row],[TVB]]&lt;=3),1,0)</f>
        <v>0</v>
      </c>
      <c r="AM12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2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29" s="34">
        <f>IFERROR(IF(CADO_EMPREGOS_2022[[#This Row],[ALTURA DE RECUPERAÇÃO (FT)]]&lt;VLOOKUP(CADO_EMPREGOS_2022[[#This Row],[MODALIDADE]],Dados!$R$3:$AB$16,10,FALSE),1,0),"")</f>
        <v>0</v>
      </c>
      <c r="AP12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2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29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29" s="34" cm="1">
        <f t="array" ref="AS12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</v>
      </c>
      <c r="AT129" s="34" t="s">
        <v>174</v>
      </c>
    </row>
    <row r="130" spans="1:46" x14ac:dyDescent="0.25">
      <c r="A130" s="35">
        <v>44693</v>
      </c>
      <c r="B130" s="36">
        <v>0.36805555555555558</v>
      </c>
      <c r="C130" s="34" t="s">
        <v>183</v>
      </c>
      <c r="D130" s="34" t="s">
        <v>101</v>
      </c>
      <c r="E130" s="34">
        <v>5959</v>
      </c>
      <c r="F130" s="34" t="s">
        <v>100</v>
      </c>
      <c r="G130" s="34">
        <v>4</v>
      </c>
      <c r="H130" s="34" t="s">
        <v>25</v>
      </c>
      <c r="I130" s="34" t="s">
        <v>175</v>
      </c>
      <c r="J130" s="34" t="s">
        <v>169</v>
      </c>
      <c r="K130" s="34">
        <v>0</v>
      </c>
      <c r="L130" s="34" t="s">
        <v>149</v>
      </c>
      <c r="M130" s="34" t="s">
        <v>163</v>
      </c>
      <c r="N130" s="34" t="s">
        <v>179</v>
      </c>
      <c r="O130" s="34" t="s">
        <v>184</v>
      </c>
      <c r="P130" s="34" t="s">
        <v>172</v>
      </c>
      <c r="Q130" s="34" t="s">
        <v>145</v>
      </c>
      <c r="R130" s="37" t="s">
        <v>145</v>
      </c>
      <c r="S130" s="37" t="s">
        <v>145</v>
      </c>
      <c r="T130" s="34" t="s">
        <v>145</v>
      </c>
      <c r="U130" s="34" t="s">
        <v>145</v>
      </c>
      <c r="V130" s="34">
        <v>30</v>
      </c>
      <c r="W130" s="34">
        <v>27</v>
      </c>
      <c r="X130" s="34">
        <f>27/30</f>
        <v>0.9</v>
      </c>
      <c r="Y130" s="37">
        <v>-14.6</v>
      </c>
      <c r="Z130" s="34">
        <v>238</v>
      </c>
      <c r="AA130" s="39">
        <v>906</v>
      </c>
      <c r="AB130" s="34">
        <v>743</v>
      </c>
      <c r="AC130" s="34">
        <v>380</v>
      </c>
      <c r="AD130" s="34">
        <v>200</v>
      </c>
      <c r="AE130" s="34">
        <v>135</v>
      </c>
      <c r="AF130" s="34">
        <v>137</v>
      </c>
      <c r="AG130" s="34" t="s">
        <v>145</v>
      </c>
      <c r="AH130" s="34">
        <f>IF(CADO_EMPREGOS_2022[[#This Row],[ABORTIVA]]="METEORO","",IF(COUNTA(CADO_EMPREGOS_2022[[#This Row],[TRANSGRESSÕES]])&gt;0,0,CADO_EMPREGOS_2022[[#This Row],[NOTA COM PENALIDADES (FOULS)]]))</f>
        <v>9</v>
      </c>
      <c r="AI130" s="34"/>
      <c r="AJ130" s="34">
        <f>IFERROR(IF(CADO_EMPREGOS_2022[[#This Row],[NOTA SEM FOULS]]=0,0,IF(COUNTIF(CADO_EMPREGOS_2022[[#This Row],[FOUL TVB]:[FOUL DE EIXO]],1)&gt;0,0,CADO_EMPREGOS_2022[[#This Row],[NOTA SEM FOULS]])),"")</f>
        <v>9</v>
      </c>
      <c r="AK130" s="34">
        <f>IF(CADO_EMPREGOS_2022[[#This Row],[MODALIDADE]]="TT",CADO_EMPREGOS_2022[[#This Row],[NOTA ACERTOS]],IF(COUNTA(CADO_EMPREGOS_2022[[#This Row],[MODALIDADE]])=0,"",CADO_EMPREGOS_2022[[#This Row],[NOTA DISTÂNCIA]]))</f>
        <v>9</v>
      </c>
      <c r="AL130" s="34">
        <f>IF(AND(CADO_EMPREGOS_2022[[#This Row],[MODALIDADE]]="BRB",CADO_EMPREGOS_2022[[#This Row],[TVB]]&lt;=3),1,0)</f>
        <v>0</v>
      </c>
      <c r="AM13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3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30" s="34">
        <f>IFERROR(IF(CADO_EMPREGOS_2022[[#This Row],[ALTURA DE RECUPERAÇÃO (FT)]]&lt;VLOOKUP(CADO_EMPREGOS_2022[[#This Row],[MODALIDADE]],Dados!$R$3:$AB$16,10,FALSE),1,0),"")</f>
        <v>0</v>
      </c>
      <c r="AP13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3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30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9</v>
      </c>
      <c r="AS130" s="34" cm="1">
        <f t="array" ref="AS13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30" s="34" t="s">
        <v>174</v>
      </c>
    </row>
    <row r="131" spans="1:46" x14ac:dyDescent="0.25">
      <c r="A131" s="35">
        <v>44698</v>
      </c>
      <c r="B131" s="36">
        <v>0.36805555555555558</v>
      </c>
      <c r="C131" s="34" t="s">
        <v>187</v>
      </c>
      <c r="D131" s="34" t="s">
        <v>101</v>
      </c>
      <c r="E131" s="34">
        <v>5920</v>
      </c>
      <c r="F131" s="34" t="s">
        <v>133</v>
      </c>
      <c r="G131" s="34">
        <v>2</v>
      </c>
      <c r="H131" s="34" t="s">
        <v>25</v>
      </c>
      <c r="I131" s="34" t="s">
        <v>175</v>
      </c>
      <c r="J131" s="34" t="s">
        <v>169</v>
      </c>
      <c r="K131" s="34">
        <v>0</v>
      </c>
      <c r="L131" s="34" t="s">
        <v>149</v>
      </c>
      <c r="M131" s="34" t="s">
        <v>163</v>
      </c>
      <c r="N131" s="34" t="s">
        <v>179</v>
      </c>
      <c r="O131" s="34" t="s">
        <v>184</v>
      </c>
      <c r="P131" s="34" t="s">
        <v>172</v>
      </c>
      <c r="Q131" s="34" t="s">
        <v>145</v>
      </c>
      <c r="R131" s="37" t="s">
        <v>145</v>
      </c>
      <c r="S131" s="37" t="s">
        <v>145</v>
      </c>
      <c r="T131" s="34" t="s">
        <v>145</v>
      </c>
      <c r="U131" s="34" t="s">
        <v>145</v>
      </c>
      <c r="V131" s="34">
        <v>34</v>
      </c>
      <c r="W131" s="34">
        <v>30</v>
      </c>
      <c r="X131" s="34">
        <f>30/34</f>
        <v>0.88235294117647056</v>
      </c>
      <c r="Y131" s="37">
        <v>-14.5</v>
      </c>
      <c r="Z131" s="34">
        <v>227</v>
      </c>
      <c r="AA131" s="39">
        <v>854</v>
      </c>
      <c r="AB131" s="34">
        <v>666</v>
      </c>
      <c r="AC131" s="34">
        <v>330</v>
      </c>
      <c r="AD131" s="34">
        <v>200</v>
      </c>
      <c r="AE131" s="34">
        <v>135</v>
      </c>
      <c r="AF131" s="34">
        <v>136</v>
      </c>
      <c r="AG131" s="34" t="s">
        <v>145</v>
      </c>
      <c r="AH131" s="34">
        <f>IF(CADO_EMPREGOS_2022[[#This Row],[ABORTIVA]]="METEORO","",IF(COUNTA(CADO_EMPREGOS_2022[[#This Row],[TRANSGRESSÕES]])&gt;0,0,CADO_EMPREGOS_2022[[#This Row],[NOTA COM PENALIDADES (FOULS)]]))</f>
        <v>10</v>
      </c>
      <c r="AI131" s="34"/>
      <c r="AJ131" s="34">
        <f>IFERROR(IF(CADO_EMPREGOS_2022[[#This Row],[NOTA SEM FOULS]]=0,0,IF(COUNTIF(CADO_EMPREGOS_2022[[#This Row],[FOUL TVB]:[FOUL DE EIXO]],1)&gt;0,0,CADO_EMPREGOS_2022[[#This Row],[NOTA SEM FOULS]])),"")</f>
        <v>10</v>
      </c>
      <c r="AK131" s="34">
        <f>IF(CADO_EMPREGOS_2022[[#This Row],[MODALIDADE]]="TT",CADO_EMPREGOS_2022[[#This Row],[NOTA ACERTOS]],IF(COUNTA(CADO_EMPREGOS_2022[[#This Row],[MODALIDADE]])=0,"",CADO_EMPREGOS_2022[[#This Row],[NOTA DISTÂNCIA]]))</f>
        <v>10</v>
      </c>
      <c r="AL131" s="34">
        <f>IF(AND(CADO_EMPREGOS_2022[[#This Row],[MODALIDADE]]="BRB",CADO_EMPREGOS_2022[[#This Row],[TVB]]&lt;=3),1,0)</f>
        <v>0</v>
      </c>
      <c r="AM13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3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31" s="34">
        <f>IFERROR(IF(CADO_EMPREGOS_2022[[#This Row],[ALTURA DE RECUPERAÇÃO (FT)]]&lt;VLOOKUP(CADO_EMPREGOS_2022[[#This Row],[MODALIDADE]],Dados!$R$3:$AB$16,10,FALSE),1,0),"")</f>
        <v>0</v>
      </c>
      <c r="AP13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3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31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10</v>
      </c>
      <c r="AS131" s="34" cm="1">
        <f t="array" ref="AS13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31" s="34" t="s">
        <v>174</v>
      </c>
    </row>
    <row r="132" spans="1:46" x14ac:dyDescent="0.25">
      <c r="A132" s="35">
        <v>44685</v>
      </c>
      <c r="B132" s="36">
        <v>0.57638888888888895</v>
      </c>
      <c r="C132" s="34" t="s">
        <v>183</v>
      </c>
      <c r="D132" s="34" t="s">
        <v>125</v>
      </c>
      <c r="E132" s="34">
        <v>5920</v>
      </c>
      <c r="F132" s="34" t="s">
        <v>132</v>
      </c>
      <c r="G132" s="34">
        <v>3</v>
      </c>
      <c r="H132" s="34" t="s">
        <v>158</v>
      </c>
      <c r="I132" s="34" t="s">
        <v>175</v>
      </c>
      <c r="J132" s="34" t="s">
        <v>176</v>
      </c>
      <c r="K132" s="34">
        <f>IF(AND(CADO_EMPREGOS_2022[[#This Row],[R/S]]="R",CADO_EMPREGOS_2022[[#This Row],[ARMAMENTO]]="BEX",CADO_EMPREGOS_2022[[#This Row],[RECEPÇÃO]]&lt;&gt;"BOMBA PRESA"),1,0)</f>
        <v>1</v>
      </c>
      <c r="L132" s="34" t="s">
        <v>149</v>
      </c>
      <c r="M132" s="34" t="s">
        <v>163</v>
      </c>
      <c r="N132" s="34" t="s">
        <v>179</v>
      </c>
      <c r="O132" s="34" t="s">
        <v>184</v>
      </c>
      <c r="P132" s="34" t="s">
        <v>177</v>
      </c>
      <c r="Q132" s="34" t="s">
        <v>180</v>
      </c>
      <c r="R132" s="37">
        <v>-2</v>
      </c>
      <c r="S132" s="37">
        <v>12</v>
      </c>
      <c r="T132" s="34">
        <v>9.6999999999999993</v>
      </c>
      <c r="U132" s="34">
        <v>10.5</v>
      </c>
      <c r="V132" s="34" t="s">
        <v>145</v>
      </c>
      <c r="W132" s="34" t="s">
        <v>145</v>
      </c>
      <c r="X132" s="34" t="s">
        <v>145</v>
      </c>
      <c r="Y132" s="37">
        <v>-19.100000000000001</v>
      </c>
      <c r="Z132" s="34">
        <v>225</v>
      </c>
      <c r="AA132" s="39" t="s">
        <v>145</v>
      </c>
      <c r="AB132" s="34" t="s">
        <v>145</v>
      </c>
      <c r="AC132" s="34">
        <v>1910</v>
      </c>
      <c r="AD132" s="34">
        <f>VLOOKUP(CADO_EMPREGOS_2022[[#This Row],[MODALIDADE]],Dados!$R$3:$AB$16,10,FALSE)</f>
        <v>1300</v>
      </c>
      <c r="AE132" s="34">
        <v>315</v>
      </c>
      <c r="AF132" s="34">
        <v>310</v>
      </c>
      <c r="AG132" s="34">
        <v>8</v>
      </c>
      <c r="AH132" s="34">
        <f>IF(CADO_EMPREGOS_2022[[#This Row],[ABORTIVA]]="METEORO","",IF(COUNTA(CADO_EMPREGOS_2022[[#This Row],[TRANSGRESSÕES]])&gt;0,0,CADO_EMPREGOS_2022[[#This Row],[NOTA COM PENALIDADES (FOULS)]]))</f>
        <v>9.0299999999999994</v>
      </c>
      <c r="AI132" s="34"/>
      <c r="AJ132" s="34">
        <f>IFERROR(IF(CADO_EMPREGOS_2022[[#This Row],[NOTA SEM FOULS]]=0,0,IF(COUNTIF(CADO_EMPREGOS_2022[[#This Row],[FOUL TVB]:[FOUL DE EIXO]],1)&gt;0,0,CADO_EMPREGOS_2022[[#This Row],[NOTA SEM FOULS]])),"")</f>
        <v>9.0299999999999994</v>
      </c>
      <c r="AK132" s="34">
        <f>IF(CADO_EMPREGOS_2022[[#This Row],[MODALIDADE]]="TT",CADO_EMPREGOS_2022[[#This Row],[NOTA ACERTOS]],IF(COUNTA(CADO_EMPREGOS_2022[[#This Row],[MODALIDADE]])=0,"",CADO_EMPREGOS_2022[[#This Row],[NOTA DISTÂNCIA]]))</f>
        <v>9.0299999999999994</v>
      </c>
      <c r="AL132" s="34">
        <f>IF(AND(CADO_EMPREGOS_2022[[#This Row],[MODALIDADE]]="BRB",CADO_EMPREGOS_2022[[#This Row],[TVB]]&lt;=3),1,0)</f>
        <v>0</v>
      </c>
      <c r="AM13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3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32" s="34">
        <f>IFERROR(IF(CADO_EMPREGOS_2022[[#This Row],[ALTURA DE RECUPERAÇÃO (FT)]]&lt;VLOOKUP(CADO_EMPREGOS_2022[[#This Row],[MODALIDADE]],Dados!$R$3:$AB$16,10,FALSE),1,0),"")</f>
        <v>0</v>
      </c>
      <c r="AP13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3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32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32" s="34" cm="1">
        <f t="array" ref="AS13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9.0299999999999994</v>
      </c>
      <c r="AT132" s="34" t="s">
        <v>174</v>
      </c>
    </row>
    <row r="133" spans="1:46" x14ac:dyDescent="0.25">
      <c r="A133" s="35">
        <v>44685</v>
      </c>
      <c r="B133" s="36">
        <v>0.57638888888888895</v>
      </c>
      <c r="C133" s="34" t="s">
        <v>183</v>
      </c>
      <c r="D133" s="34" t="s">
        <v>125</v>
      </c>
      <c r="E133" s="34">
        <v>5920</v>
      </c>
      <c r="F133" s="34" t="s">
        <v>132</v>
      </c>
      <c r="G133" s="34">
        <v>3</v>
      </c>
      <c r="H133" s="34" t="s">
        <v>158</v>
      </c>
      <c r="I133" s="34" t="s">
        <v>175</v>
      </c>
      <c r="J133" s="34" t="s">
        <v>176</v>
      </c>
      <c r="K133" s="34">
        <f>IF(AND(CADO_EMPREGOS_2022[[#This Row],[R/S]]="R",CADO_EMPREGOS_2022[[#This Row],[ARMAMENTO]]="BEX",CADO_EMPREGOS_2022[[#This Row],[RECEPÇÃO]]&lt;&gt;"BOMBA PRESA"),1,0)</f>
        <v>1</v>
      </c>
      <c r="L133" s="34" t="s">
        <v>149</v>
      </c>
      <c r="M133" s="34" t="s">
        <v>163</v>
      </c>
      <c r="N133" s="34" t="s">
        <v>179</v>
      </c>
      <c r="O133" s="34" t="s">
        <v>184</v>
      </c>
      <c r="P133" s="34" t="s">
        <v>177</v>
      </c>
      <c r="Q133" s="34" t="s">
        <v>180</v>
      </c>
      <c r="R133" s="37">
        <v>10</v>
      </c>
      <c r="S133" s="37">
        <v>0</v>
      </c>
      <c r="T133" s="34">
        <v>8.1999999999999993</v>
      </c>
      <c r="U133" s="34">
        <v>4.3</v>
      </c>
      <c r="V133" s="34" t="s">
        <v>145</v>
      </c>
      <c r="W133" s="34" t="s">
        <v>145</v>
      </c>
      <c r="X133" s="34" t="s">
        <v>145</v>
      </c>
      <c r="Y133" s="37">
        <v>-16.899999999999999</v>
      </c>
      <c r="Z133" s="34">
        <v>239</v>
      </c>
      <c r="AA133" s="39" t="s">
        <v>145</v>
      </c>
      <c r="AB133" s="34" t="s">
        <v>145</v>
      </c>
      <c r="AC133" s="34">
        <v>1840</v>
      </c>
      <c r="AD133" s="34">
        <f>VLOOKUP(CADO_EMPREGOS_2022[[#This Row],[MODALIDADE]],Dados!$R$3:$AB$16,10,FALSE)</f>
        <v>1300</v>
      </c>
      <c r="AE133" s="34">
        <v>45</v>
      </c>
      <c r="AF133" s="34">
        <v>45</v>
      </c>
      <c r="AG133" s="34">
        <v>7</v>
      </c>
      <c r="AH133" s="34">
        <f>IF(CADO_EMPREGOS_2022[[#This Row],[ABORTIVA]]="METEORO","",IF(COUNTA(CADO_EMPREGOS_2022[[#This Row],[TRANSGRESSÕES]])&gt;0,0,CADO_EMPREGOS_2022[[#This Row],[NOTA COM PENALIDADES (FOULS)]]))</f>
        <v>9.18</v>
      </c>
      <c r="AI133" s="34"/>
      <c r="AJ133" s="34">
        <f>IFERROR(IF(CADO_EMPREGOS_2022[[#This Row],[NOTA SEM FOULS]]=0,0,IF(COUNTIF(CADO_EMPREGOS_2022[[#This Row],[FOUL TVB]:[FOUL DE EIXO]],1)&gt;0,0,CADO_EMPREGOS_2022[[#This Row],[NOTA SEM FOULS]])),"")</f>
        <v>9.18</v>
      </c>
      <c r="AK133" s="34">
        <f>IF(CADO_EMPREGOS_2022[[#This Row],[MODALIDADE]]="TT",CADO_EMPREGOS_2022[[#This Row],[NOTA ACERTOS]],IF(COUNTA(CADO_EMPREGOS_2022[[#This Row],[MODALIDADE]])=0,"",CADO_EMPREGOS_2022[[#This Row],[NOTA DISTÂNCIA]]))</f>
        <v>9.18</v>
      </c>
      <c r="AL133" s="34">
        <f>IF(AND(CADO_EMPREGOS_2022[[#This Row],[MODALIDADE]]="BRB",CADO_EMPREGOS_2022[[#This Row],[TVB]]&lt;=3),1,0)</f>
        <v>0</v>
      </c>
      <c r="AM13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3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33" s="34">
        <f>IFERROR(IF(CADO_EMPREGOS_2022[[#This Row],[ALTURA DE RECUPERAÇÃO (FT)]]&lt;VLOOKUP(CADO_EMPREGOS_2022[[#This Row],[MODALIDADE]],Dados!$R$3:$AB$16,10,FALSE),1,0),"")</f>
        <v>0</v>
      </c>
      <c r="AP13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3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33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33" s="34" cm="1">
        <f t="array" ref="AS13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9.18</v>
      </c>
      <c r="AT133" s="34" t="s">
        <v>174</v>
      </c>
    </row>
    <row r="134" spans="1:46" x14ac:dyDescent="0.25">
      <c r="A134" s="35">
        <v>44686</v>
      </c>
      <c r="B134" s="36">
        <v>0.79166666666666663</v>
      </c>
      <c r="C134" s="34" t="s">
        <v>187</v>
      </c>
      <c r="D134" s="34" t="s">
        <v>125</v>
      </c>
      <c r="E134" s="34">
        <v>5927</v>
      </c>
      <c r="F134" s="34" t="s">
        <v>134</v>
      </c>
      <c r="G134" s="34">
        <v>3</v>
      </c>
      <c r="H134" s="34" t="s">
        <v>158</v>
      </c>
      <c r="I134" s="34" t="s">
        <v>175</v>
      </c>
      <c r="J134" s="34" t="s">
        <v>176</v>
      </c>
      <c r="K134" s="34">
        <v>1</v>
      </c>
      <c r="L134" s="34" t="s">
        <v>149</v>
      </c>
      <c r="M134" s="34" t="s">
        <v>163</v>
      </c>
      <c r="N134" s="34" t="s">
        <v>179</v>
      </c>
      <c r="O134" s="34" t="s">
        <v>184</v>
      </c>
      <c r="P134" s="34" t="s">
        <v>177</v>
      </c>
      <c r="Q134" s="34" t="s">
        <v>180</v>
      </c>
      <c r="R134" s="37">
        <v>-2</v>
      </c>
      <c r="S134" s="37">
        <v>-3</v>
      </c>
      <c r="T134" s="34">
        <v>3</v>
      </c>
      <c r="U134" s="34">
        <v>3</v>
      </c>
      <c r="V134" s="34" t="s">
        <v>145</v>
      </c>
      <c r="W134" s="34" t="s">
        <v>145</v>
      </c>
      <c r="X134" s="34" t="s">
        <v>145</v>
      </c>
      <c r="Y134" s="37">
        <v>-20.9</v>
      </c>
      <c r="Z134" s="34">
        <v>227</v>
      </c>
      <c r="AA134" s="39" t="s">
        <v>145</v>
      </c>
      <c r="AB134" s="34" t="s">
        <v>145</v>
      </c>
      <c r="AC134" s="34">
        <v>2080</v>
      </c>
      <c r="AD134" s="34">
        <v>1300</v>
      </c>
      <c r="AE134" s="34">
        <v>315</v>
      </c>
      <c r="AF134" s="34">
        <v>315</v>
      </c>
      <c r="AG134" s="34">
        <v>7</v>
      </c>
      <c r="AH134" s="34">
        <f>IF(CADO_EMPREGOS_2022[[#This Row],[ABORTIVA]]="METEORO","",IF(COUNTA(CADO_EMPREGOS_2022[[#This Row],[TRANSGRESSÕES]])&gt;0,0,CADO_EMPREGOS_2022[[#This Row],[NOTA COM PENALIDADES (FOULS)]]))</f>
        <v>9.6999999999999993</v>
      </c>
      <c r="AI134" s="34"/>
      <c r="AJ134" s="34">
        <f>IFERROR(IF(CADO_EMPREGOS_2022[[#This Row],[NOTA SEM FOULS]]=0,0,IF(COUNTIF(CADO_EMPREGOS_2022[[#This Row],[FOUL TVB]:[FOUL DE EIXO]],1)&gt;0,0,CADO_EMPREGOS_2022[[#This Row],[NOTA SEM FOULS]])),"")</f>
        <v>9.6999999999999993</v>
      </c>
      <c r="AK134" s="34">
        <f>IF(CADO_EMPREGOS_2022[[#This Row],[MODALIDADE]]="TT",CADO_EMPREGOS_2022[[#This Row],[NOTA ACERTOS]],IF(COUNTA(CADO_EMPREGOS_2022[[#This Row],[MODALIDADE]])=0,"",CADO_EMPREGOS_2022[[#This Row],[NOTA DISTÂNCIA]]))</f>
        <v>9.6999999999999993</v>
      </c>
      <c r="AL134" s="34">
        <f>IF(AND(CADO_EMPREGOS_2022[[#This Row],[MODALIDADE]]="BRB",CADO_EMPREGOS_2022[[#This Row],[TVB]]&lt;=3),1,0)</f>
        <v>0</v>
      </c>
      <c r="AM13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3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34" s="34">
        <f>IFERROR(IF(CADO_EMPREGOS_2022[[#This Row],[ALTURA DE RECUPERAÇÃO (FT)]]&lt;VLOOKUP(CADO_EMPREGOS_2022[[#This Row],[MODALIDADE]],Dados!$R$3:$AB$16,10,FALSE),1,0),"")</f>
        <v>0</v>
      </c>
      <c r="AP13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3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34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34" s="34" cm="1">
        <f t="array" ref="AS13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9.6999999999999993</v>
      </c>
      <c r="AT134" s="34" t="s">
        <v>174</v>
      </c>
    </row>
    <row r="135" spans="1:46" x14ac:dyDescent="0.25">
      <c r="A135" s="35">
        <v>44686</v>
      </c>
      <c r="B135" s="36">
        <v>0.79166666666666663</v>
      </c>
      <c r="C135" s="34" t="s">
        <v>187</v>
      </c>
      <c r="D135" s="34" t="s">
        <v>125</v>
      </c>
      <c r="E135" s="34">
        <v>5927</v>
      </c>
      <c r="F135" s="34" t="s">
        <v>134</v>
      </c>
      <c r="G135" s="34">
        <v>3</v>
      </c>
      <c r="H135" s="34" t="s">
        <v>158</v>
      </c>
      <c r="I135" s="34" t="s">
        <v>175</v>
      </c>
      <c r="J135" s="34" t="s">
        <v>176</v>
      </c>
      <c r="K135" s="34">
        <v>1</v>
      </c>
      <c r="L135" s="34" t="s">
        <v>149</v>
      </c>
      <c r="M135" s="34" t="s">
        <v>163</v>
      </c>
      <c r="N135" s="34" t="s">
        <v>179</v>
      </c>
      <c r="O135" s="34" t="s">
        <v>184</v>
      </c>
      <c r="P135" s="34" t="s">
        <v>177</v>
      </c>
      <c r="Q135" s="34" t="s">
        <v>180</v>
      </c>
      <c r="R135" s="37">
        <v>-6</v>
      </c>
      <c r="S135" s="37">
        <v>25</v>
      </c>
      <c r="T135" s="34">
        <v>20</v>
      </c>
      <c r="U135" s="34">
        <v>4</v>
      </c>
      <c r="V135" s="34" t="s">
        <v>145</v>
      </c>
      <c r="W135" s="34" t="s">
        <v>145</v>
      </c>
      <c r="X135" s="34" t="s">
        <v>145</v>
      </c>
      <c r="Y135" s="37">
        <v>-19.7</v>
      </c>
      <c r="Z135" s="34">
        <v>244</v>
      </c>
      <c r="AA135" s="39" t="s">
        <v>145</v>
      </c>
      <c r="AB135" s="34" t="s">
        <v>145</v>
      </c>
      <c r="AC135" s="34">
        <v>1890</v>
      </c>
      <c r="AD135" s="34">
        <v>1300</v>
      </c>
      <c r="AE135" s="34">
        <v>135</v>
      </c>
      <c r="AF135" s="34">
        <v>135</v>
      </c>
      <c r="AG135" s="34">
        <v>6</v>
      </c>
      <c r="AH135" s="34">
        <f>IF(CADO_EMPREGOS_2022[[#This Row],[ABORTIVA]]="METEORO","",IF(COUNTA(CADO_EMPREGOS_2022[[#This Row],[TRANSGRESSÕES]])&gt;0,0,CADO_EMPREGOS_2022[[#This Row],[NOTA COM PENALIDADES (FOULS)]]))</f>
        <v>8</v>
      </c>
      <c r="AI135" s="34"/>
      <c r="AJ135" s="34">
        <f>IFERROR(IF(CADO_EMPREGOS_2022[[#This Row],[NOTA SEM FOULS]]=0,0,IF(COUNTIF(CADO_EMPREGOS_2022[[#This Row],[FOUL TVB]:[FOUL DE EIXO]],1)&gt;0,0,CADO_EMPREGOS_2022[[#This Row],[NOTA SEM FOULS]])),"")</f>
        <v>8</v>
      </c>
      <c r="AK135" s="34">
        <f>IF(CADO_EMPREGOS_2022[[#This Row],[MODALIDADE]]="TT",CADO_EMPREGOS_2022[[#This Row],[NOTA ACERTOS]],IF(COUNTA(CADO_EMPREGOS_2022[[#This Row],[MODALIDADE]])=0,"",CADO_EMPREGOS_2022[[#This Row],[NOTA DISTÂNCIA]]))</f>
        <v>8</v>
      </c>
      <c r="AL135" s="34">
        <f>IF(AND(CADO_EMPREGOS_2022[[#This Row],[MODALIDADE]]="BRB",CADO_EMPREGOS_2022[[#This Row],[TVB]]&lt;=3),1,0)</f>
        <v>0</v>
      </c>
      <c r="AM13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3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35" s="34">
        <f>IFERROR(IF(CADO_EMPREGOS_2022[[#This Row],[ALTURA DE RECUPERAÇÃO (FT)]]&lt;VLOOKUP(CADO_EMPREGOS_2022[[#This Row],[MODALIDADE]],Dados!$R$3:$AB$16,10,FALSE),1,0),"")</f>
        <v>0</v>
      </c>
      <c r="AP13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3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35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35" s="34" cm="1">
        <f t="array" ref="AS13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</v>
      </c>
      <c r="AT135" s="34" t="s">
        <v>174</v>
      </c>
    </row>
    <row r="136" spans="1:46" x14ac:dyDescent="0.25">
      <c r="A136" s="35">
        <v>44685</v>
      </c>
      <c r="B136" s="36">
        <v>0.57638888888888895</v>
      </c>
      <c r="C136" s="34" t="s">
        <v>183</v>
      </c>
      <c r="D136" s="34" t="s">
        <v>125</v>
      </c>
      <c r="E136" s="34">
        <v>5920</v>
      </c>
      <c r="F136" s="34" t="s">
        <v>132</v>
      </c>
      <c r="G136" s="34">
        <v>3</v>
      </c>
      <c r="H136" s="34" t="s">
        <v>25</v>
      </c>
      <c r="I136" s="34" t="s">
        <v>175</v>
      </c>
      <c r="J136" s="34" t="s">
        <v>169</v>
      </c>
      <c r="K136" s="34">
        <f>IF(AND(CADO_EMPREGOS_2022[[#This Row],[R/S]]="R",CADO_EMPREGOS_2022[[#This Row],[ARMAMENTO]]="BEX",CADO_EMPREGOS_2022[[#This Row],[RECEPÇÃO]]&lt;&gt;"BOMBA PRESA"),1,0)</f>
        <v>0</v>
      </c>
      <c r="L136" s="34" t="s">
        <v>149</v>
      </c>
      <c r="M136" s="34" t="s">
        <v>163</v>
      </c>
      <c r="N136" s="34" t="s">
        <v>179</v>
      </c>
      <c r="O136" s="34" t="s">
        <v>184</v>
      </c>
      <c r="P136" s="34" t="s">
        <v>172</v>
      </c>
      <c r="Q136" s="34" t="s">
        <v>145</v>
      </c>
      <c r="R136" s="37" t="s">
        <v>145</v>
      </c>
      <c r="S136" s="37" t="s">
        <v>145</v>
      </c>
      <c r="T136" s="34" t="s">
        <v>145</v>
      </c>
      <c r="U136" s="34" t="s">
        <v>145</v>
      </c>
      <c r="V136" s="34">
        <v>30</v>
      </c>
      <c r="W136" s="34">
        <v>20</v>
      </c>
      <c r="X136" s="34">
        <f>IFERROR(CADO_EMPREGOS_2022[[#This Row],[ACERTOS]]/CADO_EMPREGOS_2022[[#This Row],[CARTUCHOS EMPREGADOS]],"")</f>
        <v>0.66666666666666663</v>
      </c>
      <c r="Y136" s="37">
        <v>-16.899999999999999</v>
      </c>
      <c r="Z136" s="34">
        <v>237</v>
      </c>
      <c r="AA136" s="39">
        <v>823</v>
      </c>
      <c r="AB136" s="34">
        <v>681</v>
      </c>
      <c r="AC136" s="34">
        <v>380</v>
      </c>
      <c r="AD136" s="34">
        <f>VLOOKUP(CADO_EMPREGOS_2022[[#This Row],[MODALIDADE]],Dados!$R$3:$AB$16,10,FALSE)</f>
        <v>200</v>
      </c>
      <c r="AE136" s="34">
        <v>135</v>
      </c>
      <c r="AF136" s="34">
        <v>134</v>
      </c>
      <c r="AG136" s="34" t="s">
        <v>145</v>
      </c>
      <c r="AH136" s="34">
        <f>IF(CADO_EMPREGOS_2022[[#This Row],[ABORTIVA]]="METEORO","",IF(COUNTA(CADO_EMPREGOS_2022[[#This Row],[TRANSGRESSÕES]])&gt;0,0,CADO_EMPREGOS_2022[[#This Row],[NOTA COM PENALIDADES (FOULS)]]))</f>
        <v>6.6666666666666661</v>
      </c>
      <c r="AI136" s="34"/>
      <c r="AJ136" s="34">
        <f>IFERROR(IF(CADO_EMPREGOS_2022[[#This Row],[NOTA SEM FOULS]]=0,0,IF(COUNTIF(CADO_EMPREGOS_2022[[#This Row],[FOUL TVB]:[FOUL DE EIXO]],1)&gt;0,0,CADO_EMPREGOS_2022[[#This Row],[NOTA SEM FOULS]])),"")</f>
        <v>6.6666666666666661</v>
      </c>
      <c r="AK136" s="34">
        <f>IF(CADO_EMPREGOS_2022[[#This Row],[MODALIDADE]]="TT",CADO_EMPREGOS_2022[[#This Row],[NOTA ACERTOS]],IF(COUNTA(CADO_EMPREGOS_2022[[#This Row],[MODALIDADE]])=0,"",CADO_EMPREGOS_2022[[#This Row],[NOTA DISTÂNCIA]]))</f>
        <v>6.6666666666666661</v>
      </c>
      <c r="AL136" s="34">
        <f>IF(AND(CADO_EMPREGOS_2022[[#This Row],[MODALIDADE]]="BRB",CADO_EMPREGOS_2022[[#This Row],[TVB]]&lt;=3),1,0)</f>
        <v>0</v>
      </c>
      <c r="AM13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3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36" s="34">
        <f>IFERROR(IF(CADO_EMPREGOS_2022[[#This Row],[ALTURA DE RECUPERAÇÃO (FT)]]&lt;VLOOKUP(CADO_EMPREGOS_2022[[#This Row],[MODALIDADE]],Dados!$R$3:$AB$16,10,FALSE),1,0),"")</f>
        <v>0</v>
      </c>
      <c r="AP13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3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36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6.6666666666666661</v>
      </c>
      <c r="AS136" s="34" cm="1">
        <f t="array" ref="AS13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36" s="34" t="s">
        <v>174</v>
      </c>
    </row>
    <row r="137" spans="1:46" x14ac:dyDescent="0.25">
      <c r="A137" s="35">
        <v>44686</v>
      </c>
      <c r="B137" s="36">
        <v>0.79166666666666663</v>
      </c>
      <c r="C137" s="34" t="s">
        <v>187</v>
      </c>
      <c r="D137" s="34" t="s">
        <v>125</v>
      </c>
      <c r="E137" s="34">
        <v>5927</v>
      </c>
      <c r="F137" s="34" t="s">
        <v>134</v>
      </c>
      <c r="G137" s="34">
        <v>3</v>
      </c>
      <c r="H137" s="34" t="s">
        <v>25</v>
      </c>
      <c r="I137" s="34" t="s">
        <v>175</v>
      </c>
      <c r="J137" s="34" t="s">
        <v>169</v>
      </c>
      <c r="K137" s="34">
        <v>1</v>
      </c>
      <c r="L137" s="34" t="s">
        <v>149</v>
      </c>
      <c r="M137" s="34" t="s">
        <v>163</v>
      </c>
      <c r="N137" s="34" t="s">
        <v>179</v>
      </c>
      <c r="O137" s="34" t="s">
        <v>184</v>
      </c>
      <c r="P137" s="34" t="s">
        <v>172</v>
      </c>
      <c r="Q137" s="34" t="s">
        <v>145</v>
      </c>
      <c r="R137" s="37" t="s">
        <v>145</v>
      </c>
      <c r="S137" s="37" t="s">
        <v>145</v>
      </c>
      <c r="T137" s="34" t="s">
        <v>145</v>
      </c>
      <c r="U137" s="34" t="s">
        <v>145</v>
      </c>
      <c r="V137" s="34">
        <v>30</v>
      </c>
      <c r="W137" s="34">
        <v>24</v>
      </c>
      <c r="X137" s="34">
        <v>0.8</v>
      </c>
      <c r="Y137" s="37">
        <v>-16.100000000000001</v>
      </c>
      <c r="Z137" s="34">
        <v>242</v>
      </c>
      <c r="AA137" s="39">
        <v>805</v>
      </c>
      <c r="AB137" s="34">
        <v>656</v>
      </c>
      <c r="AC137" s="34">
        <v>310</v>
      </c>
      <c r="AD137" s="34">
        <v>200</v>
      </c>
      <c r="AE137" s="34">
        <v>135</v>
      </c>
      <c r="AF137" s="34">
        <v>132</v>
      </c>
      <c r="AG137" s="34" t="s">
        <v>145</v>
      </c>
      <c r="AH137" s="34">
        <f>IF(CADO_EMPREGOS_2022[[#This Row],[ABORTIVA]]="METEORO","",IF(COUNTA(CADO_EMPREGOS_2022[[#This Row],[TRANSGRESSÕES]])&gt;0,0,CADO_EMPREGOS_2022[[#This Row],[NOTA COM PENALIDADES (FOULS)]]))</f>
        <v>8</v>
      </c>
      <c r="AI137" s="34"/>
      <c r="AJ137" s="34">
        <f>IFERROR(IF(CADO_EMPREGOS_2022[[#This Row],[NOTA SEM FOULS]]=0,0,IF(COUNTIF(CADO_EMPREGOS_2022[[#This Row],[FOUL TVB]:[FOUL DE EIXO]],1)&gt;0,0,CADO_EMPREGOS_2022[[#This Row],[NOTA SEM FOULS]])),"")</f>
        <v>8</v>
      </c>
      <c r="AK137" s="34">
        <f>IF(CADO_EMPREGOS_2022[[#This Row],[MODALIDADE]]="TT",CADO_EMPREGOS_2022[[#This Row],[NOTA ACERTOS]],IF(COUNTA(CADO_EMPREGOS_2022[[#This Row],[MODALIDADE]])=0,"",CADO_EMPREGOS_2022[[#This Row],[NOTA DISTÂNCIA]]))</f>
        <v>8</v>
      </c>
      <c r="AL137" s="34">
        <f>IF(AND(CADO_EMPREGOS_2022[[#This Row],[MODALIDADE]]="BRB",CADO_EMPREGOS_2022[[#This Row],[TVB]]&lt;=3),1,0)</f>
        <v>0</v>
      </c>
      <c r="AM13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3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37" s="34">
        <f>IFERROR(IF(CADO_EMPREGOS_2022[[#This Row],[ALTURA DE RECUPERAÇÃO (FT)]]&lt;VLOOKUP(CADO_EMPREGOS_2022[[#This Row],[MODALIDADE]],Dados!$R$3:$AB$16,10,FALSE),1,0),"")</f>
        <v>0</v>
      </c>
      <c r="AP13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3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37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8</v>
      </c>
      <c r="AS137" s="34" cm="1">
        <f t="array" ref="AS13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37" s="34" t="s">
        <v>174</v>
      </c>
    </row>
    <row r="138" spans="1:46" x14ac:dyDescent="0.25">
      <c r="A138" s="35">
        <v>44693</v>
      </c>
      <c r="B138" s="36">
        <v>0.6875</v>
      </c>
      <c r="C138" s="34" t="s">
        <v>183</v>
      </c>
      <c r="D138" s="34" t="s">
        <v>109</v>
      </c>
      <c r="E138" s="34">
        <v>5934</v>
      </c>
      <c r="F138" s="34" t="s">
        <v>100</v>
      </c>
      <c r="G138" s="34">
        <v>2</v>
      </c>
      <c r="H138" s="34" t="s">
        <v>158</v>
      </c>
      <c r="I138" s="34" t="s">
        <v>175</v>
      </c>
      <c r="J138" s="34" t="s">
        <v>176</v>
      </c>
      <c r="K138" s="34">
        <v>1</v>
      </c>
      <c r="L138" s="34" t="s">
        <v>149</v>
      </c>
      <c r="M138" s="34" t="s">
        <v>163</v>
      </c>
      <c r="N138" s="34" t="s">
        <v>179</v>
      </c>
      <c r="O138" s="34" t="s">
        <v>184</v>
      </c>
      <c r="P138" s="34" t="s">
        <v>177</v>
      </c>
      <c r="Q138" s="34" t="s">
        <v>180</v>
      </c>
      <c r="R138" s="37">
        <v>10</v>
      </c>
      <c r="S138" s="37">
        <v>-15</v>
      </c>
      <c r="T138" s="34">
        <v>14.5</v>
      </c>
      <c r="U138" s="34">
        <v>5.6</v>
      </c>
      <c r="V138" s="34" t="s">
        <v>145</v>
      </c>
      <c r="W138" s="34" t="s">
        <v>145</v>
      </c>
      <c r="X138" s="34" t="s">
        <v>145</v>
      </c>
      <c r="Y138" s="37">
        <v>-20.5</v>
      </c>
      <c r="Z138" s="34">
        <v>234</v>
      </c>
      <c r="AA138" s="39" t="s">
        <v>145</v>
      </c>
      <c r="AB138" s="34" t="s">
        <v>145</v>
      </c>
      <c r="AC138" s="34">
        <v>1960</v>
      </c>
      <c r="AD138" s="34">
        <v>1300</v>
      </c>
      <c r="AE138" s="34">
        <v>315</v>
      </c>
      <c r="AF138" s="34">
        <v>311</v>
      </c>
      <c r="AG138" s="34">
        <v>6</v>
      </c>
      <c r="AH138" s="34">
        <f>IF(CADO_EMPREGOS_2022[[#This Row],[ABORTIVA]]="METEORO","",IF(COUNTA(CADO_EMPREGOS_2022[[#This Row],[TRANSGRESSÕES]])&gt;0,0,CADO_EMPREGOS_2022[[#This Row],[NOTA COM PENALIDADES (FOULS)]]))</f>
        <v>8.5500000000000007</v>
      </c>
      <c r="AI138" s="34"/>
      <c r="AJ138" s="34">
        <f>IFERROR(IF(CADO_EMPREGOS_2022[[#This Row],[NOTA SEM FOULS]]=0,0,IF(COUNTIF(CADO_EMPREGOS_2022[[#This Row],[FOUL TVB]:[FOUL DE EIXO]],1)&gt;0,0,CADO_EMPREGOS_2022[[#This Row],[NOTA SEM FOULS]])),"")</f>
        <v>8.5500000000000007</v>
      </c>
      <c r="AK138" s="34">
        <f>IF(CADO_EMPREGOS_2022[[#This Row],[MODALIDADE]]="TT",CADO_EMPREGOS_2022[[#This Row],[NOTA ACERTOS]],IF(COUNTA(CADO_EMPREGOS_2022[[#This Row],[MODALIDADE]])=0,"",CADO_EMPREGOS_2022[[#This Row],[NOTA DISTÂNCIA]]))</f>
        <v>8.5500000000000007</v>
      </c>
      <c r="AL138" s="34">
        <f>IF(AND(CADO_EMPREGOS_2022[[#This Row],[MODALIDADE]]="BRB",CADO_EMPREGOS_2022[[#This Row],[TVB]]&lt;=3),1,0)</f>
        <v>0</v>
      </c>
      <c r="AM13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3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38" s="34">
        <f>IFERROR(IF(CADO_EMPREGOS_2022[[#This Row],[ALTURA DE RECUPERAÇÃO (FT)]]&lt;VLOOKUP(CADO_EMPREGOS_2022[[#This Row],[MODALIDADE]],Dados!$R$3:$AB$16,10,FALSE),1,0),"")</f>
        <v>0</v>
      </c>
      <c r="AP13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3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38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38" s="34" cm="1">
        <f t="array" ref="AS13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8.5500000000000007</v>
      </c>
      <c r="AT138" s="34" t="s">
        <v>174</v>
      </c>
    </row>
    <row r="139" spans="1:46" x14ac:dyDescent="0.25">
      <c r="A139" s="35">
        <v>44693</v>
      </c>
      <c r="B139" s="36">
        <v>0.6875</v>
      </c>
      <c r="C139" s="34" t="s">
        <v>183</v>
      </c>
      <c r="D139" s="34" t="s">
        <v>109</v>
      </c>
      <c r="E139" s="34">
        <v>5934</v>
      </c>
      <c r="F139" s="34" t="s">
        <v>100</v>
      </c>
      <c r="G139" s="34">
        <v>2</v>
      </c>
      <c r="H139" s="34" t="s">
        <v>158</v>
      </c>
      <c r="I139" s="34" t="s">
        <v>175</v>
      </c>
      <c r="J139" s="34" t="s">
        <v>176</v>
      </c>
      <c r="K139" s="34">
        <v>1</v>
      </c>
      <c r="L139" s="34" t="s">
        <v>149</v>
      </c>
      <c r="M139" s="34" t="s">
        <v>163</v>
      </c>
      <c r="N139" s="34" t="s">
        <v>179</v>
      </c>
      <c r="O139" s="34" t="s">
        <v>184</v>
      </c>
      <c r="P139" s="34" t="s">
        <v>177</v>
      </c>
      <c r="Q139" s="34" t="s">
        <v>180</v>
      </c>
      <c r="R139" s="37">
        <v>-15</v>
      </c>
      <c r="S139" s="37">
        <v>20</v>
      </c>
      <c r="T139" s="34">
        <v>19.600000000000001</v>
      </c>
      <c r="U139" s="34">
        <v>8.6999999999999993</v>
      </c>
      <c r="V139" s="34" t="s">
        <v>145</v>
      </c>
      <c r="W139" s="34" t="s">
        <v>145</v>
      </c>
      <c r="X139" s="34" t="s">
        <v>145</v>
      </c>
      <c r="Y139" s="37">
        <v>-19</v>
      </c>
      <c r="Z139" s="34">
        <v>241</v>
      </c>
      <c r="AA139" s="39" t="s">
        <v>145</v>
      </c>
      <c r="AB139" s="34" t="s">
        <v>145</v>
      </c>
      <c r="AC139" s="34">
        <v>2060</v>
      </c>
      <c r="AD139" s="34">
        <v>1300</v>
      </c>
      <c r="AE139" s="34">
        <v>45</v>
      </c>
      <c r="AF139" s="34">
        <v>45</v>
      </c>
      <c r="AG139" s="34">
        <v>7</v>
      </c>
      <c r="AH139" s="34">
        <f>IF(CADO_EMPREGOS_2022[[#This Row],[ABORTIVA]]="METEORO","",IF(COUNTA(CADO_EMPREGOS_2022[[#This Row],[TRANSGRESSÕES]])&gt;0,0,CADO_EMPREGOS_2022[[#This Row],[NOTA COM PENALIDADES (FOULS)]]))</f>
        <v>8.0399999999999991</v>
      </c>
      <c r="AI139" s="34"/>
      <c r="AJ139" s="34">
        <f>IFERROR(IF(CADO_EMPREGOS_2022[[#This Row],[NOTA SEM FOULS]]=0,0,IF(COUNTIF(CADO_EMPREGOS_2022[[#This Row],[FOUL TVB]:[FOUL DE EIXO]],1)&gt;0,0,CADO_EMPREGOS_2022[[#This Row],[NOTA SEM FOULS]])),"")</f>
        <v>8.0399999999999991</v>
      </c>
      <c r="AK139" s="34">
        <f>IF(CADO_EMPREGOS_2022[[#This Row],[MODALIDADE]]="TT",CADO_EMPREGOS_2022[[#This Row],[NOTA ACERTOS]],IF(COUNTA(CADO_EMPREGOS_2022[[#This Row],[MODALIDADE]])=0,"",CADO_EMPREGOS_2022[[#This Row],[NOTA DISTÂNCIA]]))</f>
        <v>8.0399999999999991</v>
      </c>
      <c r="AL139" s="34">
        <f>IF(AND(CADO_EMPREGOS_2022[[#This Row],[MODALIDADE]]="BRB",CADO_EMPREGOS_2022[[#This Row],[TVB]]&lt;=3),1,0)</f>
        <v>0</v>
      </c>
      <c r="AM13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3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39" s="34">
        <f>IFERROR(IF(CADO_EMPREGOS_2022[[#This Row],[ALTURA DE RECUPERAÇÃO (FT)]]&lt;VLOOKUP(CADO_EMPREGOS_2022[[#This Row],[MODALIDADE]],Dados!$R$3:$AB$16,10,FALSE),1,0),"")</f>
        <v>0</v>
      </c>
      <c r="AP13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3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39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39" s="34" cm="1">
        <f t="array" ref="AS13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8.0399999999999991</v>
      </c>
      <c r="AT139" s="34" t="s">
        <v>174</v>
      </c>
    </row>
    <row r="140" spans="1:46" x14ac:dyDescent="0.25">
      <c r="A140" s="35">
        <v>44697</v>
      </c>
      <c r="B140" s="36">
        <v>0.6875</v>
      </c>
      <c r="C140" s="34" t="s">
        <v>187</v>
      </c>
      <c r="D140" s="34" t="s">
        <v>109</v>
      </c>
      <c r="E140" s="34">
        <v>5927</v>
      </c>
      <c r="F140" s="34" t="s">
        <v>100</v>
      </c>
      <c r="G140" s="34">
        <v>2</v>
      </c>
      <c r="H140" s="34" t="s">
        <v>158</v>
      </c>
      <c r="I140" s="34" t="s">
        <v>175</v>
      </c>
      <c r="J140" s="34" t="s">
        <v>176</v>
      </c>
      <c r="K140" s="34">
        <v>1</v>
      </c>
      <c r="L140" s="34" t="s">
        <v>149</v>
      </c>
      <c r="M140" s="34" t="s">
        <v>163</v>
      </c>
      <c r="N140" s="34" t="s">
        <v>179</v>
      </c>
      <c r="O140" s="34" t="s">
        <v>184</v>
      </c>
      <c r="P140" s="34" t="s">
        <v>177</v>
      </c>
      <c r="Q140" s="34" t="s">
        <v>180</v>
      </c>
      <c r="R140" s="37">
        <v>4</v>
      </c>
      <c r="S140" s="37">
        <v>-5</v>
      </c>
      <c r="T140" s="34">
        <v>5.0999999999999996</v>
      </c>
      <c r="U140" s="34">
        <v>11.8</v>
      </c>
      <c r="V140" s="34" t="s">
        <v>145</v>
      </c>
      <c r="W140" s="34" t="s">
        <v>145</v>
      </c>
      <c r="X140" s="34" t="s">
        <v>145</v>
      </c>
      <c r="Y140" s="37">
        <v>-19</v>
      </c>
      <c r="Z140" s="34">
        <v>258</v>
      </c>
      <c r="AA140" s="39" t="s">
        <v>145</v>
      </c>
      <c r="AB140" s="34" t="s">
        <v>145</v>
      </c>
      <c r="AC140" s="34">
        <v>1560</v>
      </c>
      <c r="AD140" s="34">
        <v>1300</v>
      </c>
      <c r="AE140" s="34">
        <v>135</v>
      </c>
      <c r="AF140" s="34">
        <v>135</v>
      </c>
      <c r="AG140" s="34">
        <v>5</v>
      </c>
      <c r="AH140" s="34">
        <f>IF(CADO_EMPREGOS_2022[[#This Row],[ABORTIVA]]="METEORO","",IF(COUNTA(CADO_EMPREGOS_2022[[#This Row],[TRANSGRESSÕES]])&gt;0,0,CADO_EMPREGOS_2022[[#This Row],[NOTA COM PENALIDADES (FOULS)]]))</f>
        <v>9.49</v>
      </c>
      <c r="AI140" s="34"/>
      <c r="AJ140" s="34">
        <f>IFERROR(IF(CADO_EMPREGOS_2022[[#This Row],[NOTA SEM FOULS]]=0,0,IF(COUNTIF(CADO_EMPREGOS_2022[[#This Row],[FOUL TVB]:[FOUL DE EIXO]],1)&gt;0,0,CADO_EMPREGOS_2022[[#This Row],[NOTA SEM FOULS]])),"")</f>
        <v>9.49</v>
      </c>
      <c r="AK140" s="34">
        <f>IF(CADO_EMPREGOS_2022[[#This Row],[MODALIDADE]]="TT",CADO_EMPREGOS_2022[[#This Row],[NOTA ACERTOS]],IF(COUNTA(CADO_EMPREGOS_2022[[#This Row],[MODALIDADE]])=0,"",CADO_EMPREGOS_2022[[#This Row],[NOTA DISTÂNCIA]]))</f>
        <v>9.49</v>
      </c>
      <c r="AL140" s="34">
        <f>IF(AND(CADO_EMPREGOS_2022[[#This Row],[MODALIDADE]]="BRB",CADO_EMPREGOS_2022[[#This Row],[TVB]]&lt;=3),1,0)</f>
        <v>0</v>
      </c>
      <c r="AM14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4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40" s="34">
        <f>IFERROR(IF(CADO_EMPREGOS_2022[[#This Row],[ALTURA DE RECUPERAÇÃO (FT)]]&lt;VLOOKUP(CADO_EMPREGOS_2022[[#This Row],[MODALIDADE]],Dados!$R$3:$AB$16,10,FALSE),1,0),"")</f>
        <v>0</v>
      </c>
      <c r="AP14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4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4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40" s="34" cm="1">
        <f t="array" ref="AS14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9.49</v>
      </c>
      <c r="AT140" s="34" t="s">
        <v>174</v>
      </c>
    </row>
    <row r="141" spans="1:46" x14ac:dyDescent="0.25">
      <c r="A141" s="35">
        <v>44697</v>
      </c>
      <c r="B141" s="36">
        <v>0.6875</v>
      </c>
      <c r="C141" s="34" t="s">
        <v>187</v>
      </c>
      <c r="D141" s="34" t="s">
        <v>109</v>
      </c>
      <c r="E141" s="34">
        <v>5927</v>
      </c>
      <c r="F141" s="34" t="s">
        <v>100</v>
      </c>
      <c r="G141" s="34">
        <v>2</v>
      </c>
      <c r="H141" s="34" t="s">
        <v>158</v>
      </c>
      <c r="I141" s="34" t="s">
        <v>175</v>
      </c>
      <c r="J141" s="34" t="s">
        <v>176</v>
      </c>
      <c r="K141" s="34">
        <v>1</v>
      </c>
      <c r="L141" s="34" t="s">
        <v>149</v>
      </c>
      <c r="M141" s="34" t="s">
        <v>163</v>
      </c>
      <c r="N141" s="34" t="s">
        <v>179</v>
      </c>
      <c r="O141" s="34" t="s">
        <v>184</v>
      </c>
      <c r="P141" s="34" t="s">
        <v>177</v>
      </c>
      <c r="Q141" s="34" t="s">
        <v>180</v>
      </c>
      <c r="R141" s="37">
        <v>12</v>
      </c>
      <c r="S141" s="37">
        <v>-8</v>
      </c>
      <c r="T141" s="34">
        <v>11.7</v>
      </c>
      <c r="U141" s="34">
        <v>6.4</v>
      </c>
      <c r="V141" s="34" t="s">
        <v>145</v>
      </c>
      <c r="W141" s="34" t="s">
        <v>145</v>
      </c>
      <c r="X141" s="34" t="s">
        <v>145</v>
      </c>
      <c r="Y141" s="37">
        <v>-20.7</v>
      </c>
      <c r="Z141" s="34">
        <v>237</v>
      </c>
      <c r="AA141" s="39" t="s">
        <v>145</v>
      </c>
      <c r="AB141" s="34" t="s">
        <v>145</v>
      </c>
      <c r="AC141" s="34">
        <v>1520</v>
      </c>
      <c r="AD141" s="34">
        <v>1300</v>
      </c>
      <c r="AE141" s="34">
        <v>315</v>
      </c>
      <c r="AF141" s="34">
        <v>310</v>
      </c>
      <c r="AG141" s="34">
        <v>6</v>
      </c>
      <c r="AH141" s="34">
        <f>IF(CADO_EMPREGOS_2022[[#This Row],[ABORTIVA]]="METEORO","",IF(COUNTA(CADO_EMPREGOS_2022[[#This Row],[TRANSGRESSÕES]])&gt;0,0,CADO_EMPREGOS_2022[[#This Row],[NOTA COM PENALIDADES (FOULS)]]))</f>
        <v>8.83</v>
      </c>
      <c r="AI141" s="34"/>
      <c r="AJ141" s="34">
        <f>IFERROR(IF(CADO_EMPREGOS_2022[[#This Row],[NOTA SEM FOULS]]=0,0,IF(COUNTIF(CADO_EMPREGOS_2022[[#This Row],[FOUL TVB]:[FOUL DE EIXO]],1)&gt;0,0,CADO_EMPREGOS_2022[[#This Row],[NOTA SEM FOULS]])),"")</f>
        <v>8.83</v>
      </c>
      <c r="AK141" s="34">
        <f>IF(CADO_EMPREGOS_2022[[#This Row],[MODALIDADE]]="TT",CADO_EMPREGOS_2022[[#This Row],[NOTA ACERTOS]],IF(COUNTA(CADO_EMPREGOS_2022[[#This Row],[MODALIDADE]])=0,"",CADO_EMPREGOS_2022[[#This Row],[NOTA DISTÂNCIA]]))</f>
        <v>8.83</v>
      </c>
      <c r="AL141" s="34">
        <f>IF(AND(CADO_EMPREGOS_2022[[#This Row],[MODALIDADE]]="BRB",CADO_EMPREGOS_2022[[#This Row],[TVB]]&lt;=3),1,0)</f>
        <v>0</v>
      </c>
      <c r="AM14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4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41" s="34">
        <f>IFERROR(IF(CADO_EMPREGOS_2022[[#This Row],[ALTURA DE RECUPERAÇÃO (FT)]]&lt;VLOOKUP(CADO_EMPREGOS_2022[[#This Row],[MODALIDADE]],Dados!$R$3:$AB$16,10,FALSE),1,0),"")</f>
        <v>0</v>
      </c>
      <c r="AP14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4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41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41" s="34" cm="1">
        <f t="array" ref="AS14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8.83</v>
      </c>
      <c r="AT141" s="34" t="s">
        <v>174</v>
      </c>
    </row>
    <row r="142" spans="1:46" x14ac:dyDescent="0.25">
      <c r="A142" s="35">
        <v>44693</v>
      </c>
      <c r="B142" s="36">
        <v>0.6875</v>
      </c>
      <c r="C142" s="34" t="s">
        <v>183</v>
      </c>
      <c r="D142" s="34" t="s">
        <v>109</v>
      </c>
      <c r="E142" s="34">
        <v>5934</v>
      </c>
      <c r="F142" s="34" t="s">
        <v>100</v>
      </c>
      <c r="G142" s="34">
        <v>2</v>
      </c>
      <c r="H142" s="34" t="s">
        <v>25</v>
      </c>
      <c r="I142" s="34" t="s">
        <v>175</v>
      </c>
      <c r="J142" s="34" t="s">
        <v>169</v>
      </c>
      <c r="K142" s="34">
        <v>1</v>
      </c>
      <c r="L142" s="34" t="s">
        <v>149</v>
      </c>
      <c r="M142" s="34" t="s">
        <v>163</v>
      </c>
      <c r="N142" s="34" t="s">
        <v>179</v>
      </c>
      <c r="O142" s="34" t="s">
        <v>184</v>
      </c>
      <c r="P142" s="34" t="s">
        <v>172</v>
      </c>
      <c r="Q142" s="34" t="s">
        <v>145</v>
      </c>
      <c r="R142" s="37" t="s">
        <v>145</v>
      </c>
      <c r="S142" s="37" t="s">
        <v>145</v>
      </c>
      <c r="T142" s="34" t="s">
        <v>145</v>
      </c>
      <c r="U142" s="34" t="s">
        <v>145</v>
      </c>
      <c r="V142" s="34">
        <v>30</v>
      </c>
      <c r="W142" s="34">
        <v>15</v>
      </c>
      <c r="X142" s="34">
        <v>0.5</v>
      </c>
      <c r="Y142" s="37">
        <v>-15.9</v>
      </c>
      <c r="Z142" s="34">
        <v>245</v>
      </c>
      <c r="AA142" s="39">
        <v>597</v>
      </c>
      <c r="AB142" s="34">
        <v>507</v>
      </c>
      <c r="AC142" s="34">
        <v>230</v>
      </c>
      <c r="AD142" s="34">
        <v>200</v>
      </c>
      <c r="AE142" s="34">
        <v>135</v>
      </c>
      <c r="AF142" s="34">
        <v>136</v>
      </c>
      <c r="AG142" s="34" t="s">
        <v>145</v>
      </c>
      <c r="AH142" s="34">
        <f>IF(CADO_EMPREGOS_2022[[#This Row],[ABORTIVA]]="METEORO","",IF(COUNTA(CADO_EMPREGOS_2022[[#This Row],[TRANSGRESSÕES]])&gt;0,0,CADO_EMPREGOS_2022[[#This Row],[NOTA COM PENALIDADES (FOULS)]]))</f>
        <v>5</v>
      </c>
      <c r="AI142" s="34"/>
      <c r="AJ142" s="34">
        <f>IFERROR(IF(CADO_EMPREGOS_2022[[#This Row],[NOTA SEM FOULS]]=0,0,IF(COUNTIF(CADO_EMPREGOS_2022[[#This Row],[FOUL TVB]:[FOUL DE EIXO]],1)&gt;0,0,CADO_EMPREGOS_2022[[#This Row],[NOTA SEM FOULS]])),"")</f>
        <v>5</v>
      </c>
      <c r="AK142" s="34">
        <f>IF(CADO_EMPREGOS_2022[[#This Row],[MODALIDADE]]="TT",CADO_EMPREGOS_2022[[#This Row],[NOTA ACERTOS]],IF(COUNTA(CADO_EMPREGOS_2022[[#This Row],[MODALIDADE]])=0,"",CADO_EMPREGOS_2022[[#This Row],[NOTA DISTÂNCIA]]))</f>
        <v>5</v>
      </c>
      <c r="AL142" s="34">
        <f>IF(AND(CADO_EMPREGOS_2022[[#This Row],[MODALIDADE]]="BRB",CADO_EMPREGOS_2022[[#This Row],[TVB]]&lt;=3),1,0)</f>
        <v>0</v>
      </c>
      <c r="AM14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4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42" s="34">
        <f>IFERROR(IF(CADO_EMPREGOS_2022[[#This Row],[ALTURA DE RECUPERAÇÃO (FT)]]&lt;VLOOKUP(CADO_EMPREGOS_2022[[#This Row],[MODALIDADE]],Dados!$R$3:$AB$16,10,FALSE),1,0),"")</f>
        <v>0</v>
      </c>
      <c r="AP14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4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42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5</v>
      </c>
      <c r="AS142" s="34" cm="1">
        <f t="array" ref="AS14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42" s="34" t="s">
        <v>174</v>
      </c>
    </row>
    <row r="143" spans="1:46" x14ac:dyDescent="0.25">
      <c r="A143" s="35">
        <v>44697</v>
      </c>
      <c r="B143" s="36">
        <v>0.6875</v>
      </c>
      <c r="C143" s="34" t="s">
        <v>187</v>
      </c>
      <c r="D143" s="34" t="s">
        <v>109</v>
      </c>
      <c r="E143" s="34">
        <v>5927</v>
      </c>
      <c r="F143" s="34" t="s">
        <v>100</v>
      </c>
      <c r="G143" s="34">
        <v>2</v>
      </c>
      <c r="H143" s="34" t="s">
        <v>25</v>
      </c>
      <c r="I143" s="34" t="s">
        <v>175</v>
      </c>
      <c r="J143" s="34" t="s">
        <v>169</v>
      </c>
      <c r="K143" s="34">
        <v>1</v>
      </c>
      <c r="L143" s="34" t="s">
        <v>149</v>
      </c>
      <c r="M143" s="34" t="s">
        <v>163</v>
      </c>
      <c r="N143" s="34" t="s">
        <v>179</v>
      </c>
      <c r="O143" s="34" t="s">
        <v>184</v>
      </c>
      <c r="P143" s="34" t="s">
        <v>172</v>
      </c>
      <c r="Q143" s="34" t="s">
        <v>145</v>
      </c>
      <c r="R143" s="37" t="s">
        <v>145</v>
      </c>
      <c r="S143" s="37" t="s">
        <v>145</v>
      </c>
      <c r="T143" s="34" t="s">
        <v>145</v>
      </c>
      <c r="U143" s="34" t="s">
        <v>145</v>
      </c>
      <c r="V143" s="34">
        <v>30</v>
      </c>
      <c r="W143" s="34">
        <v>26</v>
      </c>
      <c r="X143" s="34">
        <v>0.87</v>
      </c>
      <c r="Y143" s="37">
        <v>-15</v>
      </c>
      <c r="Z143" s="34">
        <v>240</v>
      </c>
      <c r="AA143" s="39">
        <v>771</v>
      </c>
      <c r="AB143" s="34">
        <v>574</v>
      </c>
      <c r="AC143" s="34">
        <v>260</v>
      </c>
      <c r="AD143" s="34">
        <v>200</v>
      </c>
      <c r="AE143" s="34">
        <v>135</v>
      </c>
      <c r="AF143" s="34">
        <v>134</v>
      </c>
      <c r="AG143" s="34" t="s">
        <v>145</v>
      </c>
      <c r="AH143" s="34">
        <f>IF(CADO_EMPREGOS_2022[[#This Row],[ABORTIVA]]="METEORO","",IF(COUNTA(CADO_EMPREGOS_2022[[#This Row],[TRANSGRESSÕES]])&gt;0,0,CADO_EMPREGOS_2022[[#This Row],[NOTA COM PENALIDADES (FOULS)]]))</f>
        <v>8.6666666666666679</v>
      </c>
      <c r="AI143" s="34"/>
      <c r="AJ143" s="34">
        <f>IFERROR(IF(CADO_EMPREGOS_2022[[#This Row],[NOTA SEM FOULS]]=0,0,IF(COUNTIF(CADO_EMPREGOS_2022[[#This Row],[FOUL TVB]:[FOUL DE EIXO]],1)&gt;0,0,CADO_EMPREGOS_2022[[#This Row],[NOTA SEM FOULS]])),"")</f>
        <v>8.6666666666666679</v>
      </c>
      <c r="AK143" s="34">
        <f>IF(CADO_EMPREGOS_2022[[#This Row],[MODALIDADE]]="TT",CADO_EMPREGOS_2022[[#This Row],[NOTA ACERTOS]],IF(COUNTA(CADO_EMPREGOS_2022[[#This Row],[MODALIDADE]])=0,"",CADO_EMPREGOS_2022[[#This Row],[NOTA DISTÂNCIA]]))</f>
        <v>8.6666666666666679</v>
      </c>
      <c r="AL143" s="34">
        <f>IF(AND(CADO_EMPREGOS_2022[[#This Row],[MODALIDADE]]="BRB",CADO_EMPREGOS_2022[[#This Row],[TVB]]&lt;=3),1,0)</f>
        <v>0</v>
      </c>
      <c r="AM14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4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43" s="34">
        <f>IFERROR(IF(CADO_EMPREGOS_2022[[#This Row],[ALTURA DE RECUPERAÇÃO (FT)]]&lt;VLOOKUP(CADO_EMPREGOS_2022[[#This Row],[MODALIDADE]],Dados!$R$3:$AB$16,10,FALSE),1,0),"")</f>
        <v>0</v>
      </c>
      <c r="AP14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4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43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8.6666666666666679</v>
      </c>
      <c r="AS143" s="34" cm="1">
        <f t="array" ref="AS14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43" s="34" t="s">
        <v>174</v>
      </c>
    </row>
    <row r="144" spans="1:46" x14ac:dyDescent="0.25">
      <c r="A144" s="35">
        <v>44686</v>
      </c>
      <c r="B144" s="36">
        <v>0.36805555555555558</v>
      </c>
      <c r="C144" s="34" t="s">
        <v>183</v>
      </c>
      <c r="D144" s="34" t="s">
        <v>128</v>
      </c>
      <c r="E144" s="34">
        <v>5921</v>
      </c>
      <c r="F144" s="34" t="s">
        <v>133</v>
      </c>
      <c r="G144" s="34">
        <v>3</v>
      </c>
      <c r="H144" s="34" t="s">
        <v>158</v>
      </c>
      <c r="I144" s="34" t="s">
        <v>175</v>
      </c>
      <c r="J144" s="34" t="s">
        <v>176</v>
      </c>
      <c r="K144" s="34">
        <v>1</v>
      </c>
      <c r="L144" s="34" t="s">
        <v>149</v>
      </c>
      <c r="M144" s="34" t="s">
        <v>163</v>
      </c>
      <c r="N144" s="34" t="s">
        <v>179</v>
      </c>
      <c r="O144" s="34" t="s">
        <v>184</v>
      </c>
      <c r="P144" s="34" t="s">
        <v>177</v>
      </c>
      <c r="Q144" s="34" t="s">
        <v>180</v>
      </c>
      <c r="R144" s="37">
        <v>-5</v>
      </c>
      <c r="S144" s="37">
        <v>0</v>
      </c>
      <c r="T144" s="34">
        <v>4.0999999999999996</v>
      </c>
      <c r="U144" s="34">
        <v>12</v>
      </c>
      <c r="V144" s="34" t="s">
        <v>145</v>
      </c>
      <c r="W144" s="34" t="s">
        <v>145</v>
      </c>
      <c r="X144" s="34" t="s">
        <v>145</v>
      </c>
      <c r="Y144" s="37">
        <v>-18.100000000000001</v>
      </c>
      <c r="Z144" s="34">
        <v>228</v>
      </c>
      <c r="AA144" s="39" t="s">
        <v>145</v>
      </c>
      <c r="AB144" s="34" t="s">
        <v>145</v>
      </c>
      <c r="AC144" s="34">
        <v>2740</v>
      </c>
      <c r="AD144" s="34">
        <v>1300</v>
      </c>
      <c r="AE144" s="34">
        <v>315</v>
      </c>
      <c r="AF144" s="34">
        <v>319</v>
      </c>
      <c r="AG144" s="34">
        <v>7</v>
      </c>
      <c r="AH144" s="34">
        <f>IF(CADO_EMPREGOS_2022[[#This Row],[ABORTIVA]]="METEORO","",IF(COUNTA(CADO_EMPREGOS_2022[[#This Row],[TRANSGRESSÕES]])&gt;0,0,CADO_EMPREGOS_2022[[#This Row],[NOTA COM PENALIDADES (FOULS)]]))</f>
        <v>9.59</v>
      </c>
      <c r="AI144" s="34"/>
      <c r="AJ144" s="34">
        <f>IFERROR(IF(CADO_EMPREGOS_2022[[#This Row],[NOTA SEM FOULS]]=0,0,IF(COUNTIF(CADO_EMPREGOS_2022[[#This Row],[FOUL TVB]:[FOUL DE EIXO]],1)&gt;0,0,CADO_EMPREGOS_2022[[#This Row],[NOTA SEM FOULS]])),"")</f>
        <v>9.59</v>
      </c>
      <c r="AK144" s="34">
        <f>IF(CADO_EMPREGOS_2022[[#This Row],[MODALIDADE]]="TT",CADO_EMPREGOS_2022[[#This Row],[NOTA ACERTOS]],IF(COUNTA(CADO_EMPREGOS_2022[[#This Row],[MODALIDADE]])=0,"",CADO_EMPREGOS_2022[[#This Row],[NOTA DISTÂNCIA]]))</f>
        <v>9.59</v>
      </c>
      <c r="AL144" s="34">
        <f>IF(AND(CADO_EMPREGOS_2022[[#This Row],[MODALIDADE]]="BRB",CADO_EMPREGOS_2022[[#This Row],[TVB]]&lt;=3),1,0)</f>
        <v>0</v>
      </c>
      <c r="AM14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4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44" s="34">
        <f>IFERROR(IF(CADO_EMPREGOS_2022[[#This Row],[ALTURA DE RECUPERAÇÃO (FT)]]&lt;VLOOKUP(CADO_EMPREGOS_2022[[#This Row],[MODALIDADE]],Dados!$R$3:$AB$16,10,FALSE),1,0),"")</f>
        <v>0</v>
      </c>
      <c r="AP14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4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44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44" s="34" cm="1">
        <f t="array" ref="AS14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9.59</v>
      </c>
      <c r="AT144" s="34" t="s">
        <v>174</v>
      </c>
    </row>
    <row r="145" spans="1:46" x14ac:dyDescent="0.25">
      <c r="A145" s="35">
        <v>44686</v>
      </c>
      <c r="B145" s="36">
        <v>0.36805555555555558</v>
      </c>
      <c r="C145" s="34" t="s">
        <v>183</v>
      </c>
      <c r="D145" s="34" t="s">
        <v>128</v>
      </c>
      <c r="E145" s="34">
        <v>5921</v>
      </c>
      <c r="F145" s="34" t="s">
        <v>133</v>
      </c>
      <c r="G145" s="34">
        <v>3</v>
      </c>
      <c r="H145" s="34" t="s">
        <v>158</v>
      </c>
      <c r="I145" s="34" t="s">
        <v>175</v>
      </c>
      <c r="J145" s="34" t="s">
        <v>176</v>
      </c>
      <c r="K145" s="34">
        <v>1</v>
      </c>
      <c r="L145" s="34" t="s">
        <v>149</v>
      </c>
      <c r="M145" s="34" t="s">
        <v>163</v>
      </c>
      <c r="N145" s="34" t="s">
        <v>179</v>
      </c>
      <c r="O145" s="34" t="s">
        <v>184</v>
      </c>
      <c r="P145" s="34" t="s">
        <v>177</v>
      </c>
      <c r="Q145" s="34" t="s">
        <v>180</v>
      </c>
      <c r="R145" s="37">
        <v>6</v>
      </c>
      <c r="S145" s="37">
        <v>5</v>
      </c>
      <c r="T145" s="34">
        <v>6.5</v>
      </c>
      <c r="U145" s="34">
        <v>2.5</v>
      </c>
      <c r="V145" s="34" t="s">
        <v>145</v>
      </c>
      <c r="W145" s="34" t="s">
        <v>145</v>
      </c>
      <c r="X145" s="34" t="s">
        <v>145</v>
      </c>
      <c r="Y145" s="37">
        <v>-15</v>
      </c>
      <c r="Z145" s="34">
        <v>245</v>
      </c>
      <c r="AA145" s="39" t="s">
        <v>145</v>
      </c>
      <c r="AB145" s="34" t="s">
        <v>145</v>
      </c>
      <c r="AC145" s="34">
        <v>2860</v>
      </c>
      <c r="AD145" s="34">
        <v>1300</v>
      </c>
      <c r="AE145" s="34">
        <v>135</v>
      </c>
      <c r="AF145" s="34">
        <v>135</v>
      </c>
      <c r="AG145" s="34">
        <v>7</v>
      </c>
      <c r="AH145" s="34">
        <f>IF(CADO_EMPREGOS_2022[[#This Row],[ABORTIVA]]="METEORO","",IF(COUNTA(CADO_EMPREGOS_2022[[#This Row],[TRANSGRESSÕES]])&gt;0,0,CADO_EMPREGOS_2022[[#This Row],[NOTA COM PENALIDADES (FOULS)]]))</f>
        <v>9.35</v>
      </c>
      <c r="AI145" s="34"/>
      <c r="AJ145" s="34">
        <f>IFERROR(IF(CADO_EMPREGOS_2022[[#This Row],[NOTA SEM FOULS]]=0,0,IF(COUNTIF(CADO_EMPREGOS_2022[[#This Row],[FOUL TVB]:[FOUL DE EIXO]],1)&gt;0,0,CADO_EMPREGOS_2022[[#This Row],[NOTA SEM FOULS]])),"")</f>
        <v>9.35</v>
      </c>
      <c r="AK145" s="34">
        <f>IF(CADO_EMPREGOS_2022[[#This Row],[MODALIDADE]]="TT",CADO_EMPREGOS_2022[[#This Row],[NOTA ACERTOS]],IF(COUNTA(CADO_EMPREGOS_2022[[#This Row],[MODALIDADE]])=0,"",CADO_EMPREGOS_2022[[#This Row],[NOTA DISTÂNCIA]]))</f>
        <v>9.35</v>
      </c>
      <c r="AL145" s="34">
        <f>IF(AND(CADO_EMPREGOS_2022[[#This Row],[MODALIDADE]]="BRB",CADO_EMPREGOS_2022[[#This Row],[TVB]]&lt;=3),1,0)</f>
        <v>0</v>
      </c>
      <c r="AM14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4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45" s="34">
        <f>IFERROR(IF(CADO_EMPREGOS_2022[[#This Row],[ALTURA DE RECUPERAÇÃO (FT)]]&lt;VLOOKUP(CADO_EMPREGOS_2022[[#This Row],[MODALIDADE]],Dados!$R$3:$AB$16,10,FALSE),1,0),"")</f>
        <v>0</v>
      </c>
      <c r="AP14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4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45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45" s="34" cm="1">
        <f t="array" ref="AS14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9.35</v>
      </c>
      <c r="AT145" s="34" t="s">
        <v>174</v>
      </c>
    </row>
    <row r="146" spans="1:46" x14ac:dyDescent="0.25">
      <c r="A146" s="35">
        <v>44687</v>
      </c>
      <c r="B146" s="36">
        <v>0.57638888888888895</v>
      </c>
      <c r="C146" s="34" t="s">
        <v>187</v>
      </c>
      <c r="D146" s="34" t="s">
        <v>128</v>
      </c>
      <c r="E146" s="34">
        <v>5921</v>
      </c>
      <c r="F146" s="34" t="s">
        <v>133</v>
      </c>
      <c r="G146" s="34">
        <v>3</v>
      </c>
      <c r="H146" s="34" t="s">
        <v>158</v>
      </c>
      <c r="I146" s="34" t="s">
        <v>175</v>
      </c>
      <c r="J146" s="34" t="s">
        <v>176</v>
      </c>
      <c r="K146" s="34">
        <v>1</v>
      </c>
      <c r="L146" s="34" t="s">
        <v>149</v>
      </c>
      <c r="M146" s="34" t="s">
        <v>163</v>
      </c>
      <c r="N146" s="34" t="s">
        <v>179</v>
      </c>
      <c r="O146" s="34" t="s">
        <v>184</v>
      </c>
      <c r="P146" s="34" t="s">
        <v>177</v>
      </c>
      <c r="Q146" s="34" t="s">
        <v>180</v>
      </c>
      <c r="R146" s="37">
        <v>5</v>
      </c>
      <c r="S146" s="37">
        <v>0</v>
      </c>
      <c r="T146" s="34">
        <v>8</v>
      </c>
      <c r="U146" s="34">
        <v>4.3</v>
      </c>
      <c r="V146" s="34" t="s">
        <v>145</v>
      </c>
      <c r="W146" s="34" t="s">
        <v>145</v>
      </c>
      <c r="X146" s="34" t="s">
        <v>145</v>
      </c>
      <c r="Y146" s="37">
        <v>-13.1</v>
      </c>
      <c r="Z146" s="34">
        <v>232</v>
      </c>
      <c r="AA146" s="39" t="s">
        <v>145</v>
      </c>
      <c r="AB146" s="34" t="s">
        <v>145</v>
      </c>
      <c r="AC146" s="34">
        <v>1550</v>
      </c>
      <c r="AD146" s="34">
        <v>1300</v>
      </c>
      <c r="AE146" s="34">
        <v>45</v>
      </c>
      <c r="AF146" s="34">
        <v>40</v>
      </c>
      <c r="AG146" s="34">
        <v>5</v>
      </c>
      <c r="AH146" s="34">
        <f>IF(CADO_EMPREGOS_2022[[#This Row],[ABORTIVA]]="METEORO","",IF(COUNTA(CADO_EMPREGOS_2022[[#This Row],[TRANSGRESSÕES]])&gt;0,0,CADO_EMPREGOS_2022[[#This Row],[NOTA COM PENALIDADES (FOULS)]]))</f>
        <v>0</v>
      </c>
      <c r="AI146" s="34"/>
      <c r="AJ146" s="34">
        <f>IFERROR(IF(CADO_EMPREGOS_2022[[#This Row],[NOTA SEM FOULS]]=0,0,IF(COUNTIF(CADO_EMPREGOS_2022[[#This Row],[FOUL TVB]:[FOUL DE EIXO]],1)&gt;0,0,CADO_EMPREGOS_2022[[#This Row],[NOTA SEM FOULS]])),"")</f>
        <v>0</v>
      </c>
      <c r="AK146" s="34">
        <f>IF(CADO_EMPREGOS_2022[[#This Row],[MODALIDADE]]="TT",CADO_EMPREGOS_2022[[#This Row],[NOTA ACERTOS]],IF(COUNTA(CADO_EMPREGOS_2022[[#This Row],[MODALIDADE]])=0,"",CADO_EMPREGOS_2022[[#This Row],[NOTA DISTÂNCIA]]))</f>
        <v>9.1999999999999993</v>
      </c>
      <c r="AL146" s="34">
        <f>IF(AND(CADO_EMPREGOS_2022[[#This Row],[MODALIDADE]]="BRB",CADO_EMPREGOS_2022[[#This Row],[TVB]]&lt;=3),1,0)</f>
        <v>0</v>
      </c>
      <c r="AM14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1</v>
      </c>
      <c r="AN14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46" s="34">
        <f>IFERROR(IF(CADO_EMPREGOS_2022[[#This Row],[ALTURA DE RECUPERAÇÃO (FT)]]&lt;VLOOKUP(CADO_EMPREGOS_2022[[#This Row],[MODALIDADE]],Dados!$R$3:$AB$16,10,FALSE),1,0),"")</f>
        <v>0</v>
      </c>
      <c r="AP14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4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4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46" s="34" cm="1">
        <f t="array" ref="AS14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9.1999999999999993</v>
      </c>
      <c r="AT146" s="34" t="s">
        <v>174</v>
      </c>
    </row>
    <row r="147" spans="1:46" x14ac:dyDescent="0.25">
      <c r="A147" s="35">
        <v>44687</v>
      </c>
      <c r="B147" s="36">
        <v>0.57638888888888895</v>
      </c>
      <c r="C147" s="34" t="s">
        <v>187</v>
      </c>
      <c r="D147" s="34" t="s">
        <v>128</v>
      </c>
      <c r="E147" s="34">
        <v>5921</v>
      </c>
      <c r="F147" s="34" t="s">
        <v>133</v>
      </c>
      <c r="G147" s="34">
        <v>3</v>
      </c>
      <c r="H147" s="34" t="s">
        <v>158</v>
      </c>
      <c r="I147" s="34" t="s">
        <v>175</v>
      </c>
      <c r="J147" s="34" t="s">
        <v>176</v>
      </c>
      <c r="K147" s="34">
        <v>1</v>
      </c>
      <c r="L147" s="34" t="s">
        <v>149</v>
      </c>
      <c r="M147" s="34" t="s">
        <v>163</v>
      </c>
      <c r="N147" s="34" t="s">
        <v>179</v>
      </c>
      <c r="O147" s="34" t="s">
        <v>184</v>
      </c>
      <c r="P147" s="34" t="s">
        <v>177</v>
      </c>
      <c r="Q147" s="34" t="s">
        <v>180</v>
      </c>
      <c r="R147" s="37">
        <v>-48</v>
      </c>
      <c r="S147" s="37">
        <v>-50</v>
      </c>
      <c r="T147" s="34">
        <v>53</v>
      </c>
      <c r="U147" s="34">
        <v>12</v>
      </c>
      <c r="V147" s="34" t="s">
        <v>145</v>
      </c>
      <c r="W147" s="34" t="s">
        <v>145</v>
      </c>
      <c r="X147" s="34" t="s">
        <v>145</v>
      </c>
      <c r="Y147" s="37">
        <v>-14.1</v>
      </c>
      <c r="Z147" s="34">
        <v>221</v>
      </c>
      <c r="AA147" s="39" t="s">
        <v>145</v>
      </c>
      <c r="AB147" s="34" t="s">
        <v>145</v>
      </c>
      <c r="AC147" s="34">
        <v>2450</v>
      </c>
      <c r="AD147" s="34">
        <v>1300</v>
      </c>
      <c r="AE147" s="34">
        <v>315</v>
      </c>
      <c r="AF147" s="34">
        <v>318</v>
      </c>
      <c r="AG147" s="34">
        <v>7</v>
      </c>
      <c r="AH147" s="34">
        <f>IF(CADO_EMPREGOS_2022[[#This Row],[ABORTIVA]]="METEORO","",IF(COUNTA(CADO_EMPREGOS_2022[[#This Row],[TRANSGRESSÕES]])&gt;0,0,CADO_EMPREGOS_2022[[#This Row],[NOTA COM PENALIDADES (FOULS)]]))</f>
        <v>0</v>
      </c>
      <c r="AI147" s="34"/>
      <c r="AJ147" s="34">
        <f>IFERROR(IF(CADO_EMPREGOS_2022[[#This Row],[NOTA SEM FOULS]]=0,0,IF(COUNTIF(CADO_EMPREGOS_2022[[#This Row],[FOUL TVB]:[FOUL DE EIXO]],1)&gt;0,0,CADO_EMPREGOS_2022[[#This Row],[NOTA SEM FOULS]])),"")</f>
        <v>0</v>
      </c>
      <c r="AK147" s="34">
        <f>IF(CADO_EMPREGOS_2022[[#This Row],[MODALIDADE]]="TT",CADO_EMPREGOS_2022[[#This Row],[NOTA ACERTOS]],IF(COUNTA(CADO_EMPREGOS_2022[[#This Row],[MODALIDADE]])=0,"",CADO_EMPREGOS_2022[[#This Row],[NOTA DISTÂNCIA]]))</f>
        <v>4.6999999999999993</v>
      </c>
      <c r="AL147" s="34">
        <f>IF(AND(CADO_EMPREGOS_2022[[#This Row],[MODALIDADE]]="BRB",CADO_EMPREGOS_2022[[#This Row],[TVB]]&lt;=3),1,0)</f>
        <v>0</v>
      </c>
      <c r="AM14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1</v>
      </c>
      <c r="AN14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1</v>
      </c>
      <c r="AO147" s="34">
        <f>IFERROR(IF(CADO_EMPREGOS_2022[[#This Row],[ALTURA DE RECUPERAÇÃO (FT)]]&lt;VLOOKUP(CADO_EMPREGOS_2022[[#This Row],[MODALIDADE]],Dados!$R$3:$AB$16,10,FALSE),1,0),"")</f>
        <v>0</v>
      </c>
      <c r="AP14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4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4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47" s="34" cm="1">
        <f t="array" ref="AS14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4.6999999999999993</v>
      </c>
      <c r="AT147" s="34" t="s">
        <v>174</v>
      </c>
    </row>
    <row r="148" spans="1:46" x14ac:dyDescent="0.25">
      <c r="A148" s="35">
        <v>44686</v>
      </c>
      <c r="B148" s="36">
        <v>0.36805555555555558</v>
      </c>
      <c r="C148" s="34" t="s">
        <v>183</v>
      </c>
      <c r="D148" s="34" t="s">
        <v>128</v>
      </c>
      <c r="E148" s="34">
        <v>5921</v>
      </c>
      <c r="F148" s="34" t="s">
        <v>133</v>
      </c>
      <c r="G148" s="34">
        <v>3</v>
      </c>
      <c r="H148" s="34" t="s">
        <v>25</v>
      </c>
      <c r="I148" s="34" t="s">
        <v>175</v>
      </c>
      <c r="J148" s="34" t="s">
        <v>169</v>
      </c>
      <c r="K148" s="34">
        <v>0</v>
      </c>
      <c r="L148" s="34" t="s">
        <v>149</v>
      </c>
      <c r="M148" s="34" t="s">
        <v>163</v>
      </c>
      <c r="N148" s="34" t="s">
        <v>179</v>
      </c>
      <c r="O148" s="34" t="s">
        <v>184</v>
      </c>
      <c r="P148" s="34" t="s">
        <v>172</v>
      </c>
      <c r="Q148" s="34" t="s">
        <v>145</v>
      </c>
      <c r="R148" s="37" t="s">
        <v>145</v>
      </c>
      <c r="S148" s="37" t="s">
        <v>145</v>
      </c>
      <c r="T148" s="34" t="s">
        <v>145</v>
      </c>
      <c r="U148" s="34" t="s">
        <v>145</v>
      </c>
      <c r="V148" s="34">
        <v>30</v>
      </c>
      <c r="W148" s="34">
        <v>25</v>
      </c>
      <c r="X148" s="34">
        <v>0.96</v>
      </c>
      <c r="Y148" s="37">
        <v>-14.6</v>
      </c>
      <c r="Z148" s="34">
        <v>249</v>
      </c>
      <c r="AA148" s="39">
        <v>725</v>
      </c>
      <c r="AB148" s="34">
        <v>528</v>
      </c>
      <c r="AC148" s="34">
        <v>260</v>
      </c>
      <c r="AD148" s="34">
        <v>200</v>
      </c>
      <c r="AE148" s="34">
        <v>135</v>
      </c>
      <c r="AF148" s="34">
        <v>137</v>
      </c>
      <c r="AG148" s="34" t="s">
        <v>145</v>
      </c>
      <c r="AH148" s="34">
        <f>IF(CADO_EMPREGOS_2022[[#This Row],[ABORTIVA]]="METEORO","",IF(COUNTA(CADO_EMPREGOS_2022[[#This Row],[TRANSGRESSÕES]])&gt;0,0,CADO_EMPREGOS_2022[[#This Row],[NOTA COM PENALIDADES (FOULS)]]))</f>
        <v>8.3333333333333339</v>
      </c>
      <c r="AI148" s="34"/>
      <c r="AJ148" s="34">
        <f>IFERROR(IF(CADO_EMPREGOS_2022[[#This Row],[NOTA SEM FOULS]]=0,0,IF(COUNTIF(CADO_EMPREGOS_2022[[#This Row],[FOUL TVB]:[FOUL DE EIXO]],1)&gt;0,0,CADO_EMPREGOS_2022[[#This Row],[NOTA SEM FOULS]])),"")</f>
        <v>8.3333333333333339</v>
      </c>
      <c r="AK148" s="34">
        <f>IF(CADO_EMPREGOS_2022[[#This Row],[MODALIDADE]]="TT",CADO_EMPREGOS_2022[[#This Row],[NOTA ACERTOS]],IF(COUNTA(CADO_EMPREGOS_2022[[#This Row],[MODALIDADE]])=0,"",CADO_EMPREGOS_2022[[#This Row],[NOTA DISTÂNCIA]]))</f>
        <v>8.3333333333333339</v>
      </c>
      <c r="AL148" s="34">
        <f>IF(AND(CADO_EMPREGOS_2022[[#This Row],[MODALIDADE]]="BRB",CADO_EMPREGOS_2022[[#This Row],[TVB]]&lt;=3),1,0)</f>
        <v>0</v>
      </c>
      <c r="AM14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4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48" s="34">
        <f>IFERROR(IF(CADO_EMPREGOS_2022[[#This Row],[ALTURA DE RECUPERAÇÃO (FT)]]&lt;VLOOKUP(CADO_EMPREGOS_2022[[#This Row],[MODALIDADE]],Dados!$R$3:$AB$16,10,FALSE),1,0),"")</f>
        <v>0</v>
      </c>
      <c r="AP14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4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48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8.3333333333333339</v>
      </c>
      <c r="AS148" s="34" cm="1">
        <f t="array" ref="AS14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48" s="34" t="s">
        <v>174</v>
      </c>
    </row>
    <row r="149" spans="1:46" x14ac:dyDescent="0.25">
      <c r="A149" s="35">
        <v>44687</v>
      </c>
      <c r="B149" s="36">
        <v>0.57638888888888895</v>
      </c>
      <c r="C149" s="34" t="s">
        <v>187</v>
      </c>
      <c r="D149" s="34" t="s">
        <v>128</v>
      </c>
      <c r="E149" s="34">
        <v>5921</v>
      </c>
      <c r="F149" s="34" t="s">
        <v>133</v>
      </c>
      <c r="G149" s="34">
        <v>3</v>
      </c>
      <c r="H149" s="34" t="s">
        <v>25</v>
      </c>
      <c r="I149" s="34" t="s">
        <v>175</v>
      </c>
      <c r="J149" s="34" t="s">
        <v>169</v>
      </c>
      <c r="K149" s="34">
        <v>0</v>
      </c>
      <c r="L149" s="34" t="s">
        <v>149</v>
      </c>
      <c r="M149" s="34" t="s">
        <v>163</v>
      </c>
      <c r="N149" s="34" t="s">
        <v>179</v>
      </c>
      <c r="O149" s="34" t="s">
        <v>184</v>
      </c>
      <c r="P149" s="34" t="s">
        <v>172</v>
      </c>
      <c r="Q149" s="34" t="s">
        <v>145</v>
      </c>
      <c r="R149" s="37" t="s">
        <v>145</v>
      </c>
      <c r="S149" s="37" t="s">
        <v>145</v>
      </c>
      <c r="T149" s="34" t="s">
        <v>145</v>
      </c>
      <c r="U149" s="34" t="s">
        <v>145</v>
      </c>
      <c r="V149" s="34">
        <v>30</v>
      </c>
      <c r="W149" s="34">
        <v>15</v>
      </c>
      <c r="X149" s="34">
        <v>1</v>
      </c>
      <c r="Y149" s="37">
        <v>-16.100000000000001</v>
      </c>
      <c r="Z149" s="34">
        <v>242</v>
      </c>
      <c r="AA149" s="39">
        <v>843</v>
      </c>
      <c r="AB149" s="34">
        <v>695</v>
      </c>
      <c r="AC149" s="34">
        <v>360</v>
      </c>
      <c r="AD149" s="34">
        <v>200</v>
      </c>
      <c r="AE149" s="34">
        <v>135</v>
      </c>
      <c r="AF149" s="34">
        <v>134</v>
      </c>
      <c r="AG149" s="34" t="s">
        <v>145</v>
      </c>
      <c r="AH149" s="34">
        <f>IF(CADO_EMPREGOS_2022[[#This Row],[ABORTIVA]]="METEORO","",IF(COUNTA(CADO_EMPREGOS_2022[[#This Row],[TRANSGRESSÕES]])&gt;0,0,CADO_EMPREGOS_2022[[#This Row],[NOTA COM PENALIDADES (FOULS)]]))</f>
        <v>5</v>
      </c>
      <c r="AI149" s="34"/>
      <c r="AJ149" s="34">
        <f>IFERROR(IF(CADO_EMPREGOS_2022[[#This Row],[NOTA SEM FOULS]]=0,0,IF(COUNTIF(CADO_EMPREGOS_2022[[#This Row],[FOUL TVB]:[FOUL DE EIXO]],1)&gt;0,0,CADO_EMPREGOS_2022[[#This Row],[NOTA SEM FOULS]])),"")</f>
        <v>5</v>
      </c>
      <c r="AK149" s="34">
        <f>IF(CADO_EMPREGOS_2022[[#This Row],[MODALIDADE]]="TT",CADO_EMPREGOS_2022[[#This Row],[NOTA ACERTOS]],IF(COUNTA(CADO_EMPREGOS_2022[[#This Row],[MODALIDADE]])=0,"",CADO_EMPREGOS_2022[[#This Row],[NOTA DISTÂNCIA]]))</f>
        <v>5</v>
      </c>
      <c r="AL149" s="34">
        <f>IF(AND(CADO_EMPREGOS_2022[[#This Row],[MODALIDADE]]="BRB",CADO_EMPREGOS_2022[[#This Row],[TVB]]&lt;=3),1,0)</f>
        <v>0</v>
      </c>
      <c r="AM14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4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49" s="34">
        <f>IFERROR(IF(CADO_EMPREGOS_2022[[#This Row],[ALTURA DE RECUPERAÇÃO (FT)]]&lt;VLOOKUP(CADO_EMPREGOS_2022[[#This Row],[MODALIDADE]],Dados!$R$3:$AB$16,10,FALSE),1,0),"")</f>
        <v>0</v>
      </c>
      <c r="AP14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4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49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5</v>
      </c>
      <c r="AS149" s="34" cm="1">
        <f t="array" ref="AS14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49" s="34" t="s">
        <v>174</v>
      </c>
    </row>
    <row r="150" spans="1:46" x14ac:dyDescent="0.25">
      <c r="A150" s="35">
        <v>44686</v>
      </c>
      <c r="B150" s="36">
        <v>0.79166666666666663</v>
      </c>
      <c r="C150" s="34" t="s">
        <v>187</v>
      </c>
      <c r="D150" s="34" t="s">
        <v>102</v>
      </c>
      <c r="E150" s="34">
        <v>5920</v>
      </c>
      <c r="F150" s="34" t="s">
        <v>134</v>
      </c>
      <c r="G150" s="34">
        <v>2</v>
      </c>
      <c r="H150" s="34" t="s">
        <v>158</v>
      </c>
      <c r="I150" s="34" t="s">
        <v>175</v>
      </c>
      <c r="J150" s="34" t="s">
        <v>176</v>
      </c>
      <c r="K150" s="34">
        <v>1</v>
      </c>
      <c r="L150" s="34" t="s">
        <v>149</v>
      </c>
      <c r="M150" s="34" t="s">
        <v>163</v>
      </c>
      <c r="N150" s="34" t="s">
        <v>179</v>
      </c>
      <c r="O150" s="34" t="s">
        <v>184</v>
      </c>
      <c r="P150" s="34" t="s">
        <v>177</v>
      </c>
      <c r="Q150" s="34" t="s">
        <v>180</v>
      </c>
      <c r="R150" s="37">
        <v>-5</v>
      </c>
      <c r="S150" s="37">
        <v>-10</v>
      </c>
      <c r="T150" s="34">
        <v>9</v>
      </c>
      <c r="U150" s="34">
        <v>11</v>
      </c>
      <c r="V150" s="34" t="s">
        <v>145</v>
      </c>
      <c r="W150" s="34" t="s">
        <v>145</v>
      </c>
      <c r="X150" s="34" t="s">
        <v>145</v>
      </c>
      <c r="Y150" s="37">
        <v>-21.5</v>
      </c>
      <c r="Z150" s="34">
        <v>228</v>
      </c>
      <c r="AA150" s="39" t="s">
        <v>145</v>
      </c>
      <c r="AB150" s="34" t="s">
        <v>145</v>
      </c>
      <c r="AC150" s="34">
        <v>2600</v>
      </c>
      <c r="AD150" s="34">
        <v>1300</v>
      </c>
      <c r="AE150" s="34">
        <v>315</v>
      </c>
      <c r="AF150" s="34">
        <v>316</v>
      </c>
      <c r="AG150" s="34">
        <v>7</v>
      </c>
      <c r="AH150" s="34">
        <f>IF(CADO_EMPREGOS_2022[[#This Row],[ABORTIVA]]="METEORO","",IF(COUNTA(CADO_EMPREGOS_2022[[#This Row],[TRANSGRESSÕES]])&gt;0,0,CADO_EMPREGOS_2022[[#This Row],[NOTA COM PENALIDADES (FOULS)]]))</f>
        <v>9.1</v>
      </c>
      <c r="AI150" s="34"/>
      <c r="AJ150" s="34">
        <f>IFERROR(IF(CADO_EMPREGOS_2022[[#This Row],[NOTA SEM FOULS]]=0,0,IF(COUNTIF(CADO_EMPREGOS_2022[[#This Row],[FOUL TVB]:[FOUL DE EIXO]],1)&gt;0,0,CADO_EMPREGOS_2022[[#This Row],[NOTA SEM FOULS]])),"")</f>
        <v>9.1</v>
      </c>
      <c r="AK150" s="34">
        <f>IF(CADO_EMPREGOS_2022[[#This Row],[MODALIDADE]]="TT",CADO_EMPREGOS_2022[[#This Row],[NOTA ACERTOS]],IF(COUNTA(CADO_EMPREGOS_2022[[#This Row],[MODALIDADE]])=0,"",CADO_EMPREGOS_2022[[#This Row],[NOTA DISTÂNCIA]]))</f>
        <v>9.1</v>
      </c>
      <c r="AL150" s="34">
        <f>IF(AND(CADO_EMPREGOS_2022[[#This Row],[MODALIDADE]]="BRB",CADO_EMPREGOS_2022[[#This Row],[TVB]]&lt;=3),1,0)</f>
        <v>0</v>
      </c>
      <c r="AM15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5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50" s="34">
        <f>IFERROR(IF(CADO_EMPREGOS_2022[[#This Row],[ALTURA DE RECUPERAÇÃO (FT)]]&lt;VLOOKUP(CADO_EMPREGOS_2022[[#This Row],[MODALIDADE]],Dados!$R$3:$AB$16,10,FALSE),1,0),"")</f>
        <v>0</v>
      </c>
      <c r="AP15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5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5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50" s="34" cm="1">
        <f t="array" ref="AS15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</v>
      </c>
      <c r="AT150" s="34" t="s">
        <v>174</v>
      </c>
    </row>
    <row r="151" spans="1:46" x14ac:dyDescent="0.25">
      <c r="A151" s="35">
        <v>44686</v>
      </c>
      <c r="B151" s="36">
        <v>0.79166666666666663</v>
      </c>
      <c r="C151" s="34" t="s">
        <v>187</v>
      </c>
      <c r="D151" s="34" t="s">
        <v>102</v>
      </c>
      <c r="E151" s="34">
        <v>5920</v>
      </c>
      <c r="F151" s="34" t="s">
        <v>134</v>
      </c>
      <c r="G151" s="34">
        <v>2</v>
      </c>
      <c r="H151" s="34" t="s">
        <v>158</v>
      </c>
      <c r="I151" s="34" t="s">
        <v>175</v>
      </c>
      <c r="J151" s="34" t="s">
        <v>176</v>
      </c>
      <c r="K151" s="34">
        <v>1</v>
      </c>
      <c r="L151" s="34" t="s">
        <v>149</v>
      </c>
      <c r="M151" s="34" t="s">
        <v>163</v>
      </c>
      <c r="N151" s="34" t="s">
        <v>179</v>
      </c>
      <c r="O151" s="34" t="s">
        <v>184</v>
      </c>
      <c r="P151" s="34" t="s">
        <v>177</v>
      </c>
      <c r="Q151" s="34" t="s">
        <v>180</v>
      </c>
      <c r="R151" s="37">
        <v>16</v>
      </c>
      <c r="S151" s="37">
        <v>-10</v>
      </c>
      <c r="T151" s="34">
        <v>15.4</v>
      </c>
      <c r="U151" s="34">
        <v>6.3</v>
      </c>
      <c r="V151" s="34" t="s">
        <v>145</v>
      </c>
      <c r="W151" s="34" t="s">
        <v>145</v>
      </c>
      <c r="X151" s="34" t="s">
        <v>145</v>
      </c>
      <c r="Y151" s="37">
        <v>-22.2</v>
      </c>
      <c r="Z151" s="34">
        <v>226</v>
      </c>
      <c r="AA151" s="39" t="s">
        <v>145</v>
      </c>
      <c r="AB151" s="34" t="s">
        <v>145</v>
      </c>
      <c r="AC151" s="34">
        <v>2010</v>
      </c>
      <c r="AD151" s="34">
        <v>1300</v>
      </c>
      <c r="AE151" s="34">
        <v>315</v>
      </c>
      <c r="AF151" s="34">
        <v>312</v>
      </c>
      <c r="AG151" s="34">
        <v>7</v>
      </c>
      <c r="AH151" s="34">
        <f>IF(CADO_EMPREGOS_2022[[#This Row],[ABORTIVA]]="METEORO","",IF(COUNTA(CADO_EMPREGOS_2022[[#This Row],[TRANSGRESSÕES]])&gt;0,0,CADO_EMPREGOS_2022[[#This Row],[NOTA COM PENALIDADES (FOULS)]]))</f>
        <v>8.4600000000000009</v>
      </c>
      <c r="AI151" s="34"/>
      <c r="AJ151" s="34">
        <f>IFERROR(IF(CADO_EMPREGOS_2022[[#This Row],[NOTA SEM FOULS]]=0,0,IF(COUNTIF(CADO_EMPREGOS_2022[[#This Row],[FOUL TVB]:[FOUL DE EIXO]],1)&gt;0,0,CADO_EMPREGOS_2022[[#This Row],[NOTA SEM FOULS]])),"")</f>
        <v>8.4600000000000009</v>
      </c>
      <c r="AK151" s="34">
        <f>IF(CADO_EMPREGOS_2022[[#This Row],[MODALIDADE]]="TT",CADO_EMPREGOS_2022[[#This Row],[NOTA ACERTOS]],IF(COUNTA(CADO_EMPREGOS_2022[[#This Row],[MODALIDADE]])=0,"",CADO_EMPREGOS_2022[[#This Row],[NOTA DISTÂNCIA]]))</f>
        <v>8.4600000000000009</v>
      </c>
      <c r="AL151" s="34">
        <f>IF(AND(CADO_EMPREGOS_2022[[#This Row],[MODALIDADE]]="BRB",CADO_EMPREGOS_2022[[#This Row],[TVB]]&lt;=3),1,0)</f>
        <v>0</v>
      </c>
      <c r="AM15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5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51" s="34">
        <f>IFERROR(IF(CADO_EMPREGOS_2022[[#This Row],[ALTURA DE RECUPERAÇÃO (FT)]]&lt;VLOOKUP(CADO_EMPREGOS_2022[[#This Row],[MODALIDADE]],Dados!$R$3:$AB$16,10,FALSE),1,0),"")</f>
        <v>0</v>
      </c>
      <c r="AP15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5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51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51" s="34" cm="1">
        <f t="array" ref="AS15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8.4600000000000009</v>
      </c>
      <c r="AT151" s="34" t="s">
        <v>174</v>
      </c>
    </row>
    <row r="152" spans="1:46" x14ac:dyDescent="0.25">
      <c r="A152" s="35">
        <v>44687</v>
      </c>
      <c r="B152" s="36">
        <v>0.57638888888888895</v>
      </c>
      <c r="C152" s="34" t="s">
        <v>187</v>
      </c>
      <c r="D152" s="34" t="s">
        <v>102</v>
      </c>
      <c r="E152" s="34">
        <v>5920</v>
      </c>
      <c r="F152" s="34" t="s">
        <v>133</v>
      </c>
      <c r="G152" s="34">
        <v>2</v>
      </c>
      <c r="H152" s="34" t="s">
        <v>158</v>
      </c>
      <c r="I152" s="34" t="s">
        <v>175</v>
      </c>
      <c r="J152" s="34" t="s">
        <v>176</v>
      </c>
      <c r="K152" s="34">
        <v>1</v>
      </c>
      <c r="L152" s="34" t="s">
        <v>149</v>
      </c>
      <c r="M152" s="34" t="s">
        <v>163</v>
      </c>
      <c r="N152" s="34" t="s">
        <v>179</v>
      </c>
      <c r="O152" s="34" t="s">
        <v>184</v>
      </c>
      <c r="P152" s="34" t="s">
        <v>177</v>
      </c>
      <c r="Q152" s="34" t="s">
        <v>180</v>
      </c>
      <c r="R152" s="37">
        <v>-7</v>
      </c>
      <c r="S152" s="37">
        <v>3</v>
      </c>
      <c r="T152" s="34">
        <v>6.3</v>
      </c>
      <c r="U152" s="34">
        <v>8.1999999999999993</v>
      </c>
      <c r="V152" s="34" t="s">
        <v>145</v>
      </c>
      <c r="W152" s="34" t="s">
        <v>145</v>
      </c>
      <c r="X152" s="34" t="s">
        <v>145</v>
      </c>
      <c r="Y152" s="37">
        <v>-15</v>
      </c>
      <c r="Z152" s="34">
        <v>240</v>
      </c>
      <c r="AA152" s="39" t="s">
        <v>145</v>
      </c>
      <c r="AB152" s="34" t="s">
        <v>145</v>
      </c>
      <c r="AC152" s="34">
        <v>1230</v>
      </c>
      <c r="AD152" s="34">
        <v>1300</v>
      </c>
      <c r="AE152" s="34">
        <v>135</v>
      </c>
      <c r="AF152" s="34">
        <v>137</v>
      </c>
      <c r="AG152" s="34">
        <v>5</v>
      </c>
      <c r="AH152" s="34">
        <f>IF(CADO_EMPREGOS_2022[[#This Row],[ABORTIVA]]="METEORO","",IF(COUNTA(CADO_EMPREGOS_2022[[#This Row],[TRANSGRESSÕES]])&gt;0,0,CADO_EMPREGOS_2022[[#This Row],[NOTA COM PENALIDADES (FOULS)]]))</f>
        <v>0</v>
      </c>
      <c r="AI152" s="34"/>
      <c r="AJ152" s="34">
        <f>IFERROR(IF(CADO_EMPREGOS_2022[[#This Row],[NOTA SEM FOULS]]=0,0,IF(COUNTIF(CADO_EMPREGOS_2022[[#This Row],[FOUL TVB]:[FOUL DE EIXO]],1)&gt;0,0,CADO_EMPREGOS_2022[[#This Row],[NOTA SEM FOULS]])),"")</f>
        <v>0</v>
      </c>
      <c r="AK152" s="34">
        <f>IF(CADO_EMPREGOS_2022[[#This Row],[MODALIDADE]]="TT",CADO_EMPREGOS_2022[[#This Row],[NOTA ACERTOS]],IF(COUNTA(CADO_EMPREGOS_2022[[#This Row],[MODALIDADE]])=0,"",CADO_EMPREGOS_2022[[#This Row],[NOTA DISTÂNCIA]]))</f>
        <v>9.3699999999999992</v>
      </c>
      <c r="AL152" s="34">
        <f>IF(AND(CADO_EMPREGOS_2022[[#This Row],[MODALIDADE]]="BRB",CADO_EMPREGOS_2022[[#This Row],[TVB]]&lt;=3),1,0)</f>
        <v>0</v>
      </c>
      <c r="AM15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5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52" s="34">
        <f>IFERROR(IF(CADO_EMPREGOS_2022[[#This Row],[ALTURA DE RECUPERAÇÃO (FT)]]&lt;VLOOKUP(CADO_EMPREGOS_2022[[#This Row],[MODALIDADE]],Dados!$R$3:$AB$16,10,FALSE),1,0),"")</f>
        <v>1</v>
      </c>
      <c r="AP15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5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52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52" s="34" cm="1">
        <f t="array" ref="AS15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9.3699999999999992</v>
      </c>
      <c r="AT152" s="34" t="s">
        <v>174</v>
      </c>
    </row>
    <row r="153" spans="1:46" x14ac:dyDescent="0.25">
      <c r="A153" s="35">
        <v>44687</v>
      </c>
      <c r="B153" s="36">
        <v>0.57638888888888895</v>
      </c>
      <c r="C153" s="34" t="s">
        <v>187</v>
      </c>
      <c r="D153" s="34" t="s">
        <v>102</v>
      </c>
      <c r="E153" s="34">
        <v>5920</v>
      </c>
      <c r="F153" s="34" t="s">
        <v>133</v>
      </c>
      <c r="G153" s="34">
        <v>2</v>
      </c>
      <c r="H153" s="34" t="s">
        <v>158</v>
      </c>
      <c r="I153" s="34" t="s">
        <v>175</v>
      </c>
      <c r="J153" s="34" t="s">
        <v>176</v>
      </c>
      <c r="K153" s="34">
        <v>1</v>
      </c>
      <c r="L153" s="34" t="s">
        <v>149</v>
      </c>
      <c r="M153" s="34" t="s">
        <v>163</v>
      </c>
      <c r="N153" s="34" t="s">
        <v>179</v>
      </c>
      <c r="O153" s="34" t="s">
        <v>184</v>
      </c>
      <c r="P153" s="34" t="s">
        <v>177</v>
      </c>
      <c r="Q153" s="34" t="s">
        <v>180</v>
      </c>
      <c r="R153" s="37">
        <v>0</v>
      </c>
      <c r="S153" s="37">
        <v>0</v>
      </c>
      <c r="T153" s="34">
        <v>0</v>
      </c>
      <c r="U153" s="34">
        <v>0</v>
      </c>
      <c r="V153" s="34" t="s">
        <v>145</v>
      </c>
      <c r="W153" s="34" t="s">
        <v>145</v>
      </c>
      <c r="X153" s="34" t="s">
        <v>145</v>
      </c>
      <c r="Y153" s="37">
        <v>-20.5</v>
      </c>
      <c r="Z153" s="34">
        <v>226</v>
      </c>
      <c r="AA153" s="39" t="s">
        <v>145</v>
      </c>
      <c r="AB153" s="34" t="s">
        <v>145</v>
      </c>
      <c r="AC153" s="34">
        <v>1650</v>
      </c>
      <c r="AD153" s="34">
        <v>1300</v>
      </c>
      <c r="AE153" s="34">
        <v>315</v>
      </c>
      <c r="AF153" s="34">
        <v>311</v>
      </c>
      <c r="AG153" s="34">
        <v>5</v>
      </c>
      <c r="AH153" s="34">
        <f>IF(CADO_EMPREGOS_2022[[#This Row],[ABORTIVA]]="METEORO","",IF(COUNTA(CADO_EMPREGOS_2022[[#This Row],[TRANSGRESSÕES]])&gt;0,0,CADO_EMPREGOS_2022[[#This Row],[NOTA COM PENALIDADES (FOULS)]]))</f>
        <v>10</v>
      </c>
      <c r="AI153" s="34"/>
      <c r="AJ153" s="34">
        <f>IFERROR(IF(CADO_EMPREGOS_2022[[#This Row],[NOTA SEM FOULS]]=0,0,IF(COUNTIF(CADO_EMPREGOS_2022[[#This Row],[FOUL TVB]:[FOUL DE EIXO]],1)&gt;0,0,CADO_EMPREGOS_2022[[#This Row],[NOTA SEM FOULS]])),"")</f>
        <v>10</v>
      </c>
      <c r="AK153" s="34">
        <f>IF(CADO_EMPREGOS_2022[[#This Row],[MODALIDADE]]="TT",CADO_EMPREGOS_2022[[#This Row],[NOTA ACERTOS]],IF(COUNTA(CADO_EMPREGOS_2022[[#This Row],[MODALIDADE]])=0,"",CADO_EMPREGOS_2022[[#This Row],[NOTA DISTÂNCIA]]))</f>
        <v>10</v>
      </c>
      <c r="AL153" s="34">
        <f>IF(AND(CADO_EMPREGOS_2022[[#This Row],[MODALIDADE]]="BRB",CADO_EMPREGOS_2022[[#This Row],[TVB]]&lt;=3),1,0)</f>
        <v>0</v>
      </c>
      <c r="AM153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53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53" s="34">
        <f>IFERROR(IF(CADO_EMPREGOS_2022[[#This Row],[ALTURA DE RECUPERAÇÃO (FT)]]&lt;VLOOKUP(CADO_EMPREGOS_2022[[#This Row],[MODALIDADE]],Dados!$R$3:$AB$16,10,FALSE),1,0),"")</f>
        <v>0</v>
      </c>
      <c r="AP153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53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53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53" s="34" cm="1">
        <f t="array" ref="AS153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53" s="34" t="s">
        <v>174</v>
      </c>
    </row>
    <row r="154" spans="1:46" x14ac:dyDescent="0.25">
      <c r="A154" s="35">
        <v>44686</v>
      </c>
      <c r="B154" s="36">
        <v>0.79166666666666663</v>
      </c>
      <c r="C154" s="34" t="s">
        <v>187</v>
      </c>
      <c r="D154" s="34" t="s">
        <v>102</v>
      </c>
      <c r="E154" s="34">
        <v>5920</v>
      </c>
      <c r="F154" s="34" t="s">
        <v>134</v>
      </c>
      <c r="G154" s="34">
        <v>2</v>
      </c>
      <c r="H154" s="34" t="s">
        <v>25</v>
      </c>
      <c r="I154" s="34" t="s">
        <v>175</v>
      </c>
      <c r="J154" s="34" t="s">
        <v>169</v>
      </c>
      <c r="K154" s="34">
        <v>1</v>
      </c>
      <c r="L154" s="34" t="s">
        <v>149</v>
      </c>
      <c r="M154" s="34" t="s">
        <v>163</v>
      </c>
      <c r="N154" s="34" t="s">
        <v>179</v>
      </c>
      <c r="O154" s="34" t="s">
        <v>184</v>
      </c>
      <c r="P154" s="34" t="s">
        <v>172</v>
      </c>
      <c r="Q154" s="34" t="s">
        <v>145</v>
      </c>
      <c r="R154" s="37" t="s">
        <v>145</v>
      </c>
      <c r="S154" s="37" t="s">
        <v>145</v>
      </c>
      <c r="T154" s="34" t="s">
        <v>145</v>
      </c>
      <c r="U154" s="34" t="s">
        <v>145</v>
      </c>
      <c r="V154" s="34">
        <v>30</v>
      </c>
      <c r="W154" s="34">
        <v>18</v>
      </c>
      <c r="X154" s="34">
        <v>0.6</v>
      </c>
      <c r="Y154" s="37">
        <v>-15.4</v>
      </c>
      <c r="Z154" s="34">
        <v>236</v>
      </c>
      <c r="AA154" s="39">
        <v>736</v>
      </c>
      <c r="AB154" s="34">
        <v>593</v>
      </c>
      <c r="AC154" s="34">
        <v>310</v>
      </c>
      <c r="AD154" s="34">
        <v>200</v>
      </c>
      <c r="AE154" s="34">
        <v>135</v>
      </c>
      <c r="AF154" s="34">
        <v>135</v>
      </c>
      <c r="AG154" s="34" t="s">
        <v>145</v>
      </c>
      <c r="AH154" s="34">
        <f>IF(CADO_EMPREGOS_2022[[#This Row],[ABORTIVA]]="METEORO","",IF(COUNTA(CADO_EMPREGOS_2022[[#This Row],[TRANSGRESSÕES]])&gt;0,0,CADO_EMPREGOS_2022[[#This Row],[NOTA COM PENALIDADES (FOULS)]]))</f>
        <v>6</v>
      </c>
      <c r="AI154" s="34"/>
      <c r="AJ154" s="34">
        <f>IFERROR(IF(CADO_EMPREGOS_2022[[#This Row],[NOTA SEM FOULS]]=0,0,IF(COUNTIF(CADO_EMPREGOS_2022[[#This Row],[FOUL TVB]:[FOUL DE EIXO]],1)&gt;0,0,CADO_EMPREGOS_2022[[#This Row],[NOTA SEM FOULS]])),"")</f>
        <v>6</v>
      </c>
      <c r="AK154" s="34">
        <f>IF(CADO_EMPREGOS_2022[[#This Row],[MODALIDADE]]="TT",CADO_EMPREGOS_2022[[#This Row],[NOTA ACERTOS]],IF(COUNTA(CADO_EMPREGOS_2022[[#This Row],[MODALIDADE]])=0,"",CADO_EMPREGOS_2022[[#This Row],[NOTA DISTÂNCIA]]))</f>
        <v>6</v>
      </c>
      <c r="AL154" s="34">
        <f>IF(AND(CADO_EMPREGOS_2022[[#This Row],[MODALIDADE]]="BRB",CADO_EMPREGOS_2022[[#This Row],[TVB]]&lt;=3),1,0)</f>
        <v>0</v>
      </c>
      <c r="AM154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54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54" s="34">
        <f>IFERROR(IF(CADO_EMPREGOS_2022[[#This Row],[ALTURA DE RECUPERAÇÃO (FT)]]&lt;VLOOKUP(CADO_EMPREGOS_2022[[#This Row],[MODALIDADE]],Dados!$R$3:$AB$16,10,FALSE),1,0),"")</f>
        <v>0</v>
      </c>
      <c r="AP154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54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54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6</v>
      </c>
      <c r="AS154" s="34" cm="1">
        <f t="array" ref="AS154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54" s="34" t="s">
        <v>174</v>
      </c>
    </row>
    <row r="155" spans="1:46" x14ac:dyDescent="0.25">
      <c r="A155" s="35">
        <v>44687</v>
      </c>
      <c r="B155" s="36">
        <v>0.57638888888888895</v>
      </c>
      <c r="C155" s="34" t="s">
        <v>187</v>
      </c>
      <c r="D155" s="34" t="s">
        <v>102</v>
      </c>
      <c r="E155" s="34">
        <v>5920</v>
      </c>
      <c r="F155" s="34" t="s">
        <v>133</v>
      </c>
      <c r="G155" s="34">
        <v>2</v>
      </c>
      <c r="H155" s="34" t="s">
        <v>25</v>
      </c>
      <c r="I155" s="34" t="s">
        <v>175</v>
      </c>
      <c r="J155" s="34" t="s">
        <v>169</v>
      </c>
      <c r="K155" s="34">
        <v>1</v>
      </c>
      <c r="L155" s="34" t="s">
        <v>149</v>
      </c>
      <c r="M155" s="34" t="s">
        <v>163</v>
      </c>
      <c r="N155" s="34" t="s">
        <v>179</v>
      </c>
      <c r="O155" s="34" t="s">
        <v>184</v>
      </c>
      <c r="P155" s="34" t="s">
        <v>172</v>
      </c>
      <c r="Q155" s="34" t="s">
        <v>145</v>
      </c>
      <c r="R155" s="37" t="s">
        <v>145</v>
      </c>
      <c r="S155" s="37" t="s">
        <v>145</v>
      </c>
      <c r="T155" s="34" t="s">
        <v>145</v>
      </c>
      <c r="U155" s="34" t="s">
        <v>145</v>
      </c>
      <c r="V155" s="34">
        <v>30</v>
      </c>
      <c r="W155" s="34">
        <v>26</v>
      </c>
      <c r="X155" s="34">
        <v>0.87</v>
      </c>
      <c r="Y155" s="37">
        <v>-17.5</v>
      </c>
      <c r="Z155" s="34">
        <v>238</v>
      </c>
      <c r="AA155" s="39">
        <v>715</v>
      </c>
      <c r="AB155" s="34">
        <v>594</v>
      </c>
      <c r="AC155" s="34">
        <v>370</v>
      </c>
      <c r="AD155" s="34">
        <v>200</v>
      </c>
      <c r="AE155" s="34">
        <v>135</v>
      </c>
      <c r="AF155" s="34">
        <v>138</v>
      </c>
      <c r="AG155" s="34" t="s">
        <v>145</v>
      </c>
      <c r="AH155" s="34">
        <f>IF(CADO_EMPREGOS_2022[[#This Row],[ABORTIVA]]="METEORO","",IF(COUNTA(CADO_EMPREGOS_2022[[#This Row],[TRANSGRESSÕES]])&gt;0,0,CADO_EMPREGOS_2022[[#This Row],[NOTA COM PENALIDADES (FOULS)]]))</f>
        <v>8.6666666666666679</v>
      </c>
      <c r="AI155" s="34"/>
      <c r="AJ155" s="34">
        <f>IFERROR(IF(CADO_EMPREGOS_2022[[#This Row],[NOTA SEM FOULS]]=0,0,IF(COUNTIF(CADO_EMPREGOS_2022[[#This Row],[FOUL TVB]:[FOUL DE EIXO]],1)&gt;0,0,CADO_EMPREGOS_2022[[#This Row],[NOTA SEM FOULS]])),"")</f>
        <v>8.6666666666666679</v>
      </c>
      <c r="AK155" s="34">
        <f>IF(CADO_EMPREGOS_2022[[#This Row],[MODALIDADE]]="TT",CADO_EMPREGOS_2022[[#This Row],[NOTA ACERTOS]],IF(COUNTA(CADO_EMPREGOS_2022[[#This Row],[MODALIDADE]])=0,"",CADO_EMPREGOS_2022[[#This Row],[NOTA DISTÂNCIA]]))</f>
        <v>8.6666666666666679</v>
      </c>
      <c r="AL155" s="34">
        <f>IF(AND(CADO_EMPREGOS_2022[[#This Row],[MODALIDADE]]="BRB",CADO_EMPREGOS_2022[[#This Row],[TVB]]&lt;=3),1,0)</f>
        <v>0</v>
      </c>
      <c r="AM155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55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55" s="34">
        <f>IFERROR(IF(CADO_EMPREGOS_2022[[#This Row],[ALTURA DE RECUPERAÇÃO (FT)]]&lt;VLOOKUP(CADO_EMPREGOS_2022[[#This Row],[MODALIDADE]],Dados!$R$3:$AB$16,10,FALSE),1,0),"")</f>
        <v>0</v>
      </c>
      <c r="AP155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55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55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8.6666666666666679</v>
      </c>
      <c r="AS155" s="34" cm="1">
        <f t="array" ref="AS155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55" s="34" t="s">
        <v>174</v>
      </c>
    </row>
    <row r="156" spans="1:46" x14ac:dyDescent="0.25">
      <c r="A156" s="35">
        <v>44686</v>
      </c>
      <c r="B156" s="36">
        <v>0.79166666666666663</v>
      </c>
      <c r="C156" s="34" t="s">
        <v>187</v>
      </c>
      <c r="D156" s="34" t="s">
        <v>200</v>
      </c>
      <c r="E156" s="34">
        <v>5920</v>
      </c>
      <c r="F156" s="34" t="s">
        <v>134</v>
      </c>
      <c r="G156" s="34">
        <v>2</v>
      </c>
      <c r="H156" s="34" t="s">
        <v>158</v>
      </c>
      <c r="I156" s="34" t="s">
        <v>175</v>
      </c>
      <c r="J156" s="34" t="s">
        <v>176</v>
      </c>
      <c r="K156" s="34">
        <v>1</v>
      </c>
      <c r="L156" s="34" t="s">
        <v>149</v>
      </c>
      <c r="M156" s="34" t="s">
        <v>163</v>
      </c>
      <c r="N156" s="34" t="s">
        <v>179</v>
      </c>
      <c r="O156" s="34" t="s">
        <v>184</v>
      </c>
      <c r="P156" s="34" t="s">
        <v>177</v>
      </c>
      <c r="Q156" s="34" t="s">
        <v>180</v>
      </c>
      <c r="R156" s="37">
        <v>18</v>
      </c>
      <c r="S156" s="37">
        <v>-7</v>
      </c>
      <c r="T156" s="34">
        <v>16</v>
      </c>
      <c r="U156" s="34">
        <v>12</v>
      </c>
      <c r="V156" s="34" t="s">
        <v>145</v>
      </c>
      <c r="W156" s="34" t="s">
        <v>145</v>
      </c>
      <c r="X156" s="34" t="s">
        <v>145</v>
      </c>
      <c r="Y156" s="37">
        <v>-18.399999999999999</v>
      </c>
      <c r="Z156" s="34">
        <v>250</v>
      </c>
      <c r="AA156" s="39" t="s">
        <v>145</v>
      </c>
      <c r="AB156" s="34" t="s">
        <v>145</v>
      </c>
      <c r="AC156" s="34">
        <v>2510</v>
      </c>
      <c r="AD156" s="34">
        <v>1300</v>
      </c>
      <c r="AE156" s="34">
        <v>135</v>
      </c>
      <c r="AF156" s="34">
        <v>137</v>
      </c>
      <c r="AG156" s="34">
        <v>7</v>
      </c>
      <c r="AH156" s="34">
        <f>IF(CADO_EMPREGOS_2022[[#This Row],[ABORTIVA]]="METEORO","",IF(COUNTA(CADO_EMPREGOS_2022[[#This Row],[TRANSGRESSÕES]])&gt;0,0,CADO_EMPREGOS_2022[[#This Row],[NOTA COM PENALIDADES (FOULS)]]))</f>
        <v>8.4</v>
      </c>
      <c r="AI156" s="34"/>
      <c r="AJ156" s="34">
        <f>IFERROR(IF(CADO_EMPREGOS_2022[[#This Row],[NOTA SEM FOULS]]=0,0,IF(COUNTIF(CADO_EMPREGOS_2022[[#This Row],[FOUL TVB]:[FOUL DE EIXO]],1)&gt;0,0,CADO_EMPREGOS_2022[[#This Row],[NOTA SEM FOULS]])),"")</f>
        <v>8.4</v>
      </c>
      <c r="AK156" s="34">
        <f>IF(CADO_EMPREGOS_2022[[#This Row],[MODALIDADE]]="TT",CADO_EMPREGOS_2022[[#This Row],[NOTA ACERTOS]],IF(COUNTA(CADO_EMPREGOS_2022[[#This Row],[MODALIDADE]])=0,"",CADO_EMPREGOS_2022[[#This Row],[NOTA DISTÂNCIA]]))</f>
        <v>8.4</v>
      </c>
      <c r="AL156" s="34">
        <f>IF(AND(CADO_EMPREGOS_2022[[#This Row],[MODALIDADE]]="BRB",CADO_EMPREGOS_2022[[#This Row],[TVB]]&lt;=3),1,0)</f>
        <v>0</v>
      </c>
      <c r="AM156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56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56" s="34">
        <f>IFERROR(IF(CADO_EMPREGOS_2022[[#This Row],[ALTURA DE RECUPERAÇÃO (FT)]]&lt;VLOOKUP(CADO_EMPREGOS_2022[[#This Row],[MODALIDADE]],Dados!$R$3:$AB$16,10,FALSE),1,0),"")</f>
        <v>0</v>
      </c>
      <c r="AP156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56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56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56" s="34" cm="1">
        <f t="array" ref="AS156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8.4</v>
      </c>
      <c r="AT156" s="34" t="s">
        <v>174</v>
      </c>
    </row>
    <row r="157" spans="1:46" x14ac:dyDescent="0.25">
      <c r="A157" s="35">
        <v>44686</v>
      </c>
      <c r="B157" s="36">
        <v>0.79166666666666663</v>
      </c>
      <c r="C157" s="34" t="s">
        <v>187</v>
      </c>
      <c r="D157" s="34" t="s">
        <v>200</v>
      </c>
      <c r="E157" s="34">
        <v>5920</v>
      </c>
      <c r="F157" s="34" t="s">
        <v>134</v>
      </c>
      <c r="G157" s="34">
        <v>2</v>
      </c>
      <c r="H157" s="34" t="s">
        <v>158</v>
      </c>
      <c r="I157" s="34" t="s">
        <v>175</v>
      </c>
      <c r="J157" s="34" t="s">
        <v>176</v>
      </c>
      <c r="K157" s="34">
        <v>1</v>
      </c>
      <c r="L157" s="34" t="s">
        <v>149</v>
      </c>
      <c r="M157" s="34" t="s">
        <v>163</v>
      </c>
      <c r="N157" s="34" t="s">
        <v>179</v>
      </c>
      <c r="O157" s="34" t="s">
        <v>184</v>
      </c>
      <c r="P157" s="34" t="s">
        <v>177</v>
      </c>
      <c r="Q157" s="34" t="s">
        <v>180</v>
      </c>
      <c r="R157" s="37">
        <v>18</v>
      </c>
      <c r="S157" s="37">
        <v>-7</v>
      </c>
      <c r="T157" s="34">
        <v>16</v>
      </c>
      <c r="U157" s="34">
        <v>12</v>
      </c>
      <c r="V157" s="34" t="s">
        <v>145</v>
      </c>
      <c r="W157" s="34" t="s">
        <v>145</v>
      </c>
      <c r="X157" s="34" t="s">
        <v>145</v>
      </c>
      <c r="Y157" s="37">
        <v>-18.3</v>
      </c>
      <c r="Z157" s="34">
        <v>250</v>
      </c>
      <c r="AA157" s="39" t="s">
        <v>145</v>
      </c>
      <c r="AB157" s="34" t="s">
        <v>145</v>
      </c>
      <c r="AC157" s="34">
        <v>2510</v>
      </c>
      <c r="AD157" s="34">
        <v>1300</v>
      </c>
      <c r="AE157" s="34">
        <v>135</v>
      </c>
      <c r="AF157" s="34">
        <v>137</v>
      </c>
      <c r="AG157" s="34">
        <v>7</v>
      </c>
      <c r="AH157" s="34">
        <f>IF(CADO_EMPREGOS_2022[[#This Row],[ABORTIVA]]="METEORO","",IF(COUNTA(CADO_EMPREGOS_2022[[#This Row],[TRANSGRESSÕES]])&gt;0,0,CADO_EMPREGOS_2022[[#This Row],[NOTA COM PENALIDADES (FOULS)]]))</f>
        <v>8.4</v>
      </c>
      <c r="AI157" s="34"/>
      <c r="AJ157" s="34">
        <f>IFERROR(IF(CADO_EMPREGOS_2022[[#This Row],[NOTA SEM FOULS]]=0,0,IF(COUNTIF(CADO_EMPREGOS_2022[[#This Row],[FOUL TVB]:[FOUL DE EIXO]],1)&gt;0,0,CADO_EMPREGOS_2022[[#This Row],[NOTA SEM FOULS]])),"")</f>
        <v>8.4</v>
      </c>
      <c r="AK157" s="34">
        <f>IF(CADO_EMPREGOS_2022[[#This Row],[MODALIDADE]]="TT",CADO_EMPREGOS_2022[[#This Row],[NOTA ACERTOS]],IF(COUNTA(CADO_EMPREGOS_2022[[#This Row],[MODALIDADE]])=0,"",CADO_EMPREGOS_2022[[#This Row],[NOTA DISTÂNCIA]]))</f>
        <v>8.4</v>
      </c>
      <c r="AL157" s="34">
        <f>IF(AND(CADO_EMPREGOS_2022[[#This Row],[MODALIDADE]]="BRB",CADO_EMPREGOS_2022[[#This Row],[TVB]]&lt;=3),1,0)</f>
        <v>0</v>
      </c>
      <c r="AM157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57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57" s="34">
        <f>IFERROR(IF(CADO_EMPREGOS_2022[[#This Row],[ALTURA DE RECUPERAÇÃO (FT)]]&lt;VLOOKUP(CADO_EMPREGOS_2022[[#This Row],[MODALIDADE]],Dados!$R$3:$AB$16,10,FALSE),1,0),"")</f>
        <v>0</v>
      </c>
      <c r="AP157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57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57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57" s="34" cm="1">
        <f t="array" ref="AS157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8.4</v>
      </c>
      <c r="AT157" s="34" t="s">
        <v>174</v>
      </c>
    </row>
    <row r="158" spans="1:46" x14ac:dyDescent="0.25">
      <c r="A158" s="35">
        <v>44686</v>
      </c>
      <c r="B158" s="36">
        <v>0.79166666666666663</v>
      </c>
      <c r="C158" s="34" t="s">
        <v>187</v>
      </c>
      <c r="D158" s="34" t="s">
        <v>200</v>
      </c>
      <c r="E158" s="34">
        <v>5920</v>
      </c>
      <c r="F158" s="34" t="s">
        <v>134</v>
      </c>
      <c r="G158" s="34">
        <v>2</v>
      </c>
      <c r="H158" s="34" t="s">
        <v>158</v>
      </c>
      <c r="I158" s="34" t="s">
        <v>175</v>
      </c>
      <c r="J158" s="34" t="s">
        <v>176</v>
      </c>
      <c r="K158" s="34">
        <v>1</v>
      </c>
      <c r="L158" s="34" t="s">
        <v>149</v>
      </c>
      <c r="M158" s="34" t="s">
        <v>163</v>
      </c>
      <c r="N158" s="34" t="s">
        <v>179</v>
      </c>
      <c r="O158" s="34" t="s">
        <v>184</v>
      </c>
      <c r="P158" s="34" t="s">
        <v>177</v>
      </c>
      <c r="Q158" s="34" t="s">
        <v>180</v>
      </c>
      <c r="R158" s="37">
        <v>-5</v>
      </c>
      <c r="S158" s="37">
        <v>-10</v>
      </c>
      <c r="T158" s="34">
        <v>9</v>
      </c>
      <c r="U158" s="34">
        <v>11</v>
      </c>
      <c r="V158" s="34" t="s">
        <v>145</v>
      </c>
      <c r="W158" s="34" t="s">
        <v>145</v>
      </c>
      <c r="X158" s="34" t="s">
        <v>145</v>
      </c>
      <c r="Y158" s="37">
        <v>-21.5</v>
      </c>
      <c r="Z158" s="34">
        <v>228</v>
      </c>
      <c r="AA158" s="39" t="s">
        <v>145</v>
      </c>
      <c r="AB158" s="34" t="s">
        <v>145</v>
      </c>
      <c r="AC158" s="34">
        <v>2660</v>
      </c>
      <c r="AD158" s="34">
        <v>1300</v>
      </c>
      <c r="AE158" s="34">
        <v>315</v>
      </c>
      <c r="AF158" s="34">
        <v>316</v>
      </c>
      <c r="AG158" s="34">
        <v>7</v>
      </c>
      <c r="AH158" s="34">
        <f>IF(CADO_EMPREGOS_2022[[#This Row],[ABORTIVA]]="METEORO","",IF(COUNTA(CADO_EMPREGOS_2022[[#This Row],[TRANSGRESSÕES]])&gt;0,0,CADO_EMPREGOS_2022[[#This Row],[NOTA COM PENALIDADES (FOULS)]]))</f>
        <v>9.1</v>
      </c>
      <c r="AI158" s="34"/>
      <c r="AJ158" s="34">
        <f>IFERROR(IF(CADO_EMPREGOS_2022[[#This Row],[NOTA SEM FOULS]]=0,0,IF(COUNTIF(CADO_EMPREGOS_2022[[#This Row],[FOUL TVB]:[FOUL DE EIXO]],1)&gt;0,0,CADO_EMPREGOS_2022[[#This Row],[NOTA SEM FOULS]])),"")</f>
        <v>9.1</v>
      </c>
      <c r="AK158" s="34">
        <f>IF(CADO_EMPREGOS_2022[[#This Row],[MODALIDADE]]="TT",CADO_EMPREGOS_2022[[#This Row],[NOTA ACERTOS]],IF(COUNTA(CADO_EMPREGOS_2022[[#This Row],[MODALIDADE]])=0,"",CADO_EMPREGOS_2022[[#This Row],[NOTA DISTÂNCIA]]))</f>
        <v>9.1</v>
      </c>
      <c r="AL158" s="34">
        <f>IF(AND(CADO_EMPREGOS_2022[[#This Row],[MODALIDADE]]="BRB",CADO_EMPREGOS_2022[[#This Row],[TVB]]&lt;=3),1,0)</f>
        <v>0</v>
      </c>
      <c r="AM158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58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58" s="34">
        <f>IFERROR(IF(CADO_EMPREGOS_2022[[#This Row],[ALTURA DE RECUPERAÇÃO (FT)]]&lt;VLOOKUP(CADO_EMPREGOS_2022[[#This Row],[MODALIDADE]],Dados!$R$3:$AB$16,10,FALSE),1,0),"")</f>
        <v>0</v>
      </c>
      <c r="AP158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58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58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58" s="34" cm="1">
        <f t="array" ref="AS158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9.1</v>
      </c>
      <c r="AT158" s="34" t="s">
        <v>174</v>
      </c>
    </row>
    <row r="159" spans="1:46" x14ac:dyDescent="0.25">
      <c r="A159" s="35">
        <v>44699</v>
      </c>
      <c r="B159" s="36">
        <v>0.36805555555555558</v>
      </c>
      <c r="C159" s="34" t="s">
        <v>187</v>
      </c>
      <c r="D159" s="34" t="s">
        <v>130</v>
      </c>
      <c r="E159" s="34">
        <v>5959</v>
      </c>
      <c r="F159" s="34" t="s">
        <v>132</v>
      </c>
      <c r="G159" s="34">
        <v>3</v>
      </c>
      <c r="H159" s="34" t="s">
        <v>158</v>
      </c>
      <c r="I159" s="34" t="s">
        <v>175</v>
      </c>
      <c r="J159" s="34" t="s">
        <v>176</v>
      </c>
      <c r="K159" s="34">
        <v>1</v>
      </c>
      <c r="L159" s="34" t="s">
        <v>149</v>
      </c>
      <c r="M159" s="34" t="s">
        <v>163</v>
      </c>
      <c r="N159" s="34" t="s">
        <v>179</v>
      </c>
      <c r="O159" s="34" t="s">
        <v>184</v>
      </c>
      <c r="P159" s="34" t="s">
        <v>177</v>
      </c>
      <c r="Q159" s="34" t="s">
        <v>180</v>
      </c>
      <c r="R159" s="37">
        <v>-8</v>
      </c>
      <c r="S159" s="37">
        <v>23</v>
      </c>
      <c r="T159" s="34">
        <v>19.2</v>
      </c>
      <c r="U159" s="34">
        <v>11.1</v>
      </c>
      <c r="V159" s="34" t="s">
        <v>145</v>
      </c>
      <c r="W159" s="34" t="s">
        <v>145</v>
      </c>
      <c r="X159" s="34" t="s">
        <v>145</v>
      </c>
      <c r="Y159" s="37">
        <v>-20.7</v>
      </c>
      <c r="Z159" s="34">
        <v>242</v>
      </c>
      <c r="AA159" s="39" t="s">
        <v>145</v>
      </c>
      <c r="AB159" s="34" t="s">
        <v>145</v>
      </c>
      <c r="AC159" s="34">
        <v>2420</v>
      </c>
      <c r="AD159" s="34">
        <v>1300</v>
      </c>
      <c r="AE159" s="34">
        <v>315</v>
      </c>
      <c r="AF159" s="34">
        <v>315</v>
      </c>
      <c r="AG159" s="34">
        <v>8</v>
      </c>
      <c r="AH159" s="34">
        <f>IF(CADO_EMPREGOS_2022[[#This Row],[ABORTIVA]]="METEORO","",IF(COUNTA(CADO_EMPREGOS_2022[[#This Row],[TRANSGRESSÕES]])&gt;0,0,CADO_EMPREGOS_2022[[#This Row],[NOTA COM PENALIDADES (FOULS)]]))</f>
        <v>8.08</v>
      </c>
      <c r="AI159" s="34"/>
      <c r="AJ159" s="34">
        <f>IFERROR(IF(CADO_EMPREGOS_2022[[#This Row],[NOTA SEM FOULS]]=0,0,IF(COUNTIF(CADO_EMPREGOS_2022[[#This Row],[FOUL TVB]:[FOUL DE EIXO]],1)&gt;0,0,CADO_EMPREGOS_2022[[#This Row],[NOTA SEM FOULS]])),"")</f>
        <v>8.08</v>
      </c>
      <c r="AK159" s="34">
        <f>IF(CADO_EMPREGOS_2022[[#This Row],[MODALIDADE]]="TT",CADO_EMPREGOS_2022[[#This Row],[NOTA ACERTOS]],IF(COUNTA(CADO_EMPREGOS_2022[[#This Row],[MODALIDADE]])=0,"",CADO_EMPREGOS_2022[[#This Row],[NOTA DISTÂNCIA]]))</f>
        <v>8.08</v>
      </c>
      <c r="AL159" s="34">
        <f>IF(AND(CADO_EMPREGOS_2022[[#This Row],[MODALIDADE]]="BRB",CADO_EMPREGOS_2022[[#This Row],[TVB]]&lt;=3),1,0)</f>
        <v>0</v>
      </c>
      <c r="AM159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59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59" s="34">
        <f>IFERROR(IF(CADO_EMPREGOS_2022[[#This Row],[ALTURA DE RECUPERAÇÃO (FT)]]&lt;VLOOKUP(CADO_EMPREGOS_2022[[#This Row],[MODALIDADE]],Dados!$R$3:$AB$16,10,FALSE),1,0),"")</f>
        <v>0</v>
      </c>
      <c r="AP159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59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59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59" s="34" cm="1">
        <f t="array" ref="AS159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8.08</v>
      </c>
      <c r="AT159" s="34" t="s">
        <v>174</v>
      </c>
    </row>
    <row r="160" spans="1:46" x14ac:dyDescent="0.25">
      <c r="A160" s="35">
        <v>44699</v>
      </c>
      <c r="B160" s="36">
        <v>0.36805555555555558</v>
      </c>
      <c r="C160" s="34" t="s">
        <v>187</v>
      </c>
      <c r="D160" s="34" t="s">
        <v>130</v>
      </c>
      <c r="E160" s="34">
        <v>5959</v>
      </c>
      <c r="F160" s="34" t="s">
        <v>132</v>
      </c>
      <c r="G160" s="34">
        <v>3</v>
      </c>
      <c r="H160" s="34" t="s">
        <v>158</v>
      </c>
      <c r="I160" s="34" t="s">
        <v>175</v>
      </c>
      <c r="J160" s="34" t="s">
        <v>176</v>
      </c>
      <c r="K160" s="34">
        <v>1</v>
      </c>
      <c r="L160" s="34" t="s">
        <v>149</v>
      </c>
      <c r="M160" s="34" t="s">
        <v>163</v>
      </c>
      <c r="N160" s="34" t="s">
        <v>179</v>
      </c>
      <c r="O160" s="34" t="s">
        <v>184</v>
      </c>
      <c r="P160" s="34" t="s">
        <v>177</v>
      </c>
      <c r="Q160" s="34" t="s">
        <v>180</v>
      </c>
      <c r="R160" s="37">
        <v>-21</v>
      </c>
      <c r="S160" s="37">
        <v>16</v>
      </c>
      <c r="T160" s="34">
        <v>20.8</v>
      </c>
      <c r="U160" s="34">
        <v>6.3</v>
      </c>
      <c r="V160" s="34" t="s">
        <v>145</v>
      </c>
      <c r="W160" s="34" t="s">
        <v>145</v>
      </c>
      <c r="X160" s="34" t="s">
        <v>145</v>
      </c>
      <c r="Y160" s="37">
        <v>-19.899999999999999</v>
      </c>
      <c r="Z160" s="34">
        <v>247</v>
      </c>
      <c r="AA160" s="39" t="s">
        <v>145</v>
      </c>
      <c r="AB160" s="34" t="s">
        <v>145</v>
      </c>
      <c r="AC160" s="34">
        <v>2530</v>
      </c>
      <c r="AD160" s="34">
        <v>1300</v>
      </c>
      <c r="AE160" s="34">
        <v>135</v>
      </c>
      <c r="AF160" s="34">
        <v>139</v>
      </c>
      <c r="AG160" s="34">
        <v>7</v>
      </c>
      <c r="AH160" s="34">
        <f>IF(CADO_EMPREGOS_2022[[#This Row],[ABORTIVA]]="METEORO","",IF(COUNTA(CADO_EMPREGOS_2022[[#This Row],[TRANSGRESSÕES]])&gt;0,0,CADO_EMPREGOS_2022[[#This Row],[NOTA COM PENALIDADES (FOULS)]]))</f>
        <v>7.92</v>
      </c>
      <c r="AI160" s="34"/>
      <c r="AJ160" s="34">
        <f>IFERROR(IF(CADO_EMPREGOS_2022[[#This Row],[NOTA SEM FOULS]]=0,0,IF(COUNTIF(CADO_EMPREGOS_2022[[#This Row],[FOUL TVB]:[FOUL DE EIXO]],1)&gt;0,0,CADO_EMPREGOS_2022[[#This Row],[NOTA SEM FOULS]])),"")</f>
        <v>7.92</v>
      </c>
      <c r="AK160" s="34">
        <f>IF(CADO_EMPREGOS_2022[[#This Row],[MODALIDADE]]="TT",CADO_EMPREGOS_2022[[#This Row],[NOTA ACERTOS]],IF(COUNTA(CADO_EMPREGOS_2022[[#This Row],[MODALIDADE]])=0,"",CADO_EMPREGOS_2022[[#This Row],[NOTA DISTÂNCIA]]))</f>
        <v>7.92</v>
      </c>
      <c r="AL160" s="34">
        <f>IF(AND(CADO_EMPREGOS_2022[[#This Row],[MODALIDADE]]="BRB",CADO_EMPREGOS_2022[[#This Row],[TVB]]&lt;=3),1,0)</f>
        <v>0</v>
      </c>
      <c r="AM160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60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60" s="34">
        <f>IFERROR(IF(CADO_EMPREGOS_2022[[#This Row],[ALTURA DE RECUPERAÇÃO (FT)]]&lt;VLOOKUP(CADO_EMPREGOS_2022[[#This Row],[MODALIDADE]],Dados!$R$3:$AB$16,10,FALSE),1,0),"")</f>
        <v>0</v>
      </c>
      <c r="AP160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60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60" s="34" t="str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EMPREGO DE BOMBAS</v>
      </c>
      <c r="AS160" s="34" cm="1">
        <f t="array" ref="AS160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7.92</v>
      </c>
      <c r="AT160" s="34" t="s">
        <v>174</v>
      </c>
    </row>
    <row r="161" spans="1:46" x14ac:dyDescent="0.25">
      <c r="A161" s="35">
        <v>44698</v>
      </c>
      <c r="B161" s="36">
        <v>0.47222222222222227</v>
      </c>
      <c r="C161" s="34" t="s">
        <v>183</v>
      </c>
      <c r="D161" s="34" t="s">
        <v>130</v>
      </c>
      <c r="E161" s="34">
        <v>5934</v>
      </c>
      <c r="F161" s="34" t="s">
        <v>100</v>
      </c>
      <c r="G161" s="34">
        <v>3</v>
      </c>
      <c r="H161" s="34" t="s">
        <v>25</v>
      </c>
      <c r="I161" s="34" t="s">
        <v>175</v>
      </c>
      <c r="J161" s="34" t="s">
        <v>169</v>
      </c>
      <c r="K161" s="34">
        <v>0</v>
      </c>
      <c r="L161" s="34" t="s">
        <v>149</v>
      </c>
      <c r="M161" s="34" t="s">
        <v>163</v>
      </c>
      <c r="N161" s="34" t="s">
        <v>179</v>
      </c>
      <c r="O161" s="34" t="s">
        <v>184</v>
      </c>
      <c r="P161" s="34" t="s">
        <v>172</v>
      </c>
      <c r="Q161" s="34" t="s">
        <v>145</v>
      </c>
      <c r="R161" s="37" t="s">
        <v>145</v>
      </c>
      <c r="S161" s="37" t="s">
        <v>145</v>
      </c>
      <c r="T161" s="34" t="s">
        <v>145</v>
      </c>
      <c r="U161" s="34" t="s">
        <v>145</v>
      </c>
      <c r="V161" s="34">
        <v>30</v>
      </c>
      <c r="W161" s="34">
        <v>17</v>
      </c>
      <c r="X161" s="34">
        <v>0.56999999999999995</v>
      </c>
      <c r="Y161" s="37">
        <v>-13.8</v>
      </c>
      <c r="Z161" s="34">
        <v>244</v>
      </c>
      <c r="AA161" s="39">
        <v>750</v>
      </c>
      <c r="AB161" s="34">
        <v>574</v>
      </c>
      <c r="AC161" s="34">
        <v>280</v>
      </c>
      <c r="AD161" s="34">
        <v>200</v>
      </c>
      <c r="AE161" s="34">
        <v>135</v>
      </c>
      <c r="AF161" s="34">
        <v>135</v>
      </c>
      <c r="AG161" s="34" t="s">
        <v>145</v>
      </c>
      <c r="AH161" s="34">
        <f>IF(CADO_EMPREGOS_2022[[#This Row],[ABORTIVA]]="METEORO","",IF(COUNTA(CADO_EMPREGOS_2022[[#This Row],[TRANSGRESSÕES]])&gt;0,0,CADO_EMPREGOS_2022[[#This Row],[NOTA COM PENALIDADES (FOULS)]]))</f>
        <v>5.6666666666666661</v>
      </c>
      <c r="AI161" s="34"/>
      <c r="AJ161" s="34">
        <f>IFERROR(IF(CADO_EMPREGOS_2022[[#This Row],[NOTA SEM FOULS]]=0,0,IF(COUNTIF(CADO_EMPREGOS_2022[[#This Row],[FOUL TVB]:[FOUL DE EIXO]],1)&gt;0,0,CADO_EMPREGOS_2022[[#This Row],[NOTA SEM FOULS]])),"")</f>
        <v>5.6666666666666661</v>
      </c>
      <c r="AK161" s="34">
        <f>IF(CADO_EMPREGOS_2022[[#This Row],[MODALIDADE]]="TT",CADO_EMPREGOS_2022[[#This Row],[NOTA ACERTOS]],IF(COUNTA(CADO_EMPREGOS_2022[[#This Row],[MODALIDADE]])=0,"",CADO_EMPREGOS_2022[[#This Row],[NOTA DISTÂNCIA]]))</f>
        <v>5.6666666666666661</v>
      </c>
      <c r="AL161" s="34">
        <f>IF(AND(CADO_EMPREGOS_2022[[#This Row],[MODALIDADE]]="BRB",CADO_EMPREGOS_2022[[#This Row],[TVB]]&lt;=3),1,0)</f>
        <v>0</v>
      </c>
      <c r="AM161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61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61" s="34">
        <f>IFERROR(IF(CADO_EMPREGOS_2022[[#This Row],[ALTURA DE RECUPERAÇÃO (FT)]]&lt;VLOOKUP(CADO_EMPREGOS_2022[[#This Row],[MODALIDADE]],Dados!$R$3:$AB$16,10,FALSE),1,0),"")</f>
        <v>0</v>
      </c>
      <c r="AP161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61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61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5.6666666666666661</v>
      </c>
      <c r="AS161" s="34" cm="1">
        <f t="array" ref="AS161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61" s="34" t="s">
        <v>174</v>
      </c>
    </row>
    <row r="162" spans="1:46" x14ac:dyDescent="0.25">
      <c r="A162" s="35">
        <v>44699</v>
      </c>
      <c r="B162" s="36">
        <v>0.36805555555555558</v>
      </c>
      <c r="C162" s="34" t="s">
        <v>187</v>
      </c>
      <c r="D162" s="34" t="s">
        <v>130</v>
      </c>
      <c r="E162" s="34">
        <v>5959</v>
      </c>
      <c r="F162" s="34" t="s">
        <v>132</v>
      </c>
      <c r="G162" s="34">
        <v>3</v>
      </c>
      <c r="H162" s="34" t="s">
        <v>25</v>
      </c>
      <c r="I162" s="34" t="s">
        <v>175</v>
      </c>
      <c r="J162" s="34" t="s">
        <v>169</v>
      </c>
      <c r="K162" s="34">
        <v>0</v>
      </c>
      <c r="L162" s="34" t="s">
        <v>149</v>
      </c>
      <c r="M162" s="34" t="s">
        <v>163</v>
      </c>
      <c r="N162" s="34" t="s">
        <v>179</v>
      </c>
      <c r="O162" s="34" t="s">
        <v>184</v>
      </c>
      <c r="P162" s="34" t="s">
        <v>172</v>
      </c>
      <c r="Q162" s="34" t="s">
        <v>145</v>
      </c>
      <c r="R162" s="37" t="s">
        <v>145</v>
      </c>
      <c r="S162" s="37" t="s">
        <v>145</v>
      </c>
      <c r="T162" s="34" t="s">
        <v>145</v>
      </c>
      <c r="U162" s="34" t="s">
        <v>145</v>
      </c>
      <c r="V162" s="34">
        <v>30</v>
      </c>
      <c r="W162" s="34">
        <v>25</v>
      </c>
      <c r="X162" s="34">
        <v>0.83</v>
      </c>
      <c r="Y162" s="37">
        <v>-16.600000000000001</v>
      </c>
      <c r="Z162" s="34">
        <v>246</v>
      </c>
      <c r="AA162" s="39">
        <v>838</v>
      </c>
      <c r="AB162" s="34">
        <v>691</v>
      </c>
      <c r="AC162" s="34">
        <v>390</v>
      </c>
      <c r="AD162" s="34">
        <v>200</v>
      </c>
      <c r="AE162" s="34">
        <v>135</v>
      </c>
      <c r="AF162" s="34">
        <v>132</v>
      </c>
      <c r="AG162" s="34" t="s">
        <v>145</v>
      </c>
      <c r="AH162" s="34">
        <f>IF(CADO_EMPREGOS_2022[[#This Row],[ABORTIVA]]="METEORO","",IF(COUNTA(CADO_EMPREGOS_2022[[#This Row],[TRANSGRESSÕES]])&gt;0,0,CADO_EMPREGOS_2022[[#This Row],[NOTA COM PENALIDADES (FOULS)]]))</f>
        <v>8.3333333333333339</v>
      </c>
      <c r="AI162" s="34"/>
      <c r="AJ162" s="34">
        <f>IFERROR(IF(CADO_EMPREGOS_2022[[#This Row],[NOTA SEM FOULS]]=0,0,IF(COUNTIF(CADO_EMPREGOS_2022[[#This Row],[FOUL TVB]:[FOUL DE EIXO]],1)&gt;0,0,CADO_EMPREGOS_2022[[#This Row],[NOTA SEM FOULS]])),"")</f>
        <v>8.3333333333333339</v>
      </c>
      <c r="AK162" s="34">
        <f>IF(CADO_EMPREGOS_2022[[#This Row],[MODALIDADE]]="TT",CADO_EMPREGOS_2022[[#This Row],[NOTA ACERTOS]],IF(COUNTA(CADO_EMPREGOS_2022[[#This Row],[MODALIDADE]])=0,"",CADO_EMPREGOS_2022[[#This Row],[NOTA DISTÂNCIA]]))</f>
        <v>8.3333333333333339</v>
      </c>
      <c r="AL162" s="34">
        <f>IF(AND(CADO_EMPREGOS_2022[[#This Row],[MODALIDADE]]="BRB",CADO_EMPREGOS_2022[[#This Row],[TVB]]&lt;=3),1,0)</f>
        <v>0</v>
      </c>
      <c r="AM162" s="34">
        <f>IF(COUNTA(CADO_EMPREGOS_2022[[#This Row],[ÂNGULO DE MERGULHO]])=0,"",IF(OR(CADO_EMPREGOS_2022[[#This Row],[ÂNGULO DE MERGULHO]]&lt;VLOOKUP(CADO_EMPREGOS_2022[[#This Row],[MODALIDADE]],Dados!$R$3:$AB$16,5,0),CADO_EMPREGOS_2022[[#This Row],[ÂNGULO DE MERGULHO]]&gt;VLOOKUP(CADO_EMPREGOS_2022[[#This Row],[MODALIDADE]],Dados!$R$3:$AB$16,4,0)),1,0))</f>
        <v>0</v>
      </c>
      <c r="AN162" s="34">
        <f>IF(COUNTA(CADO_EMPREGOS_2022[[#This Row],[VELOCIDADE]])=0,"",IF(OR(CADO_EMPREGOS_2022[[#This Row],[VELOCIDADE]]&gt;VLOOKUP(CADO_EMPREGOS_2022[[#This Row],[MODALIDADE]],Dados!$R$3:$AB$16,3,FALSE),CADO_EMPREGOS_2022[[#This Row],[VELOCIDADE]]&lt;VLOOKUP(CADO_EMPREGOS_2022[[#This Row],[MODALIDADE]],Dados!$R$3:$AB$16,2,FALSE)),1,0))</f>
        <v>0</v>
      </c>
      <c r="AO162" s="34">
        <f>IFERROR(IF(CADO_EMPREGOS_2022[[#This Row],[ALTURA DE RECUPERAÇÃO (FT)]]&lt;VLOOKUP(CADO_EMPREGOS_2022[[#This Row],[MODALIDADE]],Dados!$R$3:$AB$16,10,FALSE),1,0),"")</f>
        <v>0</v>
      </c>
      <c r="AP162" s="34">
        <f>IF(CADO_EMPREGOS_2022[[#This Row],[MODALIDADE]]&lt;&gt;"TT",0,IF(OR(CADO_EMPREGOS_2022[[#This Row],[SLANT RANGE FINAL]]&lt;VLOOKUP(CADO_EMPREGOS_2022[[#This Row],[MODALIDADE]],Dados!$R$3:$AB$16,8,FALSE),CADO_EMPREGOS_2022[[#This Row],[SLANT RANGE INICIAL]]&gt;VLOOKUP(CADO_EMPREGOS_2022[[#This Row],[MODALIDADE]],Dados!$R$3:$AB$16,9,FALSE)),1,0))</f>
        <v>0</v>
      </c>
      <c r="AQ162" s="34">
        <f>IF(COUNT(CADO_EMPREGOS_2022[[#This Row],[EIXO PREVISTO]:[EIXO EMPREGADO]])=0,"",IF(AND(CADO_EMPREGOS_2022[[#This Row],[EIXO EMPREGADO]]&lt;=CADO_EMPREGOS_2022[[#This Row],[EIXO PREVISTO]]+15,CADO_EMPREGOS_2022[[#This Row],[EIXO EMPREGADO]]&gt;=CADO_EMPREGOS_2022[[#This Row],[EIXO PREVISTO]]-15),0,1))</f>
        <v>0</v>
      </c>
      <c r="AR162" s="34">
        <f>IF(COUNTA(CADO_EMPREGOS_2022[[#This Row],[MODALIDADE]])=0,"",IF(CADO_EMPREGOS_2022[[#This Row],[MODALIDADE]]="TT",IF(CADO_EMPREGOS_2022[[#This Row],[PASSE DE TREINAMENTO OU QUALIF]]="QUALIFICAÇÃO",(CADO_EMPREGOS_2022[[#This Row],[ACERTOS]]/30)*10,(CADO_EMPREGOS_2022[[#This Row],[ACERTOS]]/CADO_EMPREGOS_2022[[#This Row],[CARTUCHOS EMPREGADOS]])*10),"EMPREGO DE BOMBAS"))</f>
        <v>8.3333333333333339</v>
      </c>
      <c r="AS162" s="34" cm="1">
        <f t="array" ref="AS162">IF(CADO_EMPREGOS_2022[[#This Row],[MODALIDADE]]="TT",_xlfn.IFS(CADO_EMPREGOS_2022[[#This Row],[SLANT RANGE INICIAL]]&gt;VLOOKUP(CADO_EMPREGOS_2022[[#This Row],[MODALIDADE]],Dados!$R$3:$AB$16,9,0),0,OR(CADO_EMPREGOS_2022[[#This Row],[SLANT RANGE INICIAL]]&lt;VLOOKUP(CADO_EMPREGOS_2022[[#This Row],[MODALIDADE]],Dados!$R$3:$AB$16,8,0),CADO_EMPREGOS_2022[[#This Row],[SLANT RANGE FINAL]]&lt;VLOOKUP(CADO_EMPREGOS_2022[[#This Row],[MODALIDADE]],Dados!$R$3:$AB$16,8,0)),0,AND(CADO_EMPREGOS_2022[[#This Row],[SLANT RANGE INICIAL]]&lt;=VLOOKUP(CADO_EMPREGOS_2022[[#This Row],[MODALIDADE]],Dados!$R$3:$AB$16,9,0),CADO_EMPREGOS_2022[[#This Row],[SLANT RANGE FINAL]]&gt;=VLOOKUP(CADO_EMPREGOS_2022[[#This Row],[MODALIDADE]],Dados!$R$3:$AB$16,8,0)),10),IF(CADO_EMPREGOS_2022[[#This Row],[R/S]]="R",(PRODUCT(-0.1,CADO_EMPREGOS_2022[[#This Row],[DISTÂNCIA REAL (M)]])+10),""))</f>
        <v>10</v>
      </c>
      <c r="AT162" s="34" t="s">
        <v>174</v>
      </c>
    </row>
    <row r="177" spans="10:10" x14ac:dyDescent="0.25">
      <c r="J177" s="34"/>
    </row>
    <row r="178" spans="10:10" x14ac:dyDescent="0.25">
      <c r="J178" s="34"/>
    </row>
    <row r="179" spans="10:10" x14ac:dyDescent="0.25">
      <c r="J179" s="34"/>
    </row>
    <row r="180" spans="10:10" x14ac:dyDescent="0.25">
      <c r="J180" s="34"/>
    </row>
    <row r="181" spans="10:10" x14ac:dyDescent="0.25">
      <c r="J181" s="34"/>
    </row>
    <row r="182" spans="10:10" x14ac:dyDescent="0.25">
      <c r="J182" s="34"/>
    </row>
    <row r="183" spans="10:10" x14ac:dyDescent="0.25">
      <c r="J183" s="34"/>
    </row>
    <row r="184" spans="10:10" x14ac:dyDescent="0.25">
      <c r="J184" s="34"/>
    </row>
    <row r="185" spans="10:10" x14ac:dyDescent="0.25">
      <c r="J185" s="34"/>
    </row>
    <row r="186" spans="10:10" x14ac:dyDescent="0.25">
      <c r="J186" s="34"/>
    </row>
    <row r="187" spans="10:10" x14ac:dyDescent="0.25">
      <c r="J187" s="34"/>
    </row>
    <row r="188" spans="10:10" x14ac:dyDescent="0.25">
      <c r="J188" s="34"/>
    </row>
    <row r="189" spans="10:10" x14ac:dyDescent="0.25">
      <c r="J189" s="34"/>
    </row>
    <row r="190" spans="10:10" x14ac:dyDescent="0.25">
      <c r="J190" s="34"/>
    </row>
    <row r="191" spans="10:10" x14ac:dyDescent="0.25">
      <c r="J191" s="34"/>
    </row>
    <row r="192" spans="10:10" x14ac:dyDescent="0.25">
      <c r="J192" s="34"/>
    </row>
    <row r="193" spans="10:10" x14ac:dyDescent="0.25">
      <c r="J193" s="34"/>
    </row>
    <row r="194" spans="10:10" x14ac:dyDescent="0.25">
      <c r="J194" s="34"/>
    </row>
    <row r="195" spans="10:10" x14ac:dyDescent="0.25">
      <c r="J195" s="34"/>
    </row>
    <row r="196" spans="10:10" x14ac:dyDescent="0.25">
      <c r="J196" s="34"/>
    </row>
    <row r="197" spans="10:10" x14ac:dyDescent="0.25">
      <c r="J197" s="34"/>
    </row>
    <row r="198" spans="10:10" x14ac:dyDescent="0.25">
      <c r="J198" s="34"/>
    </row>
    <row r="199" spans="10:10" x14ac:dyDescent="0.25">
      <c r="J199" s="34"/>
    </row>
    <row r="200" spans="10:10" x14ac:dyDescent="0.25">
      <c r="J200" s="34"/>
    </row>
    <row r="201" spans="10:10" x14ac:dyDescent="0.25">
      <c r="J201" s="34"/>
    </row>
    <row r="202" spans="10:10" x14ac:dyDescent="0.25">
      <c r="J202" s="34"/>
    </row>
    <row r="203" spans="10:10" x14ac:dyDescent="0.25">
      <c r="J203" s="34"/>
    </row>
    <row r="204" spans="10:10" x14ac:dyDescent="0.25">
      <c r="J204" s="34"/>
    </row>
  </sheetData>
  <phoneticPr fontId="5" type="noConversion"/>
  <dataValidations count="10">
    <dataValidation type="list" allowBlank="1" showInputMessage="1" showErrorMessage="1" sqref="F2:F162" xr:uid="{00000000-0002-0000-0100-000000000000}">
      <formula1>"VERMELHO,AMARELO,CINZA,NEGRO,ESQUADRAO_ESC"</formula1>
    </dataValidation>
    <dataValidation type="list" allowBlank="1" showInputMessage="1" showErrorMessage="1" sqref="G2:G162" xr:uid="{00000000-0002-0000-0100-000001000000}">
      <formula1>"1,2,3,4,5,6,7,8,9,10"</formula1>
    </dataValidation>
    <dataValidation type="list" allowBlank="1" showInputMessage="1" showErrorMessage="1" sqref="I2:I162" xr:uid="{00000000-0002-0000-0100-000002000000}">
      <mc:AlternateContent xmlns:x12ac="http://schemas.microsoft.com/office/spreadsheetml/2011/1/ac" xmlns:mc="http://schemas.openxmlformats.org/markup-compatibility/2006">
        <mc:Choice Requires="x12ac">
          <x12ac:list>R,S,""""""</x12ac:list>
        </mc:Choice>
        <mc:Fallback>
          <formula1>"R,S,"""""</formula1>
        </mc:Fallback>
      </mc:AlternateContent>
    </dataValidation>
    <dataValidation type="list" allowBlank="1" showInputMessage="1" showErrorMessage="1" sqref="O2:O162" xr:uid="{00000000-0002-0000-0100-000003000000}">
      <formula1>"TREINAMENTO,QUALIFICAÇÃO"</formula1>
    </dataValidation>
    <dataValidation type="list" allowBlank="1" showInputMessage="1" showErrorMessage="1" sqref="J2:J162" xr:uid="{00000000-0002-0000-0100-000004000000}">
      <formula1>"BEX,CARTUCHOS,FOGUETES,BAFG230,BAFG120,-,"</formula1>
    </dataValidation>
    <dataValidation type="list" allowBlank="1" showInputMessage="1" showErrorMessage="1" sqref="L2:L162" xr:uid="{00000000-0002-0000-0100-000008000000}">
      <formula1>"SIM, NÃO, -"</formula1>
    </dataValidation>
    <dataValidation type="list" allowBlank="1" showInputMessage="1" showErrorMessage="1" sqref="M2:M162" xr:uid="{00000000-0002-0000-0100-000009000000}">
      <formula1>"OK,NOK"</formula1>
    </dataValidation>
    <dataValidation type="list" allowBlank="1" showInputMessage="1" showErrorMessage="1" sqref="N2:N162" xr:uid="{DB83842B-458C-438E-B565-001ACF67745B}">
      <formula1>"N, METEORO, ESTANDE, PESSOAL, OPERACIONAL"</formula1>
    </dataValidation>
    <dataValidation type="list" allowBlank="1" showInputMessage="1" showErrorMessage="1" sqref="P2:P162" xr:uid="{69257490-6509-469F-921F-7B39F11E0594}">
      <formula1>"BOMBA LANÇADA, BOMBA NÃO LANÇADA, BOMBA PRESA, GUNS OK, GUNS NÃO OK,BOMBA SIMULADA,FOGUETE LANÇADO,FOGUETE SIMULADO,GUNS SIMULADO,-"</formula1>
    </dataValidation>
    <dataValidation type="list" allowBlank="1" showInputMessage="1" showErrorMessage="1" sqref="Q2:Q162" xr:uid="{2FFCDC64-3568-42F8-99F2-49DA12BD6C0E}">
      <formula1>"BOMBA AVISTADA,BOMBA AVISTADA PARCIALMENTE, BOMBA NÃO AVISTADA,-, BOMBA PRESA"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1C7253-589F-4AC4-8461-A51BB1CCF04B}">
          <x14:formula1>
            <xm:f>Dados!$R$3:$R$16</xm:f>
          </x14:formula1>
          <xm:sqref>H2:H162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A3C5-3B9C-489F-8596-4F0018D685BF}">
  <dimension ref="A1:F32"/>
  <sheetViews>
    <sheetView workbookViewId="0">
      <selection activeCell="I3" sqref="I3"/>
    </sheetView>
  </sheetViews>
  <sheetFormatPr defaultRowHeight="15" x14ac:dyDescent="0.25"/>
  <cols>
    <col min="1" max="1" width="11.5703125" customWidth="1"/>
    <col min="2" max="2" width="12.85546875" customWidth="1"/>
    <col min="3" max="3" width="13.7109375" customWidth="1"/>
    <col min="4" max="4" width="15.28515625" customWidth="1"/>
    <col min="5" max="5" width="13.42578125" customWidth="1"/>
    <col min="6" max="6" width="18.7109375" customWidth="1"/>
  </cols>
  <sheetData>
    <row r="1" spans="1:6" x14ac:dyDescent="0.25">
      <c r="A1" s="34" t="s">
        <v>191</v>
      </c>
      <c r="B1" s="34" t="s">
        <v>247</v>
      </c>
      <c r="C1" s="34" t="s">
        <v>248</v>
      </c>
      <c r="D1" s="34" t="s">
        <v>251</v>
      </c>
      <c r="E1" s="34" t="s">
        <v>250</v>
      </c>
      <c r="F1" s="34" t="s">
        <v>194</v>
      </c>
    </row>
    <row r="2" spans="1:6" x14ac:dyDescent="0.25">
      <c r="A2" s="34" t="s">
        <v>123</v>
      </c>
      <c r="B2" s="34">
        <v>12</v>
      </c>
      <c r="C2" s="34">
        <v>7</v>
      </c>
      <c r="D2" s="37">
        <v>55</v>
      </c>
      <c r="E2" s="130">
        <f>Tabela1[[#This Row],[N° ACERTOS]]/Tabela1[[#This Row],[N° TIROS]]</f>
        <v>0.58333333333333337</v>
      </c>
      <c r="F2" s="34">
        <f>ROUND(SUM(PRODUCT(Tabela1[[#This Row],[N° ACERTOS]]/Tabela1[[#This Row],[TEMPO (S)]],50.00275),-2.130067),2)</f>
        <v>4.2300000000000004</v>
      </c>
    </row>
    <row r="3" spans="1:6" x14ac:dyDescent="0.25">
      <c r="A3" s="34" t="s">
        <v>115</v>
      </c>
      <c r="B3" s="34">
        <v>12</v>
      </c>
      <c r="C3" s="34">
        <v>9</v>
      </c>
      <c r="D3" s="37">
        <v>47.17</v>
      </c>
      <c r="E3" s="130">
        <f>Tabela1[[#This Row],[N° ACERTOS]]/Tabela1[[#This Row],[N° TIROS]]</f>
        <v>0.75</v>
      </c>
      <c r="F3" s="34">
        <f>ROUND(SUM(PRODUCT(Tabela1[[#This Row],[N° ACERTOS]]/Tabela1[[#This Row],[TEMPO (S)]],50.00275),-2.130067),2)</f>
        <v>7.41</v>
      </c>
    </row>
    <row r="4" spans="1:6" x14ac:dyDescent="0.25">
      <c r="A4" s="34" t="s">
        <v>120</v>
      </c>
      <c r="B4" s="34">
        <v>12</v>
      </c>
      <c r="C4" s="34">
        <v>9</v>
      </c>
      <c r="D4" s="37">
        <v>46.8</v>
      </c>
      <c r="E4" s="130">
        <f>Tabela1[[#This Row],[N° ACERTOS]]/Tabela1[[#This Row],[N° TIROS]]</f>
        <v>0.75</v>
      </c>
      <c r="F4" s="34">
        <f>ROUND(SUM(PRODUCT(Tabela1[[#This Row],[N° ACERTOS]]/Tabela1[[#This Row],[TEMPO (S)]],50.00275),-2.130067),2)</f>
        <v>7.49</v>
      </c>
    </row>
    <row r="5" spans="1:6" x14ac:dyDescent="0.25">
      <c r="A5" s="34" t="s">
        <v>104</v>
      </c>
      <c r="B5" s="34">
        <v>12</v>
      </c>
      <c r="C5" s="34">
        <v>11</v>
      </c>
      <c r="D5" s="37">
        <v>79</v>
      </c>
      <c r="E5" s="130">
        <f>Tabela1[[#This Row],[N° ACERTOS]]/Tabela1[[#This Row],[N° TIROS]]</f>
        <v>0.91666666666666663</v>
      </c>
      <c r="F5" s="34">
        <f>ROUND(SUM(PRODUCT(Tabela1[[#This Row],[N° ACERTOS]]/Tabela1[[#This Row],[TEMPO (S)]],50.00275),-2.130067),2)</f>
        <v>4.83</v>
      </c>
    </row>
    <row r="6" spans="1:6" x14ac:dyDescent="0.25">
      <c r="A6" s="34" t="s">
        <v>116</v>
      </c>
      <c r="B6" s="34">
        <v>12</v>
      </c>
      <c r="C6" s="34">
        <v>9</v>
      </c>
      <c r="D6" s="37">
        <v>64.61</v>
      </c>
      <c r="E6" s="130">
        <f>Tabela1[[#This Row],[N° ACERTOS]]/Tabela1[[#This Row],[N° TIROS]]</f>
        <v>0.75</v>
      </c>
      <c r="F6" s="34">
        <f>ROUND(SUM(PRODUCT(Tabela1[[#This Row],[N° ACERTOS]]/Tabela1[[#This Row],[TEMPO (S)]],50.00275),-2.130067),2)</f>
        <v>4.84</v>
      </c>
    </row>
    <row r="7" spans="1:6" x14ac:dyDescent="0.25">
      <c r="A7" s="34" t="s">
        <v>116</v>
      </c>
      <c r="B7" s="34">
        <v>12</v>
      </c>
      <c r="C7" s="34">
        <v>10</v>
      </c>
      <c r="D7" s="37">
        <v>83.82</v>
      </c>
      <c r="E7" s="130">
        <f>Tabela1[[#This Row],[N° ACERTOS]]/Tabela1[[#This Row],[N° TIROS]]</f>
        <v>0.83333333333333337</v>
      </c>
      <c r="F7" s="34">
        <f>ROUND(SUM(PRODUCT(Tabela1[[#This Row],[N° ACERTOS]]/Tabela1[[#This Row],[TEMPO (S)]],50.00275),-2.130067),2)</f>
        <v>3.84</v>
      </c>
    </row>
    <row r="8" spans="1:6" x14ac:dyDescent="0.25">
      <c r="A8" s="34" t="s">
        <v>121</v>
      </c>
      <c r="B8" s="34">
        <v>12</v>
      </c>
      <c r="C8" s="34">
        <v>9</v>
      </c>
      <c r="D8" s="37">
        <v>37.1</v>
      </c>
      <c r="E8" s="130">
        <f>Tabela1[[#This Row],[N° ACERTOS]]/Tabela1[[#This Row],[N° TIROS]]</f>
        <v>0.75</v>
      </c>
      <c r="F8" s="34">
        <f>ROUND(SUM(PRODUCT(Tabela1[[#This Row],[N° ACERTOS]]/Tabela1[[#This Row],[TEMPO (S)]],50.00275),-2.130067),2)</f>
        <v>10</v>
      </c>
    </row>
    <row r="9" spans="1:6" x14ac:dyDescent="0.25">
      <c r="A9" s="34" t="s">
        <v>114</v>
      </c>
      <c r="B9" s="34">
        <v>12</v>
      </c>
      <c r="C9" s="34">
        <v>9</v>
      </c>
      <c r="D9" s="37">
        <v>67.53</v>
      </c>
      <c r="E9" s="130">
        <f>Tabela1[[#This Row],[N° ACERTOS]]/Tabela1[[#This Row],[N° TIROS]]</f>
        <v>0.75</v>
      </c>
      <c r="F9" s="34">
        <f>ROUND(SUM(PRODUCT(Tabela1[[#This Row],[N° ACERTOS]]/Tabela1[[#This Row],[TEMPO (S)]],50.00275),-2.130067),2)</f>
        <v>4.53</v>
      </c>
    </row>
    <row r="10" spans="1:6" x14ac:dyDescent="0.25">
      <c r="A10" s="34" t="s">
        <v>117</v>
      </c>
      <c r="B10" s="34">
        <v>12</v>
      </c>
      <c r="C10" s="34">
        <v>8</v>
      </c>
      <c r="D10" s="37">
        <v>83</v>
      </c>
      <c r="E10" s="130">
        <f>Tabela1[[#This Row],[N° ACERTOS]]/Tabela1[[#This Row],[N° TIROS]]</f>
        <v>0.66666666666666663</v>
      </c>
      <c r="F10" s="34">
        <f>ROUND(SUM(PRODUCT(Tabela1[[#This Row],[N° ACERTOS]]/Tabela1[[#This Row],[TEMPO (S)]],50.00275),-2.130067),2)</f>
        <v>2.69</v>
      </c>
    </row>
    <row r="11" spans="1:6" x14ac:dyDescent="0.25">
      <c r="A11" s="34" t="s">
        <v>108</v>
      </c>
      <c r="B11" s="34">
        <v>12</v>
      </c>
      <c r="C11" s="34">
        <v>2</v>
      </c>
      <c r="D11" s="37">
        <v>46.95</v>
      </c>
      <c r="E11" s="130">
        <f>Tabela1[[#This Row],[N° ACERTOS]]/Tabela1[[#This Row],[N° TIROS]]</f>
        <v>0.16666666666666666</v>
      </c>
      <c r="F11" s="34">
        <f>ROUND(SUM(PRODUCT(Tabela1[[#This Row],[N° ACERTOS]]/Tabela1[[#This Row],[TEMPO (S)]],50.00275),-2.130067),2)</f>
        <v>0</v>
      </c>
    </row>
    <row r="12" spans="1:6" x14ac:dyDescent="0.25">
      <c r="A12" s="34" t="s">
        <v>112</v>
      </c>
      <c r="B12" s="34">
        <v>12</v>
      </c>
      <c r="C12" s="34">
        <v>9</v>
      </c>
      <c r="D12" s="37">
        <v>50.47</v>
      </c>
      <c r="E12" s="130">
        <f>Tabela1[[#This Row],[N° ACERTOS]]/Tabela1[[#This Row],[N° TIROS]]</f>
        <v>0.75</v>
      </c>
      <c r="F12" s="34">
        <f>ROUND(SUM(PRODUCT(Tabela1[[#This Row],[N° ACERTOS]]/Tabela1[[#This Row],[TEMPO (S)]],50.00275),-2.130067),2)</f>
        <v>6.79</v>
      </c>
    </row>
    <row r="13" spans="1:6" x14ac:dyDescent="0.25">
      <c r="A13" s="34" t="s">
        <v>107</v>
      </c>
      <c r="B13" s="34">
        <v>12</v>
      </c>
      <c r="C13" s="34">
        <v>9</v>
      </c>
      <c r="D13" s="37">
        <v>53.59</v>
      </c>
      <c r="E13" s="130">
        <f>Tabela1[[#This Row],[N° ACERTOS]]/Tabela1[[#This Row],[N° TIROS]]</f>
        <v>0.75</v>
      </c>
      <c r="F13" s="34">
        <f>ROUND(SUM(PRODUCT(Tabela1[[#This Row],[N° ACERTOS]]/Tabela1[[#This Row],[TEMPO (S)]],50.00275),-2.130067),2)</f>
        <v>6.27</v>
      </c>
    </row>
    <row r="14" spans="1:6" x14ac:dyDescent="0.25">
      <c r="A14" s="34" t="s">
        <v>127</v>
      </c>
      <c r="B14" s="34">
        <v>12</v>
      </c>
      <c r="C14" s="34">
        <v>8</v>
      </c>
      <c r="D14" s="37">
        <v>74</v>
      </c>
      <c r="E14" s="130">
        <f>Tabela1[[#This Row],[N° ACERTOS]]/Tabela1[[#This Row],[N° TIROS]]</f>
        <v>0.66666666666666663</v>
      </c>
      <c r="F14" s="34">
        <f>ROUND(SUM(PRODUCT(Tabela1[[#This Row],[N° ACERTOS]]/Tabela1[[#This Row],[TEMPO (S)]],50.00275),-2.130067),2)</f>
        <v>3.28</v>
      </c>
    </row>
    <row r="15" spans="1:6" x14ac:dyDescent="0.25">
      <c r="A15" s="34" t="s">
        <v>106</v>
      </c>
      <c r="B15" s="34">
        <v>12</v>
      </c>
      <c r="C15" s="34">
        <v>8</v>
      </c>
      <c r="D15" s="37">
        <v>70</v>
      </c>
      <c r="E15" s="130">
        <f>Tabela1[[#This Row],[N° ACERTOS]]/Tabela1[[#This Row],[N° TIROS]]</f>
        <v>0.66666666666666663</v>
      </c>
      <c r="F15" s="34">
        <f>ROUND(SUM(PRODUCT(Tabela1[[#This Row],[N° ACERTOS]]/Tabela1[[#This Row],[TEMPO (S)]],50.00275),-2.130067),2)</f>
        <v>3.58</v>
      </c>
    </row>
    <row r="16" spans="1:6" x14ac:dyDescent="0.25">
      <c r="A16" s="34" t="s">
        <v>110</v>
      </c>
      <c r="B16" s="34">
        <v>12</v>
      </c>
      <c r="C16" s="34">
        <v>8</v>
      </c>
      <c r="D16" s="37">
        <v>83</v>
      </c>
      <c r="E16" s="130">
        <f>Tabela1[[#This Row],[N° ACERTOS]]/Tabela1[[#This Row],[N° TIROS]]</f>
        <v>0.66666666666666663</v>
      </c>
      <c r="F16" s="34">
        <f>ROUND(SUM(PRODUCT(Tabela1[[#This Row],[N° ACERTOS]]/Tabela1[[#This Row],[TEMPO (S)]],50.00275),-2.130067),2)</f>
        <v>2.69</v>
      </c>
    </row>
    <row r="17" spans="1:6" x14ac:dyDescent="0.25">
      <c r="A17" s="34" t="s">
        <v>113</v>
      </c>
      <c r="B17" s="34">
        <v>12</v>
      </c>
      <c r="C17" s="34">
        <v>4</v>
      </c>
      <c r="D17" s="37">
        <v>66</v>
      </c>
      <c r="E17" s="130">
        <f>Tabela1[[#This Row],[N° ACERTOS]]/Tabela1[[#This Row],[N° TIROS]]</f>
        <v>0.33333333333333331</v>
      </c>
      <c r="F17" s="34">
        <f>ROUND(SUM(PRODUCT(Tabela1[[#This Row],[N° ACERTOS]]/Tabela1[[#This Row],[TEMPO (S)]],50.00275),-2.130067),2)</f>
        <v>0.9</v>
      </c>
    </row>
    <row r="18" spans="1:6" x14ac:dyDescent="0.25">
      <c r="A18" s="34" t="s">
        <v>124</v>
      </c>
      <c r="B18" s="34">
        <v>12</v>
      </c>
      <c r="C18" s="34">
        <v>6</v>
      </c>
      <c r="D18" s="37">
        <v>66</v>
      </c>
      <c r="E18" s="130">
        <f>Tabela1[[#This Row],[N° ACERTOS]]/Tabela1[[#This Row],[N° TIROS]]</f>
        <v>0.5</v>
      </c>
      <c r="F18" s="34">
        <f>ROUND(SUM(PRODUCT(Tabela1[[#This Row],[N° ACERTOS]]/Tabela1[[#This Row],[TEMPO (S)]],50.00275),-2.130067),2)</f>
        <v>2.42</v>
      </c>
    </row>
    <row r="19" spans="1:6" x14ac:dyDescent="0.25">
      <c r="A19" s="34" t="s">
        <v>119</v>
      </c>
      <c r="B19" s="34">
        <v>12</v>
      </c>
      <c r="C19" s="34">
        <v>9</v>
      </c>
      <c r="D19" s="37">
        <v>54</v>
      </c>
      <c r="E19" s="130">
        <f>Tabela1[[#This Row],[N° ACERTOS]]/Tabela1[[#This Row],[N° TIROS]]</f>
        <v>0.75</v>
      </c>
      <c r="F19" s="34">
        <f>ROUND(SUM(PRODUCT(Tabela1[[#This Row],[N° ACERTOS]]/Tabela1[[#This Row],[TEMPO (S)]],50.00275),-2.130067),2)</f>
        <v>6.2</v>
      </c>
    </row>
    <row r="20" spans="1:6" x14ac:dyDescent="0.25">
      <c r="A20" s="34" t="s">
        <v>122</v>
      </c>
      <c r="B20" s="34">
        <v>12</v>
      </c>
      <c r="C20" s="34">
        <v>10</v>
      </c>
      <c r="D20" s="37">
        <v>75</v>
      </c>
      <c r="E20" s="130">
        <f>Tabela1[[#This Row],[N° ACERTOS]]/Tabela1[[#This Row],[N° TIROS]]</f>
        <v>0.83333333333333337</v>
      </c>
      <c r="F20" s="34">
        <f>ROUND(SUM(PRODUCT(Tabela1[[#This Row],[N° ACERTOS]]/Tabela1[[#This Row],[TEMPO (S)]],50.00275),-2.130067),2)</f>
        <v>4.54</v>
      </c>
    </row>
    <row r="21" spans="1:6" x14ac:dyDescent="0.25">
      <c r="A21" s="34" t="s">
        <v>126</v>
      </c>
      <c r="B21" s="34">
        <v>12</v>
      </c>
      <c r="C21" s="34">
        <v>7</v>
      </c>
      <c r="D21" s="37">
        <v>59</v>
      </c>
      <c r="E21" s="130">
        <f>Tabela1[[#This Row],[N° ACERTOS]]/Tabela1[[#This Row],[N° TIROS]]</f>
        <v>0.58333333333333337</v>
      </c>
      <c r="F21" s="34">
        <f>ROUND(SUM(PRODUCT(Tabela1[[#This Row],[N° ACERTOS]]/Tabela1[[#This Row],[TEMPO (S)]],50.00275),-2.130067),2)</f>
        <v>3.8</v>
      </c>
    </row>
    <row r="22" spans="1:6" x14ac:dyDescent="0.25">
      <c r="A22" s="34" t="s">
        <v>129</v>
      </c>
      <c r="B22" s="34">
        <v>12</v>
      </c>
      <c r="C22" s="34">
        <v>8</v>
      </c>
      <c r="D22" s="37">
        <v>76</v>
      </c>
      <c r="E22" s="130">
        <f>Tabela1[[#This Row],[N° ACERTOS]]/Tabela1[[#This Row],[N° TIROS]]</f>
        <v>0.66666666666666663</v>
      </c>
      <c r="F22" s="34">
        <f>ROUND(SUM(PRODUCT(Tabela1[[#This Row],[N° ACERTOS]]/Tabela1[[#This Row],[TEMPO (S)]],50.00275),-2.130067),2)</f>
        <v>3.13</v>
      </c>
    </row>
    <row r="23" spans="1:6" x14ac:dyDescent="0.25">
      <c r="A23" s="34" t="s">
        <v>111</v>
      </c>
      <c r="B23" s="34">
        <v>12</v>
      </c>
      <c r="C23" s="34">
        <v>7</v>
      </c>
      <c r="D23" s="37">
        <v>83</v>
      </c>
      <c r="E23" s="130">
        <f>Tabela1[[#This Row],[N° ACERTOS]]/Tabela1[[#This Row],[N° TIROS]]</f>
        <v>0.58333333333333337</v>
      </c>
      <c r="F23" s="34">
        <f>ROUND(SUM(PRODUCT(Tabela1[[#This Row],[N° ACERTOS]]/Tabela1[[#This Row],[TEMPO (S)]],50.00275),-2.130067),2)</f>
        <v>2.09</v>
      </c>
    </row>
    <row r="24" spans="1:6" x14ac:dyDescent="0.25">
      <c r="A24" s="34" t="s">
        <v>99</v>
      </c>
      <c r="B24" s="34">
        <v>12</v>
      </c>
      <c r="C24" s="34">
        <v>9</v>
      </c>
      <c r="D24" s="37">
        <v>46.53</v>
      </c>
      <c r="E24" s="130">
        <f>Tabela1[[#This Row],[N° ACERTOS]]/Tabela1[[#This Row],[N° TIROS]]</f>
        <v>0.75</v>
      </c>
      <c r="F24" s="34">
        <f>ROUND(SUM(PRODUCT(Tabela1[[#This Row],[N° ACERTOS]]/Tabela1[[#This Row],[TEMPO (S)]],50.00275),-2.130067),2)</f>
        <v>7.54</v>
      </c>
    </row>
    <row r="25" spans="1:6" x14ac:dyDescent="0.25">
      <c r="A25" s="34" t="s">
        <v>118</v>
      </c>
      <c r="B25" s="34">
        <v>12</v>
      </c>
      <c r="C25" s="34">
        <v>8</v>
      </c>
      <c r="D25" s="37">
        <v>72</v>
      </c>
      <c r="E25" s="130">
        <f>Tabela1[[#This Row],[N° ACERTOS]]/Tabela1[[#This Row],[N° TIROS]]</f>
        <v>0.66666666666666663</v>
      </c>
      <c r="F25" s="34">
        <f>ROUND(SUM(PRODUCT(Tabela1[[#This Row],[N° ACERTOS]]/Tabela1[[#This Row],[TEMPO (S)]],50.00275),-2.130067),2)</f>
        <v>3.43</v>
      </c>
    </row>
    <row r="26" spans="1:6" x14ac:dyDescent="0.25">
      <c r="A26" s="34" t="s">
        <v>101</v>
      </c>
      <c r="B26" s="34">
        <v>12</v>
      </c>
      <c r="C26" s="34">
        <v>10</v>
      </c>
      <c r="D26" s="37">
        <v>96.49</v>
      </c>
      <c r="E26" s="130">
        <f>Tabela1[[#This Row],[N° ACERTOS]]/Tabela1[[#This Row],[N° TIROS]]</f>
        <v>0.83333333333333337</v>
      </c>
      <c r="F26" s="34">
        <f>ROUND(SUM(PRODUCT(Tabela1[[#This Row],[N° ACERTOS]]/Tabela1[[#This Row],[TEMPO (S)]],50.00275),-2.130067),2)</f>
        <v>3.05</v>
      </c>
    </row>
    <row r="27" spans="1:6" x14ac:dyDescent="0.25">
      <c r="A27" s="34" t="s">
        <v>125</v>
      </c>
      <c r="B27" s="34">
        <v>12</v>
      </c>
      <c r="C27" s="34">
        <v>8</v>
      </c>
      <c r="D27" s="37">
        <v>57</v>
      </c>
      <c r="E27" s="130">
        <f>Tabela1[[#This Row],[N° ACERTOS]]/Tabela1[[#This Row],[N° TIROS]]</f>
        <v>0.66666666666666663</v>
      </c>
      <c r="F27" s="34">
        <f>ROUND(SUM(PRODUCT(Tabela1[[#This Row],[N° ACERTOS]]/Tabela1[[#This Row],[TEMPO (S)]],50.00275),-2.130067),2)</f>
        <v>4.8899999999999997</v>
      </c>
    </row>
    <row r="28" spans="1:6" x14ac:dyDescent="0.25">
      <c r="A28" s="34" t="s">
        <v>109</v>
      </c>
      <c r="B28" s="34">
        <v>12</v>
      </c>
      <c r="C28" s="34">
        <v>7</v>
      </c>
      <c r="D28" s="37">
        <v>50</v>
      </c>
      <c r="E28" s="130">
        <f>Tabela1[[#This Row],[N° ACERTOS]]/Tabela1[[#This Row],[N° TIROS]]</f>
        <v>0.58333333333333337</v>
      </c>
      <c r="F28" s="34">
        <f>ROUND(SUM(PRODUCT(Tabela1[[#This Row],[N° ACERTOS]]/Tabela1[[#This Row],[TEMPO (S)]],50.00275),-2.130067),2)</f>
        <v>4.87</v>
      </c>
    </row>
    <row r="29" spans="1:6" x14ac:dyDescent="0.25">
      <c r="A29" s="34" t="s">
        <v>128</v>
      </c>
      <c r="B29" s="34">
        <v>12</v>
      </c>
      <c r="C29" s="34">
        <v>9</v>
      </c>
      <c r="D29" s="37">
        <v>78</v>
      </c>
      <c r="E29" s="130">
        <f>Tabela1[[#This Row],[N° ACERTOS]]/Tabela1[[#This Row],[N° TIROS]]</f>
        <v>0.75</v>
      </c>
      <c r="F29" s="34">
        <f>ROUND(SUM(PRODUCT(Tabela1[[#This Row],[N° ACERTOS]]/Tabela1[[#This Row],[TEMPO (S)]],50.00275),-2.130067),2)</f>
        <v>3.64</v>
      </c>
    </row>
    <row r="30" spans="1:6" x14ac:dyDescent="0.25">
      <c r="A30" s="34" t="s">
        <v>131</v>
      </c>
      <c r="B30" s="34">
        <v>12</v>
      </c>
      <c r="C30" s="34">
        <v>6</v>
      </c>
      <c r="D30" s="37">
        <v>60</v>
      </c>
      <c r="E30" s="130">
        <f>Tabela1[[#This Row],[N° ACERTOS]]/Tabela1[[#This Row],[N° TIROS]]</f>
        <v>0.5</v>
      </c>
      <c r="F30" s="34">
        <f>ROUND(SUM(PRODUCT(Tabela1[[#This Row],[N° ACERTOS]]/Tabela1[[#This Row],[TEMPO (S)]],50.00275),-2.130067),2)</f>
        <v>2.87</v>
      </c>
    </row>
    <row r="31" spans="1:6" x14ac:dyDescent="0.25">
      <c r="A31" s="34" t="s">
        <v>131</v>
      </c>
      <c r="B31" s="34">
        <v>12</v>
      </c>
      <c r="C31" s="34">
        <v>3</v>
      </c>
      <c r="D31" s="37">
        <v>63</v>
      </c>
      <c r="E31" s="130">
        <f>Tabela1[[#This Row],[N° ACERTOS]]/Tabela1[[#This Row],[N° TIROS]]</f>
        <v>0.25</v>
      </c>
      <c r="F31" s="34">
        <f>ROUND(SUM(PRODUCT(Tabela1[[#This Row],[N° ACERTOS]]/Tabela1[[#This Row],[TEMPO (S)]],50.00275),-2.130067),2)</f>
        <v>0.25</v>
      </c>
    </row>
    <row r="32" spans="1:6" x14ac:dyDescent="0.25">
      <c r="A32" s="34" t="s">
        <v>130</v>
      </c>
      <c r="B32" s="34">
        <v>12</v>
      </c>
      <c r="C32" s="34">
        <v>11</v>
      </c>
      <c r="D32" s="37">
        <v>65</v>
      </c>
      <c r="E32" s="130">
        <f>Tabela1[[#This Row],[N° ACERTOS]]/Tabela1[[#This Row],[N° TIROS]]</f>
        <v>0.91666666666666663</v>
      </c>
      <c r="F32" s="34">
        <f>ROUND(SUM(PRODUCT(Tabela1[[#This Row],[N° ACERTOS]]/Tabela1[[#This Row],[TEMPO (S)]],50.00275),-2.130067),2)</f>
        <v>6.33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EF5C-C127-4524-A5C6-069B02E25CAF}">
  <sheetPr>
    <pageSetUpPr fitToPage="1"/>
  </sheetPr>
  <dimension ref="A1:AM31"/>
  <sheetViews>
    <sheetView showGridLines="0" zoomScale="90" zoomScaleNormal="90" workbookViewId="0">
      <selection activeCell="D33" sqref="D33"/>
    </sheetView>
  </sheetViews>
  <sheetFormatPr defaultRowHeight="15" x14ac:dyDescent="0.25"/>
  <cols>
    <col min="1" max="1" width="6.140625" customWidth="1"/>
    <col min="3" max="3" width="15.5703125" bestFit="1" customWidth="1"/>
    <col min="4" max="4" width="15.5703125" customWidth="1"/>
    <col min="5" max="5" width="12.5703125" customWidth="1"/>
    <col min="6" max="6" width="12.85546875" bestFit="1" customWidth="1"/>
    <col min="7" max="7" width="15.28515625" bestFit="1" customWidth="1"/>
    <col min="8" max="8" width="14.85546875" bestFit="1" customWidth="1"/>
    <col min="9" max="9" width="13.28515625" customWidth="1"/>
    <col min="10" max="10" width="14.42578125" customWidth="1"/>
    <col min="11" max="11" width="10.7109375" customWidth="1"/>
    <col min="12" max="12" width="15.7109375" customWidth="1"/>
    <col min="13" max="13" width="14.28515625" customWidth="1"/>
    <col min="14" max="14" width="12.7109375" customWidth="1"/>
    <col min="16" max="16" width="15.28515625" customWidth="1"/>
    <col min="17" max="17" width="12.42578125" customWidth="1"/>
    <col min="20" max="20" width="15.7109375" customWidth="1"/>
    <col min="21" max="21" width="25.28515625" bestFit="1" customWidth="1"/>
    <col min="23" max="23" width="19.42578125" bestFit="1" customWidth="1"/>
    <col min="25" max="25" width="11.85546875" hidden="1" customWidth="1"/>
    <col min="26" max="26" width="13.5703125" bestFit="1" customWidth="1"/>
    <col min="27" max="27" width="8.5703125" customWidth="1"/>
    <col min="28" max="28" width="10.42578125" bestFit="1" customWidth="1"/>
    <col min="29" max="30" width="10.42578125" customWidth="1"/>
    <col min="32" max="32" width="14.85546875" bestFit="1" customWidth="1"/>
    <col min="33" max="33" width="8.5703125" customWidth="1"/>
    <col min="34" max="34" width="14.85546875" bestFit="1" customWidth="1"/>
    <col min="35" max="35" width="9" customWidth="1"/>
    <col min="36" max="36" width="14.85546875" bestFit="1" customWidth="1"/>
    <col min="39" max="39" width="14.85546875" bestFit="1" customWidth="1"/>
  </cols>
  <sheetData>
    <row r="1" spans="1:39" ht="43.5" customHeight="1" x14ac:dyDescent="0.25">
      <c r="A1" s="157" t="s">
        <v>199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9"/>
      <c r="AF1" s="157" t="s">
        <v>246</v>
      </c>
      <c r="AG1" s="158"/>
      <c r="AH1" s="158"/>
      <c r="AI1" s="158"/>
      <c r="AJ1" s="158"/>
      <c r="AK1" s="158"/>
      <c r="AL1" s="158"/>
      <c r="AM1" s="159"/>
    </row>
    <row r="2" spans="1:39" ht="30.75" customHeight="1" x14ac:dyDescent="0.25">
      <c r="A2" s="168" t="s">
        <v>214</v>
      </c>
      <c r="B2" s="170" t="s">
        <v>191</v>
      </c>
      <c r="C2" s="160" t="s">
        <v>206</v>
      </c>
      <c r="D2" s="164"/>
      <c r="E2" s="160" t="s">
        <v>202</v>
      </c>
      <c r="F2" s="161"/>
      <c r="G2" s="161"/>
      <c r="H2" s="164"/>
      <c r="I2" s="160" t="s">
        <v>203</v>
      </c>
      <c r="J2" s="161"/>
      <c r="K2" s="161"/>
      <c r="L2" s="164"/>
      <c r="M2" s="160" t="s">
        <v>204</v>
      </c>
      <c r="N2" s="161"/>
      <c r="O2" s="161"/>
      <c r="P2" s="164"/>
      <c r="Q2" s="160" t="s">
        <v>205</v>
      </c>
      <c r="R2" s="161"/>
      <c r="S2" s="161"/>
      <c r="T2" s="164"/>
      <c r="U2" s="160" t="s">
        <v>207</v>
      </c>
      <c r="V2" s="164" t="s">
        <v>208</v>
      </c>
      <c r="W2" s="48"/>
      <c r="X2" s="49"/>
      <c r="Y2" s="50"/>
      <c r="Z2" s="160" t="s">
        <v>210</v>
      </c>
      <c r="AA2" s="161"/>
      <c r="AB2" s="161"/>
      <c r="AC2" s="161"/>
      <c r="AD2" s="164"/>
      <c r="AF2" s="162" t="s">
        <v>215</v>
      </c>
      <c r="AG2" s="160" t="s">
        <v>158</v>
      </c>
      <c r="AH2" s="161"/>
      <c r="AI2" s="160" t="s">
        <v>25</v>
      </c>
      <c r="AJ2" s="161"/>
      <c r="AK2" s="160" t="s">
        <v>245</v>
      </c>
      <c r="AL2" s="161"/>
      <c r="AM2" s="155" t="s">
        <v>215</v>
      </c>
    </row>
    <row r="3" spans="1:39" x14ac:dyDescent="0.25">
      <c r="A3" s="169"/>
      <c r="B3" s="171"/>
      <c r="C3" s="108" t="s">
        <v>158</v>
      </c>
      <c r="D3" s="109" t="s">
        <v>25</v>
      </c>
      <c r="E3" s="51" t="s">
        <v>192</v>
      </c>
      <c r="F3" s="53" t="s">
        <v>4</v>
      </c>
      <c r="G3" s="53" t="s">
        <v>193</v>
      </c>
      <c r="H3" s="52" t="s">
        <v>195</v>
      </c>
      <c r="I3" s="60" t="s">
        <v>192</v>
      </c>
      <c r="J3" s="61" t="s">
        <v>4</v>
      </c>
      <c r="K3" s="61" t="s">
        <v>193</v>
      </c>
      <c r="L3" s="62" t="s">
        <v>196</v>
      </c>
      <c r="M3" s="69" t="s">
        <v>192</v>
      </c>
      <c r="N3" s="70" t="s">
        <v>4</v>
      </c>
      <c r="O3" s="70" t="s">
        <v>193</v>
      </c>
      <c r="P3" s="71" t="s">
        <v>197</v>
      </c>
      <c r="Q3" s="78" t="s">
        <v>192</v>
      </c>
      <c r="R3" s="79" t="s">
        <v>4</v>
      </c>
      <c r="S3" s="79" t="s">
        <v>193</v>
      </c>
      <c r="T3" s="80" t="s">
        <v>198</v>
      </c>
      <c r="U3" s="87" t="s">
        <v>209</v>
      </c>
      <c r="V3" s="88" t="s">
        <v>135</v>
      </c>
      <c r="W3" s="87" t="s">
        <v>209</v>
      </c>
      <c r="X3" s="88" t="s">
        <v>135</v>
      </c>
      <c r="Y3" s="97"/>
      <c r="Z3" s="119" t="s">
        <v>158</v>
      </c>
      <c r="AA3" s="104"/>
      <c r="AB3" s="120" t="s">
        <v>25</v>
      </c>
      <c r="AC3" s="104"/>
      <c r="AD3" s="104" t="s">
        <v>245</v>
      </c>
      <c r="AF3" s="163"/>
      <c r="AG3" s="123" t="s">
        <v>191</v>
      </c>
      <c r="AH3" s="116" t="s">
        <v>216</v>
      </c>
      <c r="AI3" s="123" t="s">
        <v>191</v>
      </c>
      <c r="AJ3" s="116" t="s">
        <v>216</v>
      </c>
      <c r="AK3" s="128" t="s">
        <v>191</v>
      </c>
      <c r="AL3" s="129" t="s">
        <v>216</v>
      </c>
      <c r="AM3" s="156"/>
    </row>
    <row r="4" spans="1:39" x14ac:dyDescent="0.25">
      <c r="A4" s="165" t="s">
        <v>211</v>
      </c>
      <c r="B4" s="139" t="s">
        <v>98</v>
      </c>
      <c r="C4" s="110">
        <f>COUNTIFS('DB EMPREGOS'!$D$2:$D$162,B4,CADO_EMPREGOS_2022[MODALIDADE],"BRB")</f>
        <v>4</v>
      </c>
      <c r="D4" s="106">
        <f>COUNTIFS('DB EMPREGOS'!$D$2:$D$162,B4,CADO_EMPREGOS_2022[MODALIDADE],"TT")</f>
        <v>2</v>
      </c>
      <c r="E4" s="54" cm="1">
        <f t="array" ref="E4">INDEX(CADO_EMPREGOS_2022[],_xlfn.XMATCH(B4,CADO_EMPREGOS_2022[[#All],[TRIG 1P]],0,1)-1,20)</f>
        <v>11</v>
      </c>
      <c r="F4" s="55" cm="1">
        <f t="array" ref="F4">INDEX(CADO_EMPREGOS_2022[],_xlfn.XMATCH(B4,CADO_EMPREGOS_2022[[#All],[TRIG 1P]],0,1)-1,21)</f>
        <v>10.5</v>
      </c>
      <c r="G4" s="55" t="str" cm="1">
        <f t="array" ref="G4">IF(INDEX(CADO_EMPREGOS_2022[],_xlfn.XMATCH(B4,CADO_EMPREGOS_2022[[#All],[TRIG 1P]],0,1)-1,36) = INDEX(CADO_EMPREGOS_2022[],_xlfn.XMATCH(B4,CADO_EMPREGOS_2022[[#All],[TRIG 1P]],0,1)-1,37),"N","S")</f>
        <v>N</v>
      </c>
      <c r="H4" s="56">
        <f>IF(E4="-","-",IF(G4="N",(PRODUCT(-0.1,E4)+10),"0"))</f>
        <v>8.9</v>
      </c>
      <c r="I4" s="63" cm="1">
        <f t="array" ref="I4">INDEX(CADO_EMPREGOS_2022[],_xlfn.XMATCH(B4,CADO_EMPREGOS_2022[[#All],[TRIG 1P]],0,1),20)</f>
        <v>9.1999999999999993</v>
      </c>
      <c r="J4" s="64" cm="1">
        <f t="array" ref="J4">INDEX(CADO_EMPREGOS_2022[],_xlfn.XMATCH(B4,CADO_EMPREGOS_2022[[#All],[TRIG 1P]],0,1),21)</f>
        <v>8.4</v>
      </c>
      <c r="K4" s="64" t="str" cm="1">
        <f t="array" ref="K4">IF(INDEX(CADO_EMPREGOS_2022[],_xlfn.XMATCH(B4,CADO_EMPREGOS_2022[[#All],[TRIG 1P]],0,1),36) = INDEX(CADO_EMPREGOS_2022[],_xlfn.XMATCH(B4,CADO_EMPREGOS_2022[[#All],[TRIG 1P]],0,1),37),"N","S")</f>
        <v>N</v>
      </c>
      <c r="L4" s="65">
        <f>IF(I4="-","-",IF(K4="N",(PRODUCT(-0.1,I4)+10),"0"))</f>
        <v>9.08</v>
      </c>
      <c r="M4" s="72" cm="1">
        <f t="array" ref="M4">IF(INDEX(CADO_EMPREGOS_2022[],_xlfn.XMATCH(B4,CADO_EMPREGOS_2022[[#All],[TRIG 1P]],0,1)+1,8)&lt;&gt;"BRB","-",INDEX(CADO_EMPREGOS_2022[],_xlfn.XMATCH(B4,CADO_EMPREGOS_2022[[#All],[TRIG 1P]],0,1)+1,20))</f>
        <v>12.9</v>
      </c>
      <c r="N4" s="73" cm="1">
        <f t="array" ref="N4">IF(INDEX(CADO_EMPREGOS_2022[],_xlfn.XMATCH(B4,CADO_EMPREGOS_2022[[#All],[TRIG 1P]],0,1)+1,8)&lt;&gt;"BRB","-",INDEX(CADO_EMPREGOS_2022[],_xlfn.XMATCH(B4,CADO_EMPREGOS_2022[[#All],[TRIG 1P]],0,1)+1,21))</f>
        <v>3.8</v>
      </c>
      <c r="O4" s="73" t="str" cm="1">
        <f t="array" ref="O4">IF(INDEX(CADO_EMPREGOS_2022[],_xlfn.XMATCH(B4,CADO_EMPREGOS_2022[[#All],[TRIG 1P]],0,1)+1,36) = INDEX(CADO_EMPREGOS_2022[],_xlfn.XMATCH(B4,CADO_EMPREGOS_2022[[#All],[TRIG 1P]],0,1)+1,37),"N","S")</f>
        <v>N</v>
      </c>
      <c r="P4" s="74">
        <f t="shared" ref="P4:P24" si="0">IF(M4="-","-",IF(O4="N",(PRODUCT(-0.1,M4)+10),"0"))</f>
        <v>8.7100000000000009</v>
      </c>
      <c r="Q4" s="81" cm="1">
        <f t="array" ref="Q4">IF(INDEX(CADO_EMPREGOS_2022[],_xlfn.XMATCH(B4,CADO_EMPREGOS_2022[[#All],[TRIG 1P]],0,1)+2,8)&lt;&gt;"BRB","-",INDEX(CADO_EMPREGOS_2022[],_xlfn.XMATCH(B4,CADO_EMPREGOS_2022[[#All],[TRIG 1P]],0,1)+2,20))</f>
        <v>18.399999999999999</v>
      </c>
      <c r="R4" s="82" cm="1">
        <f t="array" ref="R4">IF(INDEX(CADO_EMPREGOS_2022[],_xlfn.XMATCH(B4,CADO_EMPREGOS_2022[[#All],[TRIG 1P]],0,1)+2,8)&lt;&gt;"BRB","-",INDEX(CADO_EMPREGOS_2022[],_xlfn.XMATCH(B4,CADO_EMPREGOS_2022[[#All],[TRIG 1P]],0,1)+2,21))</f>
        <v>9.6</v>
      </c>
      <c r="S4" s="82" t="str" cm="1">
        <f t="array" ref="S4">IF(INDEX(CADO_EMPREGOS_2022[],_xlfn.XMATCH(B4,CADO_EMPREGOS_2022[[#All],[TRIG 1P]],0,1)+2,36) = INDEX(CADO_EMPREGOS_2022[],_xlfn.XMATCH(B4,CADO_EMPREGOS_2022[[#All],[TRIG 1P]],0,1)+2,37),"N","S")</f>
        <v>N</v>
      </c>
      <c r="T4" s="83">
        <f t="shared" ref="T4:T30" si="1">IF(Q4="-","-",IF(S4="N",(PRODUCT(-0.1,Q4)+10),"0"))</f>
        <v>8.16</v>
      </c>
      <c r="U4" s="96" cm="1">
        <f t="array" ref="U4">INDEX(CADO_EMPREGOS_2022[],_xlfn.XMATCH(B4,CADO_EMPREGOS_2022[[#All],[TRIG 1P]],0,1)-1+C4,22)</f>
        <v>30</v>
      </c>
      <c r="V4" s="89" cm="1">
        <f t="array" ref="V4">INDEX(CADO_EMPREGOS_2022[],_xlfn.XMATCH(B4,CADO_EMPREGOS_2022[[#All],[TRIG 1P]],0,1)-1+C4,23)</f>
        <v>22</v>
      </c>
      <c r="W4" s="99" cm="1">
        <f t="array" ref="W4">INDEX(CADO_EMPREGOS_2022[],_xlfn.XMATCH(B4,CADO_EMPREGOS_2022[[#All],[TRIG 1P]],0,1)-1+C4+1,22)</f>
        <v>30</v>
      </c>
      <c r="X4" s="100" cm="1">
        <f t="array" ref="X4">INDEX(CADO_EMPREGOS_2022[],_xlfn.XMATCH(B4,CADO_EMPREGOS_2022[[#All],[TRIG 1P]],0,1)-1+C4+1,23)</f>
        <v>27</v>
      </c>
      <c r="Y4" s="94" t="s">
        <v>98</v>
      </c>
      <c r="Z4" s="94">
        <f>SUM(H4,L4,P4,T4)/C4</f>
        <v>8.7125000000000004</v>
      </c>
      <c r="AA4" s="94" t="s">
        <v>98</v>
      </c>
      <c r="AB4" s="98">
        <f>PRODUCT(IF(COUNT(U4:X4)=4,SUM(IF(U4&gt;30,V4/U4,V4/30),IF(W4&gt;30,X4/W4,X4/30))/2,IF(U4&gt;30,V4/U4,V4/30)),10)</f>
        <v>8.1666666666666661</v>
      </c>
      <c r="AC4" s="94" t="s">
        <v>98</v>
      </c>
      <c r="AD4" s="105">
        <f t="shared" ref="AD4:AD28" si="2">SUM(Z4:AB4)/2</f>
        <v>8.4395833333333332</v>
      </c>
      <c r="AF4" s="121" t="s">
        <v>217</v>
      </c>
      <c r="AG4" s="112" t="str" cm="1">
        <f t="array" ref="AG4:AH31">_xlfn._xlws.SORT(Y4:Z31,2,-1,)</f>
        <v>CTH</v>
      </c>
      <c r="AH4" s="113">
        <v>9.4499999999999993</v>
      </c>
      <c r="AI4" s="112" t="str" cm="1">
        <f t="array" ref="AI4:AJ31">_xlfn._xlws.SORT(AA4:AB31,2,-1)</f>
        <v>MON</v>
      </c>
      <c r="AJ4" s="113">
        <v>9.3333333333333339</v>
      </c>
      <c r="AK4" s="124" t="str" cm="1">
        <f t="array" ref="AK4:AL31">_xlfn._xlws.SORT(AC4:AD31,2,-1)</f>
        <v>PER</v>
      </c>
      <c r="AL4" s="125">
        <v>9.0233823529411765</v>
      </c>
      <c r="AM4" s="117" t="s">
        <v>217</v>
      </c>
    </row>
    <row r="5" spans="1:39" x14ac:dyDescent="0.25">
      <c r="A5" s="166"/>
      <c r="B5" s="140" t="s">
        <v>101</v>
      </c>
      <c r="C5" s="110">
        <f>COUNTIFS('DB EMPREGOS'!$D$2:$D$162,B5,CADO_EMPREGOS_2022[MODALIDADE],"BRB")</f>
        <v>4</v>
      </c>
      <c r="D5" s="106">
        <f>COUNTIFS('DB EMPREGOS'!$D$2:$D$162,B5,CADO_EMPREGOS_2022[MODALIDADE],"TT")</f>
        <v>2</v>
      </c>
      <c r="E5" s="54" cm="1">
        <f t="array" ref="E5">INDEX(CADO_EMPREGOS_2022[],_xlfn.XMATCH(B5,CADO_EMPREGOS_2022[[#All],[TRIG 1P]],0,1)-1,20)</f>
        <v>4.0999999999999996</v>
      </c>
      <c r="F5" s="55" cm="1">
        <f t="array" ref="F5">INDEX(CADO_EMPREGOS_2022[],_xlfn.XMATCH(B5,CADO_EMPREGOS_2022[[#All],[TRIG 1P]],0,1)-1,21)</f>
        <v>7.5</v>
      </c>
      <c r="G5" s="55" t="str" cm="1">
        <f t="array" ref="G5">IF(INDEX(CADO_EMPREGOS_2022[],_xlfn.XMATCH(B5,CADO_EMPREGOS_2022[[#All],[TRIG 1P]],0,1)-1,36) = INDEX(CADO_EMPREGOS_2022[],_xlfn.XMATCH(B5,CADO_EMPREGOS_2022[[#All],[TRIG 1P]],0,1)-1,37),"N","S")</f>
        <v>N</v>
      </c>
      <c r="H5" s="56">
        <f t="shared" ref="H5:H31" si="3">IF(E5="-","-",IF(G5="N",(PRODUCT(-0.1,E5)+10),"0"))</f>
        <v>9.59</v>
      </c>
      <c r="I5" s="63" cm="1">
        <f t="array" ref="I5">INDEX(CADO_EMPREGOS_2022[],_xlfn.XMATCH(B5,CADO_EMPREGOS_2022[[#All],[TRIG 1P]],0,1),20)</f>
        <v>18.8</v>
      </c>
      <c r="J5" s="64" cm="1">
        <f t="array" ref="J5">INDEX(CADO_EMPREGOS_2022[],_xlfn.XMATCH(B5,CADO_EMPREGOS_2022[[#All],[TRIG 1P]],0,1),21)</f>
        <v>5.6</v>
      </c>
      <c r="K5" s="64" t="str" cm="1">
        <f t="array" ref="K5">IF(INDEX(CADO_EMPREGOS_2022[],_xlfn.XMATCH(B5,CADO_EMPREGOS_2022[[#All],[TRIG 1P]],0,1),36) = INDEX(CADO_EMPREGOS_2022[],_xlfn.XMATCH(B5,CADO_EMPREGOS_2022[[#All],[TRIG 1P]],0,1),37),"N","S")</f>
        <v>N</v>
      </c>
      <c r="L5" s="65">
        <f t="shared" ref="L5:L31" si="4">IF(I5="-","-",IF(K5="N",(PRODUCT(-0.1,I5)+10),"0"))</f>
        <v>8.1199999999999992</v>
      </c>
      <c r="M5" s="72" cm="1">
        <f t="array" ref="M5">IF(INDEX(CADO_EMPREGOS_2022[],_xlfn.XMATCH(B5,CADO_EMPREGOS_2022[[#All],[TRIG 1P]],0,1)+1,8)&lt;&gt;"BRB","-",INDEX(CADO_EMPREGOS_2022[],_xlfn.XMATCH(B5,CADO_EMPREGOS_2022[[#All],[TRIG 1P]],0,1)+1,20))</f>
        <v>6.7</v>
      </c>
      <c r="N5" s="73" cm="1">
        <f t="array" ref="N5">IF(INDEX(CADO_EMPREGOS_2022[],_xlfn.XMATCH(B5,CADO_EMPREGOS_2022[[#All],[TRIG 1P]],0,1)+1,8)&lt;&gt;"BRB","-",INDEX(CADO_EMPREGOS_2022[],_xlfn.XMATCH(B5,CADO_EMPREGOS_2022[[#All],[TRIG 1P]],0,1)+1,21))</f>
        <v>1</v>
      </c>
      <c r="O5" s="73" t="str" cm="1">
        <f t="array" ref="O5">IF(INDEX(CADO_EMPREGOS_2022[],_xlfn.XMATCH(B5,CADO_EMPREGOS_2022[[#All],[TRIG 1P]],0,1)+1,36) = INDEX(CADO_EMPREGOS_2022[],_xlfn.XMATCH(B5,CADO_EMPREGOS_2022[[#All],[TRIG 1P]],0,1)+1,37),"N","S")</f>
        <v>N</v>
      </c>
      <c r="P5" s="74">
        <f t="shared" si="0"/>
        <v>9.33</v>
      </c>
      <c r="Q5" s="81" cm="1">
        <f t="array" ref="Q5">IF(INDEX(CADO_EMPREGOS_2022[],_xlfn.XMATCH(B5,CADO_EMPREGOS_2022[[#All],[TRIG 1P]],0,1)+2,8)&lt;&gt;"BRB","-",INDEX(CADO_EMPREGOS_2022[],_xlfn.XMATCH(B5,CADO_EMPREGOS_2022[[#All],[TRIG 1P]],0,1)+2,20))</f>
        <v>5</v>
      </c>
      <c r="R5" s="82" cm="1">
        <f t="array" ref="R5">IF(INDEX(CADO_EMPREGOS_2022[],_xlfn.XMATCH(B5,CADO_EMPREGOS_2022[[#All],[TRIG 1P]],0,1)+2,8)&lt;&gt;"BRB","-",INDEX(CADO_EMPREGOS_2022[],_xlfn.XMATCH(B5,CADO_EMPREGOS_2022[[#All],[TRIG 1P]],0,1)+2,21))</f>
        <v>5.0999999999999996</v>
      </c>
      <c r="S5" s="82" t="str" cm="1">
        <f t="array" ref="S5">IF(INDEX(CADO_EMPREGOS_2022[],_xlfn.XMATCH(B5,CADO_EMPREGOS_2022[[#All],[TRIG 1P]],0,1)+2,36) = INDEX(CADO_EMPREGOS_2022[],_xlfn.XMATCH(B5,CADO_EMPREGOS_2022[[#All],[TRIG 1P]],0,1)+2,37),"N","S")</f>
        <v>N</v>
      </c>
      <c r="T5" s="83">
        <f t="shared" si="1"/>
        <v>9.5</v>
      </c>
      <c r="U5" s="96" cm="1">
        <f t="array" ref="U5">INDEX(CADO_EMPREGOS_2022[],_xlfn.XMATCH(B5,CADO_EMPREGOS_2022[[#All],[TRIG 1P]],0,1)-1+C5,22)</f>
        <v>30</v>
      </c>
      <c r="V5" s="89" cm="1">
        <f t="array" ref="V5">INDEX(CADO_EMPREGOS_2022[],_xlfn.XMATCH(B5,CADO_EMPREGOS_2022[[#All],[TRIG 1P]],0,1)-1+C5,23)</f>
        <v>27</v>
      </c>
      <c r="W5" s="99" cm="1">
        <f t="array" ref="W5">INDEX(CADO_EMPREGOS_2022[],_xlfn.XMATCH(B5,CADO_EMPREGOS_2022[[#All],[TRIG 1P]],0,1)-1+C5+1,22)</f>
        <v>34</v>
      </c>
      <c r="X5" s="100" cm="1">
        <f t="array" ref="X5">INDEX(CADO_EMPREGOS_2022[],_xlfn.XMATCH(B5,CADO_EMPREGOS_2022[[#All],[TRIG 1P]],0,1)-1+C5+1,23)</f>
        <v>30</v>
      </c>
      <c r="Y5" s="94" t="s">
        <v>101</v>
      </c>
      <c r="Z5" s="94">
        <f t="shared" ref="Z5:Z31" si="5">SUM(H5,L5,P5,T5)/C5</f>
        <v>9.1349999999999998</v>
      </c>
      <c r="AA5" s="94" t="s">
        <v>101</v>
      </c>
      <c r="AB5" s="98">
        <f t="shared" ref="AB5:AB31" si="6">PRODUCT(IF(COUNT(U5:X5)=4,SUM(IF(U5&gt;30,V5/U5,V5/30),IF(W5&gt;30,X5/W5,X5/30))/2,IF(U5&gt;30,V5/U5,V5/30)),10)</f>
        <v>8.9117647058823515</v>
      </c>
      <c r="AC5" s="94" t="s">
        <v>101</v>
      </c>
      <c r="AD5" s="105">
        <f t="shared" si="2"/>
        <v>9.0233823529411765</v>
      </c>
      <c r="AF5" s="121" t="s">
        <v>218</v>
      </c>
      <c r="AG5" s="112" t="str">
        <v>HRQ</v>
      </c>
      <c r="AH5" s="113">
        <v>9.3574999999999999</v>
      </c>
      <c r="AI5" s="112" t="str">
        <v>PER</v>
      </c>
      <c r="AJ5" s="113">
        <v>8.9117647058823515</v>
      </c>
      <c r="AK5" s="124" t="str">
        <v>CTH</v>
      </c>
      <c r="AL5" s="125">
        <v>8.9749999999999996</v>
      </c>
      <c r="AM5" s="117" t="s">
        <v>218</v>
      </c>
    </row>
    <row r="6" spans="1:39" x14ac:dyDescent="0.25">
      <c r="A6" s="166"/>
      <c r="B6" s="140" t="s">
        <v>102</v>
      </c>
      <c r="C6" s="110">
        <f>COUNTIFS('DB EMPREGOS'!$D$2:$D$162,B6,CADO_EMPREGOS_2022[MODALIDADE],"BRB")</f>
        <v>4</v>
      </c>
      <c r="D6" s="106">
        <f>COUNTIFS('DB EMPREGOS'!$D$2:$D$162,B6,CADO_EMPREGOS_2022[MODALIDADE],"TT")</f>
        <v>2</v>
      </c>
      <c r="E6" s="54" cm="1">
        <f t="array" ref="E6">INDEX(CADO_EMPREGOS_2022[],_xlfn.XMATCH(B6,CADO_EMPREGOS_2022[[#All],[TRIG 1P]],0,1)-1,20)</f>
        <v>9</v>
      </c>
      <c r="F6" s="55" cm="1">
        <f t="array" ref="F6">INDEX(CADO_EMPREGOS_2022[],_xlfn.XMATCH(B6,CADO_EMPREGOS_2022[[#All],[TRIG 1P]],0,1)-1,21)</f>
        <v>11</v>
      </c>
      <c r="G6" s="55" t="str" cm="1">
        <f t="array" ref="G6">IF(INDEX(CADO_EMPREGOS_2022[],_xlfn.XMATCH(B6,CADO_EMPREGOS_2022[[#All],[TRIG 1P]],0,1)-1,36) = INDEX(CADO_EMPREGOS_2022[],_xlfn.XMATCH(B6,CADO_EMPREGOS_2022[[#All],[TRIG 1P]],0,1)-1,37),"N","S")</f>
        <v>N</v>
      </c>
      <c r="H6" s="56">
        <f t="shared" si="3"/>
        <v>9.1</v>
      </c>
      <c r="I6" s="63" cm="1">
        <f t="array" ref="I6">INDEX(CADO_EMPREGOS_2022[],_xlfn.XMATCH(B6,CADO_EMPREGOS_2022[[#All],[TRIG 1P]],0,1),20)</f>
        <v>15.4</v>
      </c>
      <c r="J6" s="64" cm="1">
        <f t="array" ref="J6">INDEX(CADO_EMPREGOS_2022[],_xlfn.XMATCH(B6,CADO_EMPREGOS_2022[[#All],[TRIG 1P]],0,1),21)</f>
        <v>6.3</v>
      </c>
      <c r="K6" s="64" t="str" cm="1">
        <f t="array" ref="K6">IF(INDEX(CADO_EMPREGOS_2022[],_xlfn.XMATCH(B6,CADO_EMPREGOS_2022[[#All],[TRIG 1P]],0,1),36) = INDEX(CADO_EMPREGOS_2022[],_xlfn.XMATCH(B6,CADO_EMPREGOS_2022[[#All],[TRIG 1P]],0,1),37),"N","S")</f>
        <v>N</v>
      </c>
      <c r="L6" s="65">
        <f t="shared" si="4"/>
        <v>8.4600000000000009</v>
      </c>
      <c r="M6" s="72" cm="1">
        <f t="array" ref="M6">IF(INDEX(CADO_EMPREGOS_2022[],_xlfn.XMATCH(B6,CADO_EMPREGOS_2022[[#All],[TRIG 1P]],0,1)+1,8)&lt;&gt;"BRB","-",INDEX(CADO_EMPREGOS_2022[],_xlfn.XMATCH(B6,CADO_EMPREGOS_2022[[#All],[TRIG 1P]],0,1)+1,20))</f>
        <v>6.3</v>
      </c>
      <c r="N6" s="73" cm="1">
        <f t="array" ref="N6">IF(INDEX(CADO_EMPREGOS_2022[],_xlfn.XMATCH(B6,CADO_EMPREGOS_2022[[#All],[TRIG 1P]],0,1)+1,8)&lt;&gt;"BRB","-",INDEX(CADO_EMPREGOS_2022[],_xlfn.XMATCH(B6,CADO_EMPREGOS_2022[[#All],[TRIG 1P]],0,1)+1,21))</f>
        <v>8.1999999999999993</v>
      </c>
      <c r="O6" s="73" t="str" cm="1">
        <f t="array" ref="O6">IF(INDEX(CADO_EMPREGOS_2022[],_xlfn.XMATCH(B6,CADO_EMPREGOS_2022[[#All],[TRIG 1P]],0,1)+1,36) = INDEX(CADO_EMPREGOS_2022[],_xlfn.XMATCH(B6,CADO_EMPREGOS_2022[[#All],[TRIG 1P]],0,1)+1,37),"N","S")</f>
        <v>S</v>
      </c>
      <c r="P6" s="74" t="str">
        <f t="shared" si="0"/>
        <v>0</v>
      </c>
      <c r="Q6" s="81" cm="1">
        <f t="array" ref="Q6">IF(INDEX(CADO_EMPREGOS_2022[],_xlfn.XMATCH(B6,CADO_EMPREGOS_2022[[#All],[TRIG 1P]],0,1)+2,8)&lt;&gt;"BRB","-",INDEX(CADO_EMPREGOS_2022[],_xlfn.XMATCH(B6,CADO_EMPREGOS_2022[[#All],[TRIG 1P]],0,1)+2,20))</f>
        <v>0</v>
      </c>
      <c r="R6" s="82" cm="1">
        <f t="array" ref="R6">IF(INDEX(CADO_EMPREGOS_2022[],_xlfn.XMATCH(B6,CADO_EMPREGOS_2022[[#All],[TRIG 1P]],0,1)+2,8)&lt;&gt;"BRB","-",INDEX(CADO_EMPREGOS_2022[],_xlfn.XMATCH(B6,CADO_EMPREGOS_2022[[#All],[TRIG 1P]],0,1)+2,21))</f>
        <v>0</v>
      </c>
      <c r="S6" s="82" t="str" cm="1">
        <f t="array" ref="S6">IF(INDEX(CADO_EMPREGOS_2022[],_xlfn.XMATCH(B6,CADO_EMPREGOS_2022[[#All],[TRIG 1P]],0,1)+2,36) = INDEX(CADO_EMPREGOS_2022[],_xlfn.XMATCH(B6,CADO_EMPREGOS_2022[[#All],[TRIG 1P]],0,1)+2,37),"N","S")</f>
        <v>N</v>
      </c>
      <c r="T6" s="83">
        <f t="shared" si="1"/>
        <v>10</v>
      </c>
      <c r="U6" s="96" cm="1">
        <f t="array" ref="U6">INDEX(CADO_EMPREGOS_2022[],_xlfn.XMATCH(B6,CADO_EMPREGOS_2022[[#All],[TRIG 1P]],0,1)-1+C6,22)</f>
        <v>30</v>
      </c>
      <c r="V6" s="89" cm="1">
        <f t="array" ref="V6">INDEX(CADO_EMPREGOS_2022[],_xlfn.XMATCH(B6,CADO_EMPREGOS_2022[[#All],[TRIG 1P]],0,1)-1+C6,23)</f>
        <v>18</v>
      </c>
      <c r="W6" s="99" cm="1">
        <f t="array" ref="W6">INDEX(CADO_EMPREGOS_2022[],_xlfn.XMATCH(B6,CADO_EMPREGOS_2022[[#All],[TRIG 1P]],0,1)-1+C6+1,22)</f>
        <v>30</v>
      </c>
      <c r="X6" s="100" cm="1">
        <f t="array" ref="X6">INDEX(CADO_EMPREGOS_2022[],_xlfn.XMATCH(B6,CADO_EMPREGOS_2022[[#All],[TRIG 1P]],0,1)-1+C6+1,23)</f>
        <v>26</v>
      </c>
      <c r="Y6" s="94" t="s">
        <v>102</v>
      </c>
      <c r="Z6" s="94">
        <f t="shared" si="5"/>
        <v>6.8900000000000006</v>
      </c>
      <c r="AA6" s="94" t="s">
        <v>102</v>
      </c>
      <c r="AB6" s="98">
        <f t="shared" si="6"/>
        <v>7.3333333333333339</v>
      </c>
      <c r="AC6" s="94" t="s">
        <v>102</v>
      </c>
      <c r="AD6" s="105">
        <f t="shared" si="2"/>
        <v>7.1116666666666672</v>
      </c>
      <c r="AF6" s="121" t="s">
        <v>219</v>
      </c>
      <c r="AG6" s="112" t="str">
        <v>FRZ</v>
      </c>
      <c r="AH6" s="113">
        <v>9.2899999999999991</v>
      </c>
      <c r="AI6" s="112" t="str">
        <v>BOZ</v>
      </c>
      <c r="AJ6" s="113">
        <v>8.6666666666666679</v>
      </c>
      <c r="AK6" s="124" t="str">
        <v>MON</v>
      </c>
      <c r="AL6" s="125">
        <v>8.9366666666666674</v>
      </c>
      <c r="AM6" s="117" t="s">
        <v>219</v>
      </c>
    </row>
    <row r="7" spans="1:39" x14ac:dyDescent="0.25">
      <c r="A7" s="166"/>
      <c r="B7" s="140" t="s">
        <v>105</v>
      </c>
      <c r="C7" s="110">
        <f>COUNTIFS('DB EMPREGOS'!$D$2:$D$162,B7,CADO_EMPREGOS_2022[MODALIDADE],"BRB")</f>
        <v>4</v>
      </c>
      <c r="D7" s="106">
        <f>COUNTIFS('DB EMPREGOS'!$D$2:$D$162,B7,CADO_EMPREGOS_2022[MODALIDADE],"TT")</f>
        <v>2</v>
      </c>
      <c r="E7" s="54" cm="1">
        <f t="array" ref="E7">INDEX(CADO_EMPREGOS_2022[],_xlfn.XMATCH(B7,CADO_EMPREGOS_2022[[#All],[TRIG 1P]],0,1)-1,20)</f>
        <v>9.4</v>
      </c>
      <c r="F7" s="55" cm="1">
        <f t="array" ref="F7">INDEX(CADO_EMPREGOS_2022[],_xlfn.XMATCH(B7,CADO_EMPREGOS_2022[[#All],[TRIG 1P]],0,1)-1,21)</f>
        <v>8</v>
      </c>
      <c r="G7" s="55" t="str" cm="1">
        <f t="array" ref="G7">IF(INDEX(CADO_EMPREGOS_2022[],_xlfn.XMATCH(B7,CADO_EMPREGOS_2022[[#All],[TRIG 1P]],0,1)-1,36) = INDEX(CADO_EMPREGOS_2022[],_xlfn.XMATCH(B7,CADO_EMPREGOS_2022[[#All],[TRIG 1P]],0,1)-1,37),"N","S")</f>
        <v>N</v>
      </c>
      <c r="H7" s="56">
        <f t="shared" si="3"/>
        <v>9.06</v>
      </c>
      <c r="I7" s="63" cm="1">
        <f t="array" ref="I7">INDEX(CADO_EMPREGOS_2022[],_xlfn.XMATCH(B7,CADO_EMPREGOS_2022[[#All],[TRIG 1P]],0,1),20)</f>
        <v>14.5</v>
      </c>
      <c r="J7" s="64" cm="1">
        <f t="array" ref="J7">INDEX(CADO_EMPREGOS_2022[],_xlfn.XMATCH(B7,CADO_EMPREGOS_2022[[#All],[TRIG 1P]],0,1),21)</f>
        <v>5.6</v>
      </c>
      <c r="K7" s="64" t="str" cm="1">
        <f t="array" ref="K7">IF(INDEX(CADO_EMPREGOS_2022[],_xlfn.XMATCH(B7,CADO_EMPREGOS_2022[[#All],[TRIG 1P]],0,1),36) = INDEX(CADO_EMPREGOS_2022[],_xlfn.XMATCH(B7,CADO_EMPREGOS_2022[[#All],[TRIG 1P]],0,1),37),"N","S")</f>
        <v>N</v>
      </c>
      <c r="L7" s="65">
        <f t="shared" si="4"/>
        <v>8.5500000000000007</v>
      </c>
      <c r="M7" s="72" cm="1">
        <f t="array" ref="M7">IF(INDEX(CADO_EMPREGOS_2022[],_xlfn.XMATCH(B7,CADO_EMPREGOS_2022[[#All],[TRIG 1P]],0,1)+1,8)&lt;&gt;"BRB","-",INDEX(CADO_EMPREGOS_2022[],_xlfn.XMATCH(B7,CADO_EMPREGOS_2022[[#All],[TRIG 1P]],0,1)+1,20))</f>
        <v>5.6</v>
      </c>
      <c r="N7" s="73" cm="1">
        <f t="array" ref="N7">IF(INDEX(CADO_EMPREGOS_2022[],_xlfn.XMATCH(B7,CADO_EMPREGOS_2022[[#All],[TRIG 1P]],0,1)+1,8)&lt;&gt;"BRB","-",INDEX(CADO_EMPREGOS_2022[],_xlfn.XMATCH(B7,CADO_EMPREGOS_2022[[#All],[TRIG 1P]],0,1)+1,21))</f>
        <v>6</v>
      </c>
      <c r="O7" s="73" t="str" cm="1">
        <f t="array" ref="O7">IF(INDEX(CADO_EMPREGOS_2022[],_xlfn.XMATCH(B7,CADO_EMPREGOS_2022[[#All],[TRIG 1P]],0,1)+1,36) = INDEX(CADO_EMPREGOS_2022[],_xlfn.XMATCH(B7,CADO_EMPREGOS_2022[[#All],[TRIG 1P]],0,1)+1,37),"N","S")</f>
        <v>N</v>
      </c>
      <c r="P7" s="74">
        <f t="shared" si="0"/>
        <v>9.44</v>
      </c>
      <c r="Q7" s="81" cm="1">
        <f t="array" ref="Q7">IF(INDEX(CADO_EMPREGOS_2022[],_xlfn.XMATCH(B7,CADO_EMPREGOS_2022[[#All],[TRIG 1P]],0,1)+2,8)&lt;&gt;"BRB","-",INDEX(CADO_EMPREGOS_2022[],_xlfn.XMATCH(B7,CADO_EMPREGOS_2022[[#All],[TRIG 1P]],0,1)+2,20))</f>
        <v>15.6</v>
      </c>
      <c r="R7" s="82" cm="1">
        <f t="array" ref="R7">IF(INDEX(CADO_EMPREGOS_2022[],_xlfn.XMATCH(B7,CADO_EMPREGOS_2022[[#All],[TRIG 1P]],0,1)+2,8)&lt;&gt;"BRB","-",INDEX(CADO_EMPREGOS_2022[],_xlfn.XMATCH(B7,CADO_EMPREGOS_2022[[#All],[TRIG 1P]],0,1)+2,21))</f>
        <v>4.9000000000000004</v>
      </c>
      <c r="S7" s="82" t="str" cm="1">
        <f t="array" ref="S7">IF(INDEX(CADO_EMPREGOS_2022[],_xlfn.XMATCH(B7,CADO_EMPREGOS_2022[[#All],[TRIG 1P]],0,1)+2,36) = INDEX(CADO_EMPREGOS_2022[],_xlfn.XMATCH(B7,CADO_EMPREGOS_2022[[#All],[TRIG 1P]],0,1)+2,37),"N","S")</f>
        <v>N</v>
      </c>
      <c r="T7" s="83">
        <f t="shared" si="1"/>
        <v>8.44</v>
      </c>
      <c r="U7" s="96" cm="1">
        <f t="array" ref="U7">INDEX(CADO_EMPREGOS_2022[],_xlfn.XMATCH(B7,CADO_EMPREGOS_2022[[#All],[TRIG 1P]],0,1)-1+C7,22)</f>
        <v>28</v>
      </c>
      <c r="V7" s="89" cm="1">
        <f t="array" ref="V7">INDEX(CADO_EMPREGOS_2022[],_xlfn.XMATCH(B7,CADO_EMPREGOS_2022[[#All],[TRIG 1P]],0,1)-1+C7,23)</f>
        <v>14</v>
      </c>
      <c r="W7" s="99" cm="1">
        <f t="array" ref="W7">INDEX(CADO_EMPREGOS_2022[],_xlfn.XMATCH(B7,CADO_EMPREGOS_2022[[#All],[TRIG 1P]],0,1)-1+C7+1,22)</f>
        <v>30</v>
      </c>
      <c r="X7" s="100" cm="1">
        <f t="array" ref="X7">INDEX(CADO_EMPREGOS_2022[],_xlfn.XMATCH(B7,CADO_EMPREGOS_2022[[#All],[TRIG 1P]],0,1)-1+C7+1,23)</f>
        <v>18</v>
      </c>
      <c r="Y7" s="94" t="s">
        <v>105</v>
      </c>
      <c r="Z7" s="94">
        <f t="shared" si="5"/>
        <v>8.8724999999999987</v>
      </c>
      <c r="AA7" s="94" t="s">
        <v>105</v>
      </c>
      <c r="AB7" s="98">
        <f t="shared" si="6"/>
        <v>5.333333333333333</v>
      </c>
      <c r="AC7" s="94" t="s">
        <v>105</v>
      </c>
      <c r="AD7" s="105">
        <f t="shared" si="2"/>
        <v>7.1029166666666654</v>
      </c>
      <c r="AF7" s="121" t="s">
        <v>220</v>
      </c>
      <c r="AG7" s="112" t="str">
        <v>MRC</v>
      </c>
      <c r="AH7" s="113">
        <v>9.2324999999999999</v>
      </c>
      <c r="AI7" s="112" t="str">
        <v>DLI</v>
      </c>
      <c r="AJ7" s="113">
        <v>8.5</v>
      </c>
      <c r="AK7" s="124" t="str">
        <v>DLI</v>
      </c>
      <c r="AL7" s="125">
        <v>8.8612500000000001</v>
      </c>
      <c r="AM7" s="117" t="s">
        <v>220</v>
      </c>
    </row>
    <row r="8" spans="1:39" x14ac:dyDescent="0.25">
      <c r="A8" s="166"/>
      <c r="B8" s="140" t="s">
        <v>106</v>
      </c>
      <c r="C8" s="110">
        <f>COUNTIFS('DB EMPREGOS'!$D$2:$D$162,B8,CADO_EMPREGOS_2022[MODALIDADE],"BRB")</f>
        <v>4</v>
      </c>
      <c r="D8" s="106">
        <f>COUNTIFS('DB EMPREGOS'!$D$2:$D$162,B8,CADO_EMPREGOS_2022[MODALIDADE],"TT")</f>
        <v>2</v>
      </c>
      <c r="E8" s="54" cm="1">
        <f t="array" ref="E8">INDEX(CADO_EMPREGOS_2022[],_xlfn.XMATCH(B8,CADO_EMPREGOS_2022[[#All],[TRIG 1P]],0,1)-1,20)</f>
        <v>4.9000000000000004</v>
      </c>
      <c r="F8" s="55" cm="1">
        <f t="array" ref="F8">INDEX(CADO_EMPREGOS_2022[],_xlfn.XMATCH(B8,CADO_EMPREGOS_2022[[#All],[TRIG 1P]],0,1)-1,21)</f>
        <v>1.5</v>
      </c>
      <c r="G8" s="55" t="str" cm="1">
        <f t="array" ref="G8">IF(INDEX(CADO_EMPREGOS_2022[],_xlfn.XMATCH(B8,CADO_EMPREGOS_2022[[#All],[TRIG 1P]],0,1)-1,36) = INDEX(CADO_EMPREGOS_2022[],_xlfn.XMATCH(B8,CADO_EMPREGOS_2022[[#All],[TRIG 1P]],0,1)-1,37),"N","S")</f>
        <v>N</v>
      </c>
      <c r="H8" s="56">
        <f t="shared" si="3"/>
        <v>9.51</v>
      </c>
      <c r="I8" s="63" cm="1">
        <f t="array" ref="I8">INDEX(CADO_EMPREGOS_2022[],_xlfn.XMATCH(B8,CADO_EMPREGOS_2022[[#All],[TRIG 1P]],0,1),20)</f>
        <v>5.7</v>
      </c>
      <c r="J8" s="64" cm="1">
        <f t="array" ref="J8">INDEX(CADO_EMPREGOS_2022[],_xlfn.XMATCH(B8,CADO_EMPREGOS_2022[[#All],[TRIG 1P]],0,1),21)</f>
        <v>4.2</v>
      </c>
      <c r="K8" s="64" t="str" cm="1">
        <f t="array" ref="K8">IF(INDEX(CADO_EMPREGOS_2022[],_xlfn.XMATCH(B8,CADO_EMPREGOS_2022[[#All],[TRIG 1P]],0,1),36) = INDEX(CADO_EMPREGOS_2022[],_xlfn.XMATCH(B8,CADO_EMPREGOS_2022[[#All],[TRIG 1P]],0,1),37),"N","S")</f>
        <v>N</v>
      </c>
      <c r="L8" s="65">
        <f t="shared" si="4"/>
        <v>9.43</v>
      </c>
      <c r="M8" s="72" cm="1">
        <f t="array" ref="M8">IF(INDEX(CADO_EMPREGOS_2022[],_xlfn.XMATCH(B8,CADO_EMPREGOS_2022[[#All],[TRIG 1P]],0,1)+1,8)&lt;&gt;"BRB","-",INDEX(CADO_EMPREGOS_2022[],_xlfn.XMATCH(B8,CADO_EMPREGOS_2022[[#All],[TRIG 1P]],0,1)+1,20))</f>
        <v>8.1999999999999993</v>
      </c>
      <c r="N8" s="73" cm="1">
        <f t="array" ref="N8">IF(INDEX(CADO_EMPREGOS_2022[],_xlfn.XMATCH(B8,CADO_EMPREGOS_2022[[#All],[TRIG 1P]],0,1)+1,8)&lt;&gt;"BRB","-",INDEX(CADO_EMPREGOS_2022[],_xlfn.XMATCH(B8,CADO_EMPREGOS_2022[[#All],[TRIG 1P]],0,1)+1,21))</f>
        <v>7.7</v>
      </c>
      <c r="O8" s="73" t="str" cm="1">
        <f t="array" ref="O8">IF(INDEX(CADO_EMPREGOS_2022[],_xlfn.XMATCH(B8,CADO_EMPREGOS_2022[[#All],[TRIG 1P]],0,1)+1,36) = INDEX(CADO_EMPREGOS_2022[],_xlfn.XMATCH(B8,CADO_EMPREGOS_2022[[#All],[TRIG 1P]],0,1)+1,37),"N","S")</f>
        <v>N</v>
      </c>
      <c r="P8" s="74">
        <f t="shared" si="0"/>
        <v>9.18</v>
      </c>
      <c r="Q8" s="81" cm="1">
        <f t="array" ref="Q8">IF(INDEX(CADO_EMPREGOS_2022[],_xlfn.XMATCH(B8,CADO_EMPREGOS_2022[[#All],[TRIG 1P]],0,1)+2,8)&lt;&gt;"BRB","-",INDEX(CADO_EMPREGOS_2022[],_xlfn.XMATCH(B8,CADO_EMPREGOS_2022[[#All],[TRIG 1P]],0,1)+2,20))</f>
        <v>9.6</v>
      </c>
      <c r="R8" s="82" cm="1">
        <f t="array" ref="R8">IF(INDEX(CADO_EMPREGOS_2022[],_xlfn.XMATCH(B8,CADO_EMPREGOS_2022[[#All],[TRIG 1P]],0,1)+2,8)&lt;&gt;"BRB","-",INDEX(CADO_EMPREGOS_2022[],_xlfn.XMATCH(B8,CADO_EMPREGOS_2022[[#All],[TRIG 1P]],0,1)+2,21))</f>
        <v>8.5</v>
      </c>
      <c r="S8" s="82" t="str" cm="1">
        <f t="array" ref="S8">IF(INDEX(CADO_EMPREGOS_2022[],_xlfn.XMATCH(B8,CADO_EMPREGOS_2022[[#All],[TRIG 1P]],0,1)+2,36) = INDEX(CADO_EMPREGOS_2022[],_xlfn.XMATCH(B8,CADO_EMPREGOS_2022[[#All],[TRIG 1P]],0,1)+2,37),"N","S")</f>
        <v>N</v>
      </c>
      <c r="T8" s="83">
        <f t="shared" si="1"/>
        <v>9.0399999999999991</v>
      </c>
      <c r="U8" s="96" cm="1">
        <f t="array" ref="U8">INDEX(CADO_EMPREGOS_2022[],_xlfn.XMATCH(B8,CADO_EMPREGOS_2022[[#All],[TRIG 1P]],0,1)-1+C8,22)</f>
        <v>30</v>
      </c>
      <c r="V8" s="89" cm="1">
        <f t="array" ref="V8">INDEX(CADO_EMPREGOS_2022[],_xlfn.XMATCH(B8,CADO_EMPREGOS_2022[[#All],[TRIG 1P]],0,1)-1+C8,23)</f>
        <v>2</v>
      </c>
      <c r="W8" s="99" cm="1">
        <f t="array" ref="W8">INDEX(CADO_EMPREGOS_2022[],_xlfn.XMATCH(B8,CADO_EMPREGOS_2022[[#All],[TRIG 1P]],0,1)-1+C8+1,22)</f>
        <v>30</v>
      </c>
      <c r="X8" s="100" cm="1">
        <f t="array" ref="X8">INDEX(CADO_EMPREGOS_2022[],_xlfn.XMATCH(B8,CADO_EMPREGOS_2022[[#All],[TRIG 1P]],0,1)-1+C8+1,23)</f>
        <v>17</v>
      </c>
      <c r="Y8" s="94" t="s">
        <v>106</v>
      </c>
      <c r="Z8" s="94">
        <f t="shared" si="5"/>
        <v>9.2899999999999991</v>
      </c>
      <c r="AA8" s="94" t="s">
        <v>106</v>
      </c>
      <c r="AB8" s="98">
        <f t="shared" si="6"/>
        <v>3.1666666666666665</v>
      </c>
      <c r="AC8" s="94" t="s">
        <v>106</v>
      </c>
      <c r="AD8" s="105">
        <f t="shared" si="2"/>
        <v>6.2283333333333326</v>
      </c>
      <c r="AF8" s="121" t="s">
        <v>221</v>
      </c>
      <c r="AG8" s="112" t="str">
        <v>DLI</v>
      </c>
      <c r="AH8" s="113">
        <v>9.2225000000000001</v>
      </c>
      <c r="AI8" s="112" t="str">
        <v>GVA</v>
      </c>
      <c r="AJ8" s="113">
        <v>8.5</v>
      </c>
      <c r="AK8" s="124" t="str">
        <v>KZO</v>
      </c>
      <c r="AL8" s="125">
        <v>8.7754166666666649</v>
      </c>
      <c r="AM8" s="117" t="s">
        <v>221</v>
      </c>
    </row>
    <row r="9" spans="1:39" x14ac:dyDescent="0.25">
      <c r="A9" s="166"/>
      <c r="B9" s="140" t="s">
        <v>99</v>
      </c>
      <c r="C9" s="110">
        <f>COUNTIFS('DB EMPREGOS'!$D$2:$D$162,B9,CADO_EMPREGOS_2022[MODALIDADE],"BRB")</f>
        <v>4</v>
      </c>
      <c r="D9" s="106">
        <f>COUNTIFS('DB EMPREGOS'!$D$2:$D$162,B9,CADO_EMPREGOS_2022[MODALIDADE],"TT")</f>
        <v>1</v>
      </c>
      <c r="E9" s="54" cm="1">
        <f t="array" ref="E9">INDEX(CADO_EMPREGOS_2022[],_xlfn.XMATCH(B9,CADO_EMPREGOS_2022[[#All],[TRIG 1P]],0,1)-1,20)</f>
        <v>4</v>
      </c>
      <c r="F9" s="55" cm="1">
        <f t="array" ref="F9">INDEX(CADO_EMPREGOS_2022[],_xlfn.XMATCH(B9,CADO_EMPREGOS_2022[[#All],[TRIG 1P]],0,1)-1,21)</f>
        <v>9</v>
      </c>
      <c r="G9" s="55" t="str" cm="1">
        <f t="array" ref="G9">IF(INDEX(CADO_EMPREGOS_2022[],_xlfn.XMATCH(B9,CADO_EMPREGOS_2022[[#All],[TRIG 1P]],0,1)-1,36) = INDEX(CADO_EMPREGOS_2022[],_xlfn.XMATCH(B9,CADO_EMPREGOS_2022[[#All],[TRIG 1P]],0,1)-1,37),"N","S")</f>
        <v>N</v>
      </c>
      <c r="H9" s="56">
        <f t="shared" si="3"/>
        <v>9.6</v>
      </c>
      <c r="I9" s="63" cm="1">
        <f t="array" ref="I9">INDEX(CADO_EMPREGOS_2022[],_xlfn.XMATCH(B9,CADO_EMPREGOS_2022[[#All],[TRIG 1P]],0,1),20)</f>
        <v>14.9</v>
      </c>
      <c r="J9" s="64" cm="1">
        <f t="array" ref="J9">INDEX(CADO_EMPREGOS_2022[],_xlfn.XMATCH(B9,CADO_EMPREGOS_2022[[#All],[TRIG 1P]],0,1),21)</f>
        <v>2</v>
      </c>
      <c r="K9" s="64" t="str" cm="1">
        <f t="array" ref="K9">IF(INDEX(CADO_EMPREGOS_2022[],_xlfn.XMATCH(B9,CADO_EMPREGOS_2022[[#All],[TRIG 1P]],0,1),36) = INDEX(CADO_EMPREGOS_2022[],_xlfn.XMATCH(B9,CADO_EMPREGOS_2022[[#All],[TRIG 1P]],0,1),37),"N","S")</f>
        <v>N</v>
      </c>
      <c r="L9" s="65">
        <f t="shared" si="4"/>
        <v>8.51</v>
      </c>
      <c r="M9" s="72" cm="1">
        <f t="array" ref="M9">IF(INDEX(CADO_EMPREGOS_2022[],_xlfn.XMATCH(B9,CADO_EMPREGOS_2022[[#All],[TRIG 1P]],0,1)+1,8)&lt;&gt;"BRB","-",INDEX(CADO_EMPREGOS_2022[],_xlfn.XMATCH(B9,CADO_EMPREGOS_2022[[#All],[TRIG 1P]],0,1)+1,20))</f>
        <v>2.6</v>
      </c>
      <c r="N9" s="73" cm="1">
        <f t="array" ref="N9">IF(INDEX(CADO_EMPREGOS_2022[],_xlfn.XMATCH(B9,CADO_EMPREGOS_2022[[#All],[TRIG 1P]],0,1)+1,8)&lt;&gt;"BRB","-",INDEX(CADO_EMPREGOS_2022[],_xlfn.XMATCH(B9,CADO_EMPREGOS_2022[[#All],[TRIG 1P]],0,1)+1,21))</f>
        <v>8</v>
      </c>
      <c r="O9" s="73" t="str" cm="1">
        <f t="array" ref="O9">IF(INDEX(CADO_EMPREGOS_2022[],_xlfn.XMATCH(B9,CADO_EMPREGOS_2022[[#All],[TRIG 1P]],0,1)+1,36) = INDEX(CADO_EMPREGOS_2022[],_xlfn.XMATCH(B9,CADO_EMPREGOS_2022[[#All],[TRIG 1P]],0,1)+1,37),"N","S")</f>
        <v>N</v>
      </c>
      <c r="P9" s="74">
        <f t="shared" si="0"/>
        <v>9.74</v>
      </c>
      <c r="Q9" s="81" cm="1">
        <f t="array" ref="Q9">IF(INDEX(CADO_EMPREGOS_2022[],_xlfn.XMATCH(B9,CADO_EMPREGOS_2022[[#All],[TRIG 1P]],0,1)+2,8)&lt;&gt;"BRB","-",INDEX(CADO_EMPREGOS_2022[],_xlfn.XMATCH(B9,CADO_EMPREGOS_2022[[#All],[TRIG 1P]],0,1)+2,20))</f>
        <v>9.1999999999999993</v>
      </c>
      <c r="R9" s="82" cm="1">
        <f t="array" ref="R9">IF(INDEX(CADO_EMPREGOS_2022[],_xlfn.XMATCH(B9,CADO_EMPREGOS_2022[[#All],[TRIG 1P]],0,1)+2,8)&lt;&gt;"BRB","-",INDEX(CADO_EMPREGOS_2022[],_xlfn.XMATCH(B9,CADO_EMPREGOS_2022[[#All],[TRIG 1P]],0,1)+2,21))</f>
        <v>6.1</v>
      </c>
      <c r="S9" s="82" t="str" cm="1">
        <f t="array" ref="S9">IF(INDEX(CADO_EMPREGOS_2022[],_xlfn.XMATCH(B9,CADO_EMPREGOS_2022[[#All],[TRIG 1P]],0,1)+2,36) = INDEX(CADO_EMPREGOS_2022[],_xlfn.XMATCH(B9,CADO_EMPREGOS_2022[[#All],[TRIG 1P]],0,1)+2,37),"N","S")</f>
        <v>N</v>
      </c>
      <c r="T9" s="83">
        <f t="shared" si="1"/>
        <v>9.08</v>
      </c>
      <c r="U9" s="96" cm="1">
        <f t="array" ref="U9">INDEX(CADO_EMPREGOS_2022[],_xlfn.XMATCH(B9,CADO_EMPREGOS_2022[[#All],[TRIG 1P]],0,1)-1+C9,22)</f>
        <v>28</v>
      </c>
      <c r="V9" s="89" cm="1">
        <f t="array" ref="V9">INDEX(CADO_EMPREGOS_2022[],_xlfn.XMATCH(B9,CADO_EMPREGOS_2022[[#All],[TRIG 1P]],0,1)-1+C9,23)</f>
        <v>22</v>
      </c>
      <c r="W9" s="99" t="str" cm="1">
        <f t="array" ref="W9">INDEX(CADO_EMPREGOS_2022[],_xlfn.XMATCH(B9,CADO_EMPREGOS_2022[[#All],[TRIG 1P]],0,1)-1+C9+1,22)</f>
        <v>-</v>
      </c>
      <c r="X9" s="100" t="str" cm="1">
        <f t="array" ref="X9">INDEX(CADO_EMPREGOS_2022[],_xlfn.XMATCH(B9,CADO_EMPREGOS_2022[[#All],[TRIG 1P]],0,1)-1+C9+1,23)</f>
        <v>-</v>
      </c>
      <c r="Y9" s="94" t="s">
        <v>99</v>
      </c>
      <c r="Z9" s="94">
        <f t="shared" si="5"/>
        <v>9.2324999999999999</v>
      </c>
      <c r="AA9" s="94" t="s">
        <v>99</v>
      </c>
      <c r="AB9" s="98">
        <f t="shared" si="6"/>
        <v>7.333333333333333</v>
      </c>
      <c r="AC9" s="94" t="s">
        <v>99</v>
      </c>
      <c r="AD9" s="105">
        <f t="shared" si="2"/>
        <v>8.2829166666666669</v>
      </c>
      <c r="AF9" s="121" t="s">
        <v>222</v>
      </c>
      <c r="AG9" s="112" t="str">
        <v>KZO</v>
      </c>
      <c r="AH9" s="113">
        <v>9.2174999999999994</v>
      </c>
      <c r="AI9" s="112" t="str">
        <v>CTH</v>
      </c>
      <c r="AJ9" s="113">
        <v>8.5</v>
      </c>
      <c r="AK9" s="124" t="str">
        <v>HRQ</v>
      </c>
      <c r="AL9" s="125">
        <v>8.6787500000000009</v>
      </c>
      <c r="AM9" s="117" t="s">
        <v>222</v>
      </c>
    </row>
    <row r="10" spans="1:39" x14ac:dyDescent="0.25">
      <c r="A10" s="166"/>
      <c r="B10" s="140" t="s">
        <v>107</v>
      </c>
      <c r="C10" s="110">
        <f>COUNTIFS('DB EMPREGOS'!$D$2:$D$162,B10,CADO_EMPREGOS_2022[MODALIDADE],"BRB")</f>
        <v>4</v>
      </c>
      <c r="D10" s="106">
        <f>COUNTIFS('DB EMPREGOS'!$D$2:$D$162,B10,CADO_EMPREGOS_2022[MODALIDADE],"TT")</f>
        <v>2</v>
      </c>
      <c r="E10" s="54" cm="1">
        <f t="array" ref="E10">INDEX(CADO_EMPREGOS_2022[],_xlfn.XMATCH(B10,CADO_EMPREGOS_2022[[#All],[TRIG 1P]],0,1)-1,20)</f>
        <v>5</v>
      </c>
      <c r="F10" s="55" cm="1">
        <f t="array" ref="F10">INDEX(CADO_EMPREGOS_2022[],_xlfn.XMATCH(B10,CADO_EMPREGOS_2022[[#All],[TRIG 1P]],0,1)-1,21)</f>
        <v>11</v>
      </c>
      <c r="G10" s="55" t="str" cm="1">
        <f t="array" ref="G10">IF(INDEX(CADO_EMPREGOS_2022[],_xlfn.XMATCH(B10,CADO_EMPREGOS_2022[[#All],[TRIG 1P]],0,1)-1,36) = INDEX(CADO_EMPREGOS_2022[],_xlfn.XMATCH(B10,CADO_EMPREGOS_2022[[#All],[TRIG 1P]],0,1)-1,37),"N","S")</f>
        <v>S</v>
      </c>
      <c r="H10" s="56" t="str">
        <f t="shared" si="3"/>
        <v>0</v>
      </c>
      <c r="I10" s="63" cm="1">
        <f t="array" ref="I10">INDEX(CADO_EMPREGOS_2022[],_xlfn.XMATCH(B10,CADO_EMPREGOS_2022[[#All],[TRIG 1P]],0,1),20)</f>
        <v>11.4</v>
      </c>
      <c r="J10" s="64" cm="1">
        <f t="array" ref="J10">INDEX(CADO_EMPREGOS_2022[],_xlfn.XMATCH(B10,CADO_EMPREGOS_2022[[#All],[TRIG 1P]],0,1),21)</f>
        <v>3</v>
      </c>
      <c r="K10" s="64" t="str" cm="1">
        <f t="array" ref="K10">IF(INDEX(CADO_EMPREGOS_2022[],_xlfn.XMATCH(B10,CADO_EMPREGOS_2022[[#All],[TRIG 1P]],0,1),36) = INDEX(CADO_EMPREGOS_2022[],_xlfn.XMATCH(B10,CADO_EMPREGOS_2022[[#All],[TRIG 1P]],0,1),37),"N","S")</f>
        <v>N</v>
      </c>
      <c r="L10" s="65">
        <f t="shared" si="4"/>
        <v>8.86</v>
      </c>
      <c r="M10" s="72" cm="1">
        <f t="array" ref="M10">IF(INDEX(CADO_EMPREGOS_2022[],_xlfn.XMATCH(B10,CADO_EMPREGOS_2022[[#All],[TRIG 1P]],0,1)+1,8)&lt;&gt;"BRB","-",INDEX(CADO_EMPREGOS_2022[],_xlfn.XMATCH(B10,CADO_EMPREGOS_2022[[#All],[TRIG 1P]],0,1)+1,20))</f>
        <v>9.1</v>
      </c>
      <c r="N10" s="73" cm="1">
        <f t="array" ref="N10">IF(INDEX(CADO_EMPREGOS_2022[],_xlfn.XMATCH(B10,CADO_EMPREGOS_2022[[#All],[TRIG 1P]],0,1)+1,8)&lt;&gt;"BRB","-",INDEX(CADO_EMPREGOS_2022[],_xlfn.XMATCH(B10,CADO_EMPREGOS_2022[[#All],[TRIG 1P]],0,1)+1,21))</f>
        <v>3.3</v>
      </c>
      <c r="O10" s="73" t="str" cm="1">
        <f t="array" ref="O10">IF(INDEX(CADO_EMPREGOS_2022[],_xlfn.XMATCH(B10,CADO_EMPREGOS_2022[[#All],[TRIG 1P]],0,1)+1,36) = INDEX(CADO_EMPREGOS_2022[],_xlfn.XMATCH(B10,CADO_EMPREGOS_2022[[#All],[TRIG 1P]],0,1)+1,37),"N","S")</f>
        <v>N</v>
      </c>
      <c r="P10" s="74">
        <f t="shared" si="0"/>
        <v>9.09</v>
      </c>
      <c r="Q10" s="81" cm="1">
        <f t="array" ref="Q10">IF(INDEX(CADO_EMPREGOS_2022[],_xlfn.XMATCH(B10,CADO_EMPREGOS_2022[[#All],[TRIG 1P]],0,1)+2,8)&lt;&gt;"BRB","-",INDEX(CADO_EMPREGOS_2022[],_xlfn.XMATCH(B10,CADO_EMPREGOS_2022[[#All],[TRIG 1P]],0,1)+2,20))</f>
        <v>13.6</v>
      </c>
      <c r="R10" s="82" cm="1">
        <f t="array" ref="R10">IF(INDEX(CADO_EMPREGOS_2022[],_xlfn.XMATCH(B10,CADO_EMPREGOS_2022[[#All],[TRIG 1P]],0,1)+2,8)&lt;&gt;"BRB","-",INDEX(CADO_EMPREGOS_2022[],_xlfn.XMATCH(B10,CADO_EMPREGOS_2022[[#All],[TRIG 1P]],0,1)+2,21))</f>
        <v>2.4</v>
      </c>
      <c r="S10" s="82" t="str" cm="1">
        <f t="array" ref="S10">IF(INDEX(CADO_EMPREGOS_2022[],_xlfn.XMATCH(B10,CADO_EMPREGOS_2022[[#All],[TRIG 1P]],0,1)+2,36) = INDEX(CADO_EMPREGOS_2022[],_xlfn.XMATCH(B10,CADO_EMPREGOS_2022[[#All],[TRIG 1P]],0,1)+2,37),"N","S")</f>
        <v>N</v>
      </c>
      <c r="T10" s="83">
        <f t="shared" si="1"/>
        <v>8.64</v>
      </c>
      <c r="U10" s="96" cm="1">
        <f t="array" ref="U10">INDEX(CADO_EMPREGOS_2022[],_xlfn.XMATCH(B10,CADO_EMPREGOS_2022[[#All],[TRIG 1P]],0,1)-1+C10,22)</f>
        <v>30</v>
      </c>
      <c r="V10" s="89" cm="1">
        <f t="array" ref="V10">INDEX(CADO_EMPREGOS_2022[],_xlfn.XMATCH(B10,CADO_EMPREGOS_2022[[#All],[TRIG 1P]],0,1)-1+C10,23)</f>
        <v>20</v>
      </c>
      <c r="W10" s="99" cm="1">
        <f t="array" ref="W10">INDEX(CADO_EMPREGOS_2022[],_xlfn.XMATCH(B10,CADO_EMPREGOS_2022[[#All],[TRIG 1P]],0,1)-1+C10+1,22)</f>
        <v>30</v>
      </c>
      <c r="X10" s="100" cm="1">
        <f t="array" ref="X10">INDEX(CADO_EMPREGOS_2022[],_xlfn.XMATCH(B10,CADO_EMPREGOS_2022[[#All],[TRIG 1P]],0,1)-1+C10+1,23)</f>
        <v>15</v>
      </c>
      <c r="Y10" s="94" t="s">
        <v>107</v>
      </c>
      <c r="Z10" s="94">
        <f t="shared" si="5"/>
        <v>6.6475</v>
      </c>
      <c r="AA10" s="94" t="s">
        <v>107</v>
      </c>
      <c r="AB10" s="98">
        <f t="shared" si="6"/>
        <v>5.8333333333333321</v>
      </c>
      <c r="AC10" s="94" t="s">
        <v>107</v>
      </c>
      <c r="AD10" s="105">
        <f t="shared" si="2"/>
        <v>6.2404166666666665</v>
      </c>
      <c r="AF10" s="121" t="s">
        <v>223</v>
      </c>
      <c r="AG10" s="112" t="str">
        <v>PER</v>
      </c>
      <c r="AH10" s="113">
        <v>9.1349999999999998</v>
      </c>
      <c r="AI10" s="112" t="str">
        <v>DAD</v>
      </c>
      <c r="AJ10" s="113">
        <v>8.5</v>
      </c>
      <c r="AK10" s="124" t="str">
        <v>LNA</v>
      </c>
      <c r="AL10" s="125">
        <v>8.456666666666667</v>
      </c>
      <c r="AM10" s="117" t="s">
        <v>223</v>
      </c>
    </row>
    <row r="11" spans="1:39" x14ac:dyDescent="0.25">
      <c r="A11" s="166"/>
      <c r="B11" s="140" t="s">
        <v>109</v>
      </c>
      <c r="C11" s="110">
        <f>COUNTIFS('DB EMPREGOS'!$D$2:$D$162,B11,CADO_EMPREGOS_2022[MODALIDADE],"BRB")</f>
        <v>4</v>
      </c>
      <c r="D11" s="106">
        <f>COUNTIFS('DB EMPREGOS'!$D$2:$D$162,B11,CADO_EMPREGOS_2022[MODALIDADE],"TT")</f>
        <v>2</v>
      </c>
      <c r="E11" s="54" cm="1">
        <f t="array" ref="E11">INDEX(CADO_EMPREGOS_2022[],_xlfn.XMATCH(B11,CADO_EMPREGOS_2022[[#All],[TRIG 1P]],0,1)-1,20)</f>
        <v>14.5</v>
      </c>
      <c r="F11" s="55" cm="1">
        <f t="array" ref="F11">INDEX(CADO_EMPREGOS_2022[],_xlfn.XMATCH(B11,CADO_EMPREGOS_2022[[#All],[TRIG 1P]],0,1)-1,21)</f>
        <v>5.6</v>
      </c>
      <c r="G11" s="55" t="str" cm="1">
        <f t="array" ref="G11">IF(INDEX(CADO_EMPREGOS_2022[],_xlfn.XMATCH(B11,CADO_EMPREGOS_2022[[#All],[TRIG 1P]],0,1)-1,36) = INDEX(CADO_EMPREGOS_2022[],_xlfn.XMATCH(B11,CADO_EMPREGOS_2022[[#All],[TRIG 1P]],0,1)-1,37),"N","S")</f>
        <v>N</v>
      </c>
      <c r="H11" s="56">
        <f t="shared" si="3"/>
        <v>8.5500000000000007</v>
      </c>
      <c r="I11" s="63" cm="1">
        <f t="array" ref="I11">INDEX(CADO_EMPREGOS_2022[],_xlfn.XMATCH(B11,CADO_EMPREGOS_2022[[#All],[TRIG 1P]],0,1),20)</f>
        <v>19.600000000000001</v>
      </c>
      <c r="J11" s="64" cm="1">
        <f t="array" ref="J11">INDEX(CADO_EMPREGOS_2022[],_xlfn.XMATCH(B11,CADO_EMPREGOS_2022[[#All],[TRIG 1P]],0,1),21)</f>
        <v>8.6999999999999993</v>
      </c>
      <c r="K11" s="64" t="str" cm="1">
        <f t="array" ref="K11">IF(INDEX(CADO_EMPREGOS_2022[],_xlfn.XMATCH(B11,CADO_EMPREGOS_2022[[#All],[TRIG 1P]],0,1),36) = INDEX(CADO_EMPREGOS_2022[],_xlfn.XMATCH(B11,CADO_EMPREGOS_2022[[#All],[TRIG 1P]],0,1),37),"N","S")</f>
        <v>N</v>
      </c>
      <c r="L11" s="65">
        <f t="shared" si="4"/>
        <v>8.0399999999999991</v>
      </c>
      <c r="M11" s="72" cm="1">
        <f t="array" ref="M11">IF(INDEX(CADO_EMPREGOS_2022[],_xlfn.XMATCH(B11,CADO_EMPREGOS_2022[[#All],[TRIG 1P]],0,1)+1,8)&lt;&gt;"BRB","-",INDEX(CADO_EMPREGOS_2022[],_xlfn.XMATCH(B11,CADO_EMPREGOS_2022[[#All],[TRIG 1P]],0,1)+1,20))</f>
        <v>5.0999999999999996</v>
      </c>
      <c r="N11" s="73" cm="1">
        <f t="array" ref="N11">IF(INDEX(CADO_EMPREGOS_2022[],_xlfn.XMATCH(B11,CADO_EMPREGOS_2022[[#All],[TRIG 1P]],0,1)+1,8)&lt;&gt;"BRB","-",INDEX(CADO_EMPREGOS_2022[],_xlfn.XMATCH(B11,CADO_EMPREGOS_2022[[#All],[TRIG 1P]],0,1)+1,21))</f>
        <v>11.8</v>
      </c>
      <c r="O11" s="73" t="str" cm="1">
        <f t="array" ref="O11">IF(INDEX(CADO_EMPREGOS_2022[],_xlfn.XMATCH(B11,CADO_EMPREGOS_2022[[#All],[TRIG 1P]],0,1)+1,36) = INDEX(CADO_EMPREGOS_2022[],_xlfn.XMATCH(B11,CADO_EMPREGOS_2022[[#All],[TRIG 1P]],0,1)+1,37),"N","S")</f>
        <v>N</v>
      </c>
      <c r="P11" s="74">
        <f t="shared" si="0"/>
        <v>9.49</v>
      </c>
      <c r="Q11" s="81" cm="1">
        <f t="array" ref="Q11">IF(INDEX(CADO_EMPREGOS_2022[],_xlfn.XMATCH(B11,CADO_EMPREGOS_2022[[#All],[TRIG 1P]],0,1)+2,8)&lt;&gt;"BRB","-",INDEX(CADO_EMPREGOS_2022[],_xlfn.XMATCH(B11,CADO_EMPREGOS_2022[[#All],[TRIG 1P]],0,1)+2,20))</f>
        <v>11.7</v>
      </c>
      <c r="R11" s="82" cm="1">
        <f t="array" ref="R11">IF(INDEX(CADO_EMPREGOS_2022[],_xlfn.XMATCH(B11,CADO_EMPREGOS_2022[[#All],[TRIG 1P]],0,1)+2,8)&lt;&gt;"BRB","-",INDEX(CADO_EMPREGOS_2022[],_xlfn.XMATCH(B11,CADO_EMPREGOS_2022[[#All],[TRIG 1P]],0,1)+2,21))</f>
        <v>6.4</v>
      </c>
      <c r="S11" s="82" t="str" cm="1">
        <f t="array" ref="S11">IF(INDEX(CADO_EMPREGOS_2022[],_xlfn.XMATCH(B11,CADO_EMPREGOS_2022[[#All],[TRIG 1P]],0,1)+2,36) = INDEX(CADO_EMPREGOS_2022[],_xlfn.XMATCH(B11,CADO_EMPREGOS_2022[[#All],[TRIG 1P]],0,1)+2,37),"N","S")</f>
        <v>N</v>
      </c>
      <c r="T11" s="83">
        <f t="shared" si="1"/>
        <v>8.83</v>
      </c>
      <c r="U11" s="96" cm="1">
        <f t="array" ref="U11">INDEX(CADO_EMPREGOS_2022[],_xlfn.XMATCH(B11,CADO_EMPREGOS_2022[[#All],[TRIG 1P]],0,1)-1+C11,22)</f>
        <v>30</v>
      </c>
      <c r="V11" s="89" cm="1">
        <f t="array" ref="V11">INDEX(CADO_EMPREGOS_2022[],_xlfn.XMATCH(B11,CADO_EMPREGOS_2022[[#All],[TRIG 1P]],0,1)-1+C11,23)</f>
        <v>15</v>
      </c>
      <c r="W11" s="99" cm="1">
        <f t="array" ref="W11">INDEX(CADO_EMPREGOS_2022[],_xlfn.XMATCH(B11,CADO_EMPREGOS_2022[[#All],[TRIG 1P]],0,1)-1+C11+1,22)</f>
        <v>30</v>
      </c>
      <c r="X11" s="100" cm="1">
        <f t="array" ref="X11">INDEX(CADO_EMPREGOS_2022[],_xlfn.XMATCH(B11,CADO_EMPREGOS_2022[[#All],[TRIG 1P]],0,1)-1+C11+1,23)</f>
        <v>26</v>
      </c>
      <c r="Y11" s="94" t="s">
        <v>109</v>
      </c>
      <c r="Z11" s="94">
        <f t="shared" si="5"/>
        <v>8.7274999999999991</v>
      </c>
      <c r="AA11" s="94" t="s">
        <v>109</v>
      </c>
      <c r="AB11" s="98">
        <f t="shared" si="6"/>
        <v>6.8333333333333339</v>
      </c>
      <c r="AC11" s="94" t="s">
        <v>109</v>
      </c>
      <c r="AD11" s="105">
        <f t="shared" si="2"/>
        <v>7.7804166666666665</v>
      </c>
      <c r="AF11" s="121" t="s">
        <v>224</v>
      </c>
      <c r="AG11" s="112" t="str">
        <v>LNA</v>
      </c>
      <c r="AH11" s="113">
        <v>9.08</v>
      </c>
      <c r="AI11" s="112" t="str">
        <v>BJN</v>
      </c>
      <c r="AJ11" s="113">
        <v>8.3333333333333339</v>
      </c>
      <c r="AK11" s="124" t="str">
        <v>FAC</v>
      </c>
      <c r="AL11" s="125">
        <v>8.4395833333333332</v>
      </c>
      <c r="AM11" s="117" t="s">
        <v>224</v>
      </c>
    </row>
    <row r="12" spans="1:39" x14ac:dyDescent="0.25">
      <c r="A12" s="166"/>
      <c r="B12" s="140" t="s">
        <v>110</v>
      </c>
      <c r="C12" s="110">
        <f>COUNTIFS('DB EMPREGOS'!$D$2:$D$162,B12,CADO_EMPREGOS_2022[MODALIDADE],"BRB")</f>
        <v>4</v>
      </c>
      <c r="D12" s="106">
        <f>COUNTIFS('DB EMPREGOS'!$D$2:$D$162,B12,CADO_EMPREGOS_2022[MODALIDADE],"TT")</f>
        <v>2</v>
      </c>
      <c r="E12" s="54" cm="1">
        <f t="array" ref="E12">INDEX(CADO_EMPREGOS_2022[],_xlfn.XMATCH(B12,CADO_EMPREGOS_2022[[#All],[TRIG 1P]],0,1)-1,20)</f>
        <v>21.5</v>
      </c>
      <c r="F12" s="55" cm="1">
        <f t="array" ref="F12">INDEX(CADO_EMPREGOS_2022[],_xlfn.XMATCH(B12,CADO_EMPREGOS_2022[[#All],[TRIG 1P]],0,1)-1,21)</f>
        <v>11.3</v>
      </c>
      <c r="G12" s="55" t="str" cm="1">
        <f t="array" ref="G12">IF(INDEX(CADO_EMPREGOS_2022[],_xlfn.XMATCH(B12,CADO_EMPREGOS_2022[[#All],[TRIG 1P]],0,1)-1,36) = INDEX(CADO_EMPREGOS_2022[],_xlfn.XMATCH(B12,CADO_EMPREGOS_2022[[#All],[TRIG 1P]],0,1)-1,37),"N","S")</f>
        <v>S</v>
      </c>
      <c r="H12" s="56" t="str">
        <f t="shared" si="3"/>
        <v>0</v>
      </c>
      <c r="I12" s="63" cm="1">
        <f t="array" ref="I12">INDEX(CADO_EMPREGOS_2022[],_xlfn.XMATCH(B12,CADO_EMPREGOS_2022[[#All],[TRIG 1P]],0,1),20)</f>
        <v>16.8</v>
      </c>
      <c r="J12" s="64" cm="1">
        <f t="array" ref="J12">INDEX(CADO_EMPREGOS_2022[],_xlfn.XMATCH(B12,CADO_EMPREGOS_2022[[#All],[TRIG 1P]],0,1),21)</f>
        <v>11.1</v>
      </c>
      <c r="K12" s="64" t="str" cm="1">
        <f t="array" ref="K12">IF(INDEX(CADO_EMPREGOS_2022[],_xlfn.XMATCH(B12,CADO_EMPREGOS_2022[[#All],[TRIG 1P]],0,1),36) = INDEX(CADO_EMPREGOS_2022[],_xlfn.XMATCH(B12,CADO_EMPREGOS_2022[[#All],[TRIG 1P]],0,1),37),"N","S")</f>
        <v>N</v>
      </c>
      <c r="L12" s="65">
        <f t="shared" si="4"/>
        <v>8.32</v>
      </c>
      <c r="M12" s="72" cm="1">
        <f t="array" ref="M12">IF(INDEX(CADO_EMPREGOS_2022[],_xlfn.XMATCH(B12,CADO_EMPREGOS_2022[[#All],[TRIG 1P]],0,1)+1,8)&lt;&gt;"BRB","-",INDEX(CADO_EMPREGOS_2022[],_xlfn.XMATCH(B12,CADO_EMPREGOS_2022[[#All],[TRIG 1P]],0,1)+1,20))</f>
        <v>2.2000000000000002</v>
      </c>
      <c r="N12" s="73" cm="1">
        <f t="array" ref="N12">IF(INDEX(CADO_EMPREGOS_2022[],_xlfn.XMATCH(B12,CADO_EMPREGOS_2022[[#All],[TRIG 1P]],0,1)+1,8)&lt;&gt;"BRB","-",INDEX(CADO_EMPREGOS_2022[],_xlfn.XMATCH(B12,CADO_EMPREGOS_2022[[#All],[TRIG 1P]],0,1)+1,21))</f>
        <v>6</v>
      </c>
      <c r="O12" s="73" t="str" cm="1">
        <f t="array" ref="O12">IF(INDEX(CADO_EMPREGOS_2022[],_xlfn.XMATCH(B12,CADO_EMPREGOS_2022[[#All],[TRIG 1P]],0,1)+1,36) = INDEX(CADO_EMPREGOS_2022[],_xlfn.XMATCH(B12,CADO_EMPREGOS_2022[[#All],[TRIG 1P]],0,1)+1,37),"N","S")</f>
        <v>N</v>
      </c>
      <c r="P12" s="74">
        <f t="shared" si="0"/>
        <v>9.7799999999999994</v>
      </c>
      <c r="Q12" s="81" cm="1">
        <f t="array" ref="Q12">IF(INDEX(CADO_EMPREGOS_2022[],_xlfn.XMATCH(B12,CADO_EMPREGOS_2022[[#All],[TRIG 1P]],0,1)+2,8)&lt;&gt;"BRB","-",INDEX(CADO_EMPREGOS_2022[],_xlfn.XMATCH(B12,CADO_EMPREGOS_2022[[#All],[TRIG 1P]],0,1)+2,20))</f>
        <v>5.3</v>
      </c>
      <c r="R12" s="82" cm="1">
        <f t="array" ref="R12">IF(INDEX(CADO_EMPREGOS_2022[],_xlfn.XMATCH(B12,CADO_EMPREGOS_2022[[#All],[TRIG 1P]],0,1)+2,8)&lt;&gt;"BRB","-",INDEX(CADO_EMPREGOS_2022[],_xlfn.XMATCH(B12,CADO_EMPREGOS_2022[[#All],[TRIG 1P]],0,1)+2,21))</f>
        <v>2.8</v>
      </c>
      <c r="S12" s="82" t="str" cm="1">
        <f t="array" ref="S12">IF(INDEX(CADO_EMPREGOS_2022[],_xlfn.XMATCH(B12,CADO_EMPREGOS_2022[[#All],[TRIG 1P]],0,1)+2,36) = INDEX(CADO_EMPREGOS_2022[],_xlfn.XMATCH(B12,CADO_EMPREGOS_2022[[#All],[TRIG 1P]],0,1)+2,37),"N","S")</f>
        <v>N</v>
      </c>
      <c r="T12" s="83">
        <f t="shared" si="1"/>
        <v>9.4700000000000006</v>
      </c>
      <c r="U12" s="96" cm="1">
        <f t="array" ref="U12">INDEX(CADO_EMPREGOS_2022[],_xlfn.XMATCH(B12,CADO_EMPREGOS_2022[[#All],[TRIG 1P]],0,1)-1+C12,22)</f>
        <v>30</v>
      </c>
      <c r="V12" s="89" cm="1">
        <f t="array" ref="V12">INDEX(CADO_EMPREGOS_2022[],_xlfn.XMATCH(B12,CADO_EMPREGOS_2022[[#All],[TRIG 1P]],0,1)-1+C12,23)</f>
        <v>28</v>
      </c>
      <c r="W12" s="99" cm="1">
        <f t="array" ref="W12">INDEX(CADO_EMPREGOS_2022[],_xlfn.XMATCH(B12,CADO_EMPREGOS_2022[[#All],[TRIG 1P]],0,1)-1+C12+1,22)</f>
        <v>15</v>
      </c>
      <c r="X12" s="100" cm="1">
        <f t="array" ref="X12">INDEX(CADO_EMPREGOS_2022[],_xlfn.XMATCH(B12,CADO_EMPREGOS_2022[[#All],[TRIG 1P]],0,1)-1+C12+1,23)</f>
        <v>15</v>
      </c>
      <c r="Y12" s="94" t="s">
        <v>110</v>
      </c>
      <c r="Z12" s="94">
        <f t="shared" si="5"/>
        <v>6.8925000000000001</v>
      </c>
      <c r="AA12" s="94" t="s">
        <v>110</v>
      </c>
      <c r="AB12" s="98">
        <f t="shared" si="6"/>
        <v>7.166666666666667</v>
      </c>
      <c r="AC12" s="94" t="s">
        <v>110</v>
      </c>
      <c r="AD12" s="105">
        <f t="shared" si="2"/>
        <v>7.0295833333333331</v>
      </c>
      <c r="AF12" s="121" t="s">
        <v>225</v>
      </c>
      <c r="AG12" s="112" t="str">
        <v>RCD</v>
      </c>
      <c r="AH12" s="113">
        <v>8.9774999999999991</v>
      </c>
      <c r="AI12" s="112" t="str">
        <v>KZO</v>
      </c>
      <c r="AJ12" s="113">
        <v>8.3333333333333321</v>
      </c>
      <c r="AK12" s="124" t="str">
        <v>MRC</v>
      </c>
      <c r="AL12" s="125">
        <v>8.2829166666666669</v>
      </c>
      <c r="AM12" s="117" t="s">
        <v>225</v>
      </c>
    </row>
    <row r="13" spans="1:39" x14ac:dyDescent="0.25">
      <c r="A13" s="166"/>
      <c r="B13" s="140" t="s">
        <v>111</v>
      </c>
      <c r="C13" s="110">
        <f>COUNTIFS('DB EMPREGOS'!$D$2:$D$162,B13,CADO_EMPREGOS_2022[MODALIDADE],"BRB")</f>
        <v>3</v>
      </c>
      <c r="D13" s="106">
        <f>COUNTIFS('DB EMPREGOS'!$D$2:$D$162,B13,CADO_EMPREGOS_2022[MODALIDADE],"TT")</f>
        <v>2</v>
      </c>
      <c r="E13" s="54" cm="1">
        <f t="array" ref="E13">INDEX(CADO_EMPREGOS_2022[],_xlfn.XMATCH(B13,CADO_EMPREGOS_2022[[#All],[TRIG 1P]],0,1)-1,20)</f>
        <v>5.3</v>
      </c>
      <c r="F13" s="55" cm="1">
        <f t="array" ref="F13">INDEX(CADO_EMPREGOS_2022[],_xlfn.XMATCH(B13,CADO_EMPREGOS_2022[[#All],[TRIG 1P]],0,1)-1,21)</f>
        <v>8.8000000000000007</v>
      </c>
      <c r="G13" s="55" t="str" cm="1">
        <f t="array" ref="G13">IF(INDEX(CADO_EMPREGOS_2022[],_xlfn.XMATCH(B13,CADO_EMPREGOS_2022[[#All],[TRIG 1P]],0,1)-1,36) = INDEX(CADO_EMPREGOS_2022[],_xlfn.XMATCH(B13,CADO_EMPREGOS_2022[[#All],[TRIG 1P]],0,1)-1,37),"N","S")</f>
        <v>N</v>
      </c>
      <c r="H13" s="56">
        <f t="shared" si="3"/>
        <v>9.4700000000000006</v>
      </c>
      <c r="I13" s="63" cm="1">
        <f t="array" ref="I13">INDEX(CADO_EMPREGOS_2022[],_xlfn.XMATCH(B13,CADO_EMPREGOS_2022[[#All],[TRIG 1P]],0,1),20)</f>
        <v>9</v>
      </c>
      <c r="J13" s="64" cm="1">
        <f t="array" ref="J13">INDEX(CADO_EMPREGOS_2022[],_xlfn.XMATCH(B13,CADO_EMPREGOS_2022[[#All],[TRIG 1P]],0,1),21)</f>
        <v>6.2</v>
      </c>
      <c r="K13" s="64" t="str" cm="1">
        <f t="array" ref="K13">IF(INDEX(CADO_EMPREGOS_2022[],_xlfn.XMATCH(B13,CADO_EMPREGOS_2022[[#All],[TRIG 1P]],0,1),36) = INDEX(CADO_EMPREGOS_2022[],_xlfn.XMATCH(B13,CADO_EMPREGOS_2022[[#All],[TRIG 1P]],0,1),37),"N","S")</f>
        <v>N</v>
      </c>
      <c r="L13" s="65">
        <f t="shared" si="4"/>
        <v>9.1</v>
      </c>
      <c r="M13" s="72" cm="1">
        <f t="array" ref="M13">IF(INDEX(CADO_EMPREGOS_2022[],_xlfn.XMATCH(B13,CADO_EMPREGOS_2022[[#All],[TRIG 1P]],0,1)+1,8)&lt;&gt;"BRB","-",INDEX(CADO_EMPREGOS_2022[],_xlfn.XMATCH(B13,CADO_EMPREGOS_2022[[#All],[TRIG 1P]],0,1)+1,20))</f>
        <v>29.5</v>
      </c>
      <c r="N13" s="73" cm="1">
        <f t="array" ref="N13">IF(INDEX(CADO_EMPREGOS_2022[],_xlfn.XMATCH(B13,CADO_EMPREGOS_2022[[#All],[TRIG 1P]],0,1)+1,8)&lt;&gt;"BRB","-",INDEX(CADO_EMPREGOS_2022[],_xlfn.XMATCH(B13,CADO_EMPREGOS_2022[[#All],[TRIG 1P]],0,1)+1,21))</f>
        <v>8.6999999999999993</v>
      </c>
      <c r="O13" s="73" t="str" cm="1">
        <f t="array" ref="O13">IF(INDEX(CADO_EMPREGOS_2022[],_xlfn.XMATCH(B13,CADO_EMPREGOS_2022[[#All],[TRIG 1P]],0,1)+1,36) = INDEX(CADO_EMPREGOS_2022[],_xlfn.XMATCH(B13,CADO_EMPREGOS_2022[[#All],[TRIG 1P]],0,1)+1,37),"N","S")</f>
        <v>N</v>
      </c>
      <c r="P13" s="74">
        <f t="shared" si="0"/>
        <v>7.05</v>
      </c>
      <c r="Q13" s="81" t="str" cm="1">
        <f t="array" ref="Q13">IF(INDEX(CADO_EMPREGOS_2022[],_xlfn.XMATCH(B13,CADO_EMPREGOS_2022[[#All],[TRIG 1P]],0,1)+2,8)&lt;&gt;"BRB","-",INDEX(CADO_EMPREGOS_2022[],_xlfn.XMATCH(B13,CADO_EMPREGOS_2022[[#All],[TRIG 1P]],0,1)+2,20))</f>
        <v>-</v>
      </c>
      <c r="R13" s="82" t="str" cm="1">
        <f t="array" ref="R13">IF(INDEX(CADO_EMPREGOS_2022[],_xlfn.XMATCH(B13,CADO_EMPREGOS_2022[[#All],[TRIG 1P]],0,1)+2,8)&lt;&gt;"BRB","-",INDEX(CADO_EMPREGOS_2022[],_xlfn.XMATCH(B13,CADO_EMPREGOS_2022[[#All],[TRIG 1P]],0,1)+2,21))</f>
        <v>-</v>
      </c>
      <c r="S13" s="82" t="str" cm="1">
        <f t="array" ref="S13">IF(INDEX(CADO_EMPREGOS_2022[],_xlfn.XMATCH(B13,CADO_EMPREGOS_2022[[#All],[TRIG 1P]],0,1)+2,36) = INDEX(CADO_EMPREGOS_2022[],_xlfn.XMATCH(B13,CADO_EMPREGOS_2022[[#All],[TRIG 1P]],0,1)+2,37),"N","S")</f>
        <v>N</v>
      </c>
      <c r="T13" s="83" t="str">
        <f t="shared" si="1"/>
        <v>-</v>
      </c>
      <c r="U13" s="96" cm="1">
        <f t="array" ref="U13">INDEX(CADO_EMPREGOS_2022[],_xlfn.XMATCH(B13,CADO_EMPREGOS_2022[[#All],[TRIG 1P]],0,1)-1+C13,22)</f>
        <v>28</v>
      </c>
      <c r="V13" s="89" cm="1">
        <f t="array" ref="V13">INDEX(CADO_EMPREGOS_2022[],_xlfn.XMATCH(B13,CADO_EMPREGOS_2022[[#All],[TRIG 1P]],0,1)-1+C13,23)</f>
        <v>28</v>
      </c>
      <c r="W13" s="99" cm="1">
        <f t="array" ref="W13">INDEX(CADO_EMPREGOS_2022[],_xlfn.XMATCH(B13,CADO_EMPREGOS_2022[[#All],[TRIG 1P]],0,1)-1+C13+1,22)</f>
        <v>30</v>
      </c>
      <c r="X13" s="100" cm="1">
        <f t="array" ref="X13">INDEX(CADO_EMPREGOS_2022[],_xlfn.XMATCH(B13,CADO_EMPREGOS_2022[[#All],[TRIG 1P]],0,1)-1+C13+1,23)</f>
        <v>28</v>
      </c>
      <c r="Y13" s="94" t="s">
        <v>111</v>
      </c>
      <c r="Z13" s="94">
        <f t="shared" si="5"/>
        <v>8.5400000000000009</v>
      </c>
      <c r="AA13" s="94" t="s">
        <v>111</v>
      </c>
      <c r="AB13" s="98">
        <f t="shared" si="6"/>
        <v>9.3333333333333339</v>
      </c>
      <c r="AC13" s="94" t="s">
        <v>111</v>
      </c>
      <c r="AD13" s="105">
        <f t="shared" si="2"/>
        <v>8.9366666666666674</v>
      </c>
      <c r="AF13" s="121" t="s">
        <v>226</v>
      </c>
      <c r="AG13" s="112" t="str">
        <v>AVL</v>
      </c>
      <c r="AH13" s="113">
        <v>8.9466666666666672</v>
      </c>
      <c r="AI13" s="112" t="str">
        <v>FAC</v>
      </c>
      <c r="AJ13" s="113">
        <v>8.1666666666666661</v>
      </c>
      <c r="AK13" s="124" t="str">
        <v>RCD</v>
      </c>
      <c r="AL13" s="125">
        <v>8.1554166666666674</v>
      </c>
      <c r="AM13" s="117" t="s">
        <v>226</v>
      </c>
    </row>
    <row r="14" spans="1:39" x14ac:dyDescent="0.25">
      <c r="A14" s="166"/>
      <c r="B14" s="140" t="s">
        <v>112</v>
      </c>
      <c r="C14" s="110">
        <f>COUNTIFS('DB EMPREGOS'!$D$2:$D$162,B14,CADO_EMPREGOS_2022[MODALIDADE],"BRB")</f>
        <v>4</v>
      </c>
      <c r="D14" s="106">
        <f>COUNTIFS('DB EMPREGOS'!$D$2:$D$162,B14,CADO_EMPREGOS_2022[MODALIDADE],"TT")</f>
        <v>2</v>
      </c>
      <c r="E14" s="54" cm="1">
        <f t="array" ref="E14">INDEX(CADO_EMPREGOS_2022[],_xlfn.XMATCH(B14,CADO_EMPREGOS_2022[[#All],[TRIG 1P]],0,1)-1,20)</f>
        <v>2.4</v>
      </c>
      <c r="F14" s="55" cm="1">
        <f t="array" ref="F14">INDEX(CADO_EMPREGOS_2022[],_xlfn.XMATCH(B14,CADO_EMPREGOS_2022[[#All],[TRIG 1P]],0,1)-1,21)</f>
        <v>1.5</v>
      </c>
      <c r="G14" s="55" t="str" cm="1">
        <f t="array" ref="G14">IF(INDEX(CADO_EMPREGOS_2022[],_xlfn.XMATCH(B14,CADO_EMPREGOS_2022[[#All],[TRIG 1P]],0,1)-1,36) = INDEX(CADO_EMPREGOS_2022[],_xlfn.XMATCH(B14,CADO_EMPREGOS_2022[[#All],[TRIG 1P]],0,1)-1,37),"N","S")</f>
        <v>N</v>
      </c>
      <c r="H14" s="56">
        <f t="shared" si="3"/>
        <v>9.76</v>
      </c>
      <c r="I14" s="63" cm="1">
        <f t="array" ref="I14">INDEX(CADO_EMPREGOS_2022[],_xlfn.XMATCH(B14,CADO_EMPREGOS_2022[[#All],[TRIG 1P]],0,1),20)</f>
        <v>12.3</v>
      </c>
      <c r="J14" s="64" cm="1">
        <f t="array" ref="J14">INDEX(CADO_EMPREGOS_2022[],_xlfn.XMATCH(B14,CADO_EMPREGOS_2022[[#All],[TRIG 1P]],0,1),21)</f>
        <v>7.4</v>
      </c>
      <c r="K14" s="64" t="str" cm="1">
        <f t="array" ref="K14">IF(INDEX(CADO_EMPREGOS_2022[],_xlfn.XMATCH(B14,CADO_EMPREGOS_2022[[#All],[TRIG 1P]],0,1),36) = INDEX(CADO_EMPREGOS_2022[],_xlfn.XMATCH(B14,CADO_EMPREGOS_2022[[#All],[TRIG 1P]],0,1),37),"N","S")</f>
        <v>N</v>
      </c>
      <c r="L14" s="65">
        <f t="shared" si="4"/>
        <v>8.77</v>
      </c>
      <c r="M14" s="72" cm="1">
        <f t="array" ref="M14">IF(INDEX(CADO_EMPREGOS_2022[],_xlfn.XMATCH(B14,CADO_EMPREGOS_2022[[#All],[TRIG 1P]],0,1)+1,8)&lt;&gt;"BRB","-",INDEX(CADO_EMPREGOS_2022[],_xlfn.XMATCH(B14,CADO_EMPREGOS_2022[[#All],[TRIG 1P]],0,1)+1,20))</f>
        <v>4.4000000000000004</v>
      </c>
      <c r="N14" s="73" cm="1">
        <f t="array" ref="N14">IF(INDEX(CADO_EMPREGOS_2022[],_xlfn.XMATCH(B14,CADO_EMPREGOS_2022[[#All],[TRIG 1P]],0,1)+1,8)&lt;&gt;"BRB","-",INDEX(CADO_EMPREGOS_2022[],_xlfn.XMATCH(B14,CADO_EMPREGOS_2022[[#All],[TRIG 1P]],0,1)+1,21))</f>
        <v>9.6999999999999993</v>
      </c>
      <c r="O14" s="73" t="str" cm="1">
        <f t="array" ref="O14">IF(INDEX(CADO_EMPREGOS_2022[],_xlfn.XMATCH(B14,CADO_EMPREGOS_2022[[#All],[TRIG 1P]],0,1)+1,36) = INDEX(CADO_EMPREGOS_2022[],_xlfn.XMATCH(B14,CADO_EMPREGOS_2022[[#All],[TRIG 1P]],0,1)+1,37),"N","S")</f>
        <v>N</v>
      </c>
      <c r="P14" s="74">
        <f t="shared" si="0"/>
        <v>9.56</v>
      </c>
      <c r="Q14" s="81" cm="1">
        <f t="array" ref="Q14">IF(INDEX(CADO_EMPREGOS_2022[],_xlfn.XMATCH(B14,CADO_EMPREGOS_2022[[#All],[TRIG 1P]],0,1)+2,8)&lt;&gt;"BRB","-",INDEX(CADO_EMPREGOS_2022[],_xlfn.XMATCH(B14,CADO_EMPREGOS_2022[[#All],[TRIG 1P]],0,1)+2,20))</f>
        <v>12</v>
      </c>
      <c r="R14" s="82" cm="1">
        <f t="array" ref="R14">IF(INDEX(CADO_EMPREGOS_2022[],_xlfn.XMATCH(B14,CADO_EMPREGOS_2022[[#All],[TRIG 1P]],0,1)+2,8)&lt;&gt;"BRB","-",INDEX(CADO_EMPREGOS_2022[],_xlfn.XMATCH(B14,CADO_EMPREGOS_2022[[#All],[TRIG 1P]],0,1)+2,21))</f>
        <v>3.8</v>
      </c>
      <c r="S14" s="82" t="str" cm="1">
        <f t="array" ref="S14">IF(INDEX(CADO_EMPREGOS_2022[],_xlfn.XMATCH(B14,CADO_EMPREGOS_2022[[#All],[TRIG 1P]],0,1)+2,36) = INDEX(CADO_EMPREGOS_2022[],_xlfn.XMATCH(B14,CADO_EMPREGOS_2022[[#All],[TRIG 1P]],0,1)+2,37),"N","S")</f>
        <v>N</v>
      </c>
      <c r="T14" s="83">
        <f t="shared" si="1"/>
        <v>8.8000000000000007</v>
      </c>
      <c r="U14" s="96" cm="1">
        <f t="array" ref="U14">INDEX(CADO_EMPREGOS_2022[],_xlfn.XMATCH(B14,CADO_EMPREGOS_2022[[#All],[TRIG 1P]],0,1)-1+C14,22)</f>
        <v>30</v>
      </c>
      <c r="V14" s="89" cm="1">
        <f t="array" ref="V14">INDEX(CADO_EMPREGOS_2022[],_xlfn.XMATCH(B14,CADO_EMPREGOS_2022[[#All],[TRIG 1P]],0,1)-1+C14,23)</f>
        <v>23</v>
      </c>
      <c r="W14" s="99" cm="1">
        <f t="array" ref="W14">INDEX(CADO_EMPREGOS_2022[],_xlfn.XMATCH(B14,CADO_EMPREGOS_2022[[#All],[TRIG 1P]],0,1)-1+C14+1,22)</f>
        <v>28</v>
      </c>
      <c r="X14" s="100" cm="1">
        <f t="array" ref="X14">INDEX(CADO_EMPREGOS_2022[],_xlfn.XMATCH(B14,CADO_EMPREGOS_2022[[#All],[TRIG 1P]],0,1)-1+C14+1,23)</f>
        <v>28</v>
      </c>
      <c r="Y14" s="94" t="s">
        <v>112</v>
      </c>
      <c r="Z14" s="94">
        <f t="shared" si="5"/>
        <v>9.2225000000000001</v>
      </c>
      <c r="AA14" s="94" t="s">
        <v>112</v>
      </c>
      <c r="AB14" s="98">
        <f t="shared" si="6"/>
        <v>8.5</v>
      </c>
      <c r="AC14" s="94" t="s">
        <v>112</v>
      </c>
      <c r="AD14" s="105">
        <f t="shared" si="2"/>
        <v>8.8612500000000001</v>
      </c>
      <c r="AF14" s="121" t="s">
        <v>227</v>
      </c>
      <c r="AG14" s="112" t="str">
        <v>BRU</v>
      </c>
      <c r="AH14" s="113">
        <v>8.8825000000000003</v>
      </c>
      <c r="AI14" s="112" t="str">
        <v>HRQ</v>
      </c>
      <c r="AJ14" s="113">
        <v>8</v>
      </c>
      <c r="AK14" s="124" t="str">
        <v>AVL</v>
      </c>
      <c r="AL14" s="125">
        <v>7.8066666666666666</v>
      </c>
      <c r="AM14" s="117" t="s">
        <v>227</v>
      </c>
    </row>
    <row r="15" spans="1:39" x14ac:dyDescent="0.25">
      <c r="A15" s="166"/>
      <c r="B15" s="140" t="s">
        <v>113</v>
      </c>
      <c r="C15" s="110">
        <f>COUNTIFS('DB EMPREGOS'!$D$2:$D$162,B15,CADO_EMPREGOS_2022[MODALIDADE],"BRB")</f>
        <v>3</v>
      </c>
      <c r="D15" s="106">
        <f>COUNTIFS('DB EMPREGOS'!$D$2:$D$162,B15,CADO_EMPREGOS_2022[MODALIDADE],"TT")</f>
        <v>2</v>
      </c>
      <c r="E15" s="54" cm="1">
        <f t="array" ref="E15">INDEX(CADO_EMPREGOS_2022[],_xlfn.XMATCH(B15,CADO_EMPREGOS_2022[[#All],[TRIG 1P]],0,1)-1,20)</f>
        <v>9.6</v>
      </c>
      <c r="F15" s="55" cm="1">
        <f t="array" ref="F15">INDEX(CADO_EMPREGOS_2022[],_xlfn.XMATCH(B15,CADO_EMPREGOS_2022[[#All],[TRIG 1P]],0,1)-1,21)</f>
        <v>5.7</v>
      </c>
      <c r="G15" s="55" t="str" cm="1">
        <f t="array" ref="G15">IF(INDEX(CADO_EMPREGOS_2022[],_xlfn.XMATCH(B15,CADO_EMPREGOS_2022[[#All],[TRIG 1P]],0,1)-1,36) = INDEX(CADO_EMPREGOS_2022[],_xlfn.XMATCH(B15,CADO_EMPREGOS_2022[[#All],[TRIG 1P]],0,1)-1,37),"N","S")</f>
        <v>N</v>
      </c>
      <c r="H15" s="56">
        <f t="shared" si="3"/>
        <v>9.0399999999999991</v>
      </c>
      <c r="I15" s="63" cm="1">
        <f t="array" ref="I15">INDEX(CADO_EMPREGOS_2022[],_xlfn.XMATCH(B15,CADO_EMPREGOS_2022[[#All],[TRIG 1P]],0,1),20)</f>
        <v>16.8</v>
      </c>
      <c r="J15" s="64" cm="1">
        <f t="array" ref="J15">INDEX(CADO_EMPREGOS_2022[],_xlfn.XMATCH(B15,CADO_EMPREGOS_2022[[#All],[TRIG 1P]],0,1),21)</f>
        <v>1</v>
      </c>
      <c r="K15" s="64" t="str" cm="1">
        <f t="array" ref="K15">IF(INDEX(CADO_EMPREGOS_2022[],_xlfn.XMATCH(B15,CADO_EMPREGOS_2022[[#All],[TRIG 1P]],0,1),36) = INDEX(CADO_EMPREGOS_2022[],_xlfn.XMATCH(B15,CADO_EMPREGOS_2022[[#All],[TRIG 1P]],0,1),37),"N","S")</f>
        <v>S</v>
      </c>
      <c r="L15" s="65" t="str">
        <f t="shared" si="4"/>
        <v>0</v>
      </c>
      <c r="M15" s="72" cm="1">
        <f t="array" ref="M15">IF(INDEX(CADO_EMPREGOS_2022[],_xlfn.XMATCH(B15,CADO_EMPREGOS_2022[[#All],[TRIG 1P]],0,1)+1,8)&lt;&gt;"BRB","-",INDEX(CADO_EMPREGOS_2022[],_xlfn.XMATCH(B15,CADO_EMPREGOS_2022[[#All],[TRIG 1P]],0,1)+1,20))</f>
        <v>8.4</v>
      </c>
      <c r="N15" s="73" cm="1">
        <f t="array" ref="N15">IF(INDEX(CADO_EMPREGOS_2022[],_xlfn.XMATCH(B15,CADO_EMPREGOS_2022[[#All],[TRIG 1P]],0,1)+1,8)&lt;&gt;"BRB","-",INDEX(CADO_EMPREGOS_2022[],_xlfn.XMATCH(B15,CADO_EMPREGOS_2022[[#All],[TRIG 1P]],0,1)+1,21))</f>
        <v>1.5</v>
      </c>
      <c r="O15" s="73" t="str" cm="1">
        <f t="array" ref="O15">IF(INDEX(CADO_EMPREGOS_2022[],_xlfn.XMATCH(B15,CADO_EMPREGOS_2022[[#All],[TRIG 1P]],0,1)+1,36) = INDEX(CADO_EMPREGOS_2022[],_xlfn.XMATCH(B15,CADO_EMPREGOS_2022[[#All],[TRIG 1P]],0,1)+1,37),"N","S")</f>
        <v>N</v>
      </c>
      <c r="P15" s="74">
        <f t="shared" si="0"/>
        <v>9.16</v>
      </c>
      <c r="Q15" s="81" t="str" cm="1">
        <f t="array" ref="Q15">IF(INDEX(CADO_EMPREGOS_2022[],_xlfn.XMATCH(B15,CADO_EMPREGOS_2022[[#All],[TRIG 1P]],0,1)+2,8)&lt;&gt;"BRB","-",INDEX(CADO_EMPREGOS_2022[],_xlfn.XMATCH(B15,CADO_EMPREGOS_2022[[#All],[TRIG 1P]],0,1)+2,20))</f>
        <v>-</v>
      </c>
      <c r="R15" s="82" t="str" cm="1">
        <f t="array" ref="R15">IF(INDEX(CADO_EMPREGOS_2022[],_xlfn.XMATCH(B15,CADO_EMPREGOS_2022[[#All],[TRIG 1P]],0,1)+2,8)&lt;&gt;"BRB","-",INDEX(CADO_EMPREGOS_2022[],_xlfn.XMATCH(B15,CADO_EMPREGOS_2022[[#All],[TRIG 1P]],0,1)+2,21))</f>
        <v>-</v>
      </c>
      <c r="S15" s="82" t="str" cm="1">
        <f t="array" ref="S15">IF(INDEX(CADO_EMPREGOS_2022[],_xlfn.XMATCH(B15,CADO_EMPREGOS_2022[[#All],[TRIG 1P]],0,1)+2,36) = INDEX(CADO_EMPREGOS_2022[],_xlfn.XMATCH(B15,CADO_EMPREGOS_2022[[#All],[TRIG 1P]],0,1)+2,37),"N","S")</f>
        <v>S</v>
      </c>
      <c r="T15" s="83" t="str">
        <f t="shared" si="1"/>
        <v>-</v>
      </c>
      <c r="U15" s="96" cm="1">
        <f t="array" ref="U15">INDEX(CADO_EMPREGOS_2022[],_xlfn.XMATCH(B15,CADO_EMPREGOS_2022[[#All],[TRIG 1P]],0,1)-1+C15,22)</f>
        <v>30</v>
      </c>
      <c r="V15" s="89" cm="1">
        <f t="array" ref="V15">INDEX(CADO_EMPREGOS_2022[],_xlfn.XMATCH(B15,CADO_EMPREGOS_2022[[#All],[TRIG 1P]],0,1)-1+C15,23)</f>
        <v>28</v>
      </c>
      <c r="W15" s="99" cm="1">
        <f t="array" ref="W15">INDEX(CADO_EMPREGOS_2022[],_xlfn.XMATCH(B15,CADO_EMPREGOS_2022[[#All],[TRIG 1P]],0,1)-1+C15+1,22)</f>
        <v>30</v>
      </c>
      <c r="X15" s="100" cm="1">
        <f t="array" ref="X15">INDEX(CADO_EMPREGOS_2022[],_xlfn.XMATCH(B15,CADO_EMPREGOS_2022[[#All],[TRIG 1P]],0,1)-1+C15+1,23)</f>
        <v>23</v>
      </c>
      <c r="Y15" s="94" t="s">
        <v>113</v>
      </c>
      <c r="Z15" s="94">
        <f t="shared" si="5"/>
        <v>6.0666666666666664</v>
      </c>
      <c r="AA15" s="94" t="s">
        <v>113</v>
      </c>
      <c r="AB15" s="98">
        <f t="shared" si="6"/>
        <v>8.5</v>
      </c>
      <c r="AC15" s="94" t="s">
        <v>113</v>
      </c>
      <c r="AD15" s="105">
        <f t="shared" si="2"/>
        <v>7.2833333333333332</v>
      </c>
      <c r="AF15" s="121" t="s">
        <v>228</v>
      </c>
      <c r="AG15" s="112" t="str">
        <v>MAR</v>
      </c>
      <c r="AH15" s="113">
        <v>8.8724999999999987</v>
      </c>
      <c r="AI15" s="112" t="str">
        <v>LNA</v>
      </c>
      <c r="AJ15" s="113">
        <v>7.833333333333333</v>
      </c>
      <c r="AK15" s="124" t="str">
        <v>SOE</v>
      </c>
      <c r="AL15" s="125">
        <v>7.7804166666666665</v>
      </c>
      <c r="AM15" s="117" t="s">
        <v>228</v>
      </c>
    </row>
    <row r="16" spans="1:39" x14ac:dyDescent="0.25">
      <c r="A16" s="166"/>
      <c r="B16" s="140" t="s">
        <v>114</v>
      </c>
      <c r="C16" s="110">
        <f>COUNTIFS('DB EMPREGOS'!$D$2:$D$162,B16,CADO_EMPREGOS_2022[MODALIDADE],"BRB")</f>
        <v>3</v>
      </c>
      <c r="D16" s="106">
        <f>COUNTIFS('DB EMPREGOS'!$D$2:$D$162,B16,CADO_EMPREGOS_2022[MODALIDADE],"TT")</f>
        <v>2</v>
      </c>
      <c r="E16" s="54" cm="1">
        <f t="array" ref="E16">INDEX(CADO_EMPREGOS_2022[],_xlfn.XMATCH(B16,CADO_EMPREGOS_2022[[#All],[TRIG 1P]],0,1)-1,20)</f>
        <v>5.0999999999999996</v>
      </c>
      <c r="F16" s="55" cm="1">
        <f t="array" ref="F16">INDEX(CADO_EMPREGOS_2022[],_xlfn.XMATCH(B16,CADO_EMPREGOS_2022[[#All],[TRIG 1P]],0,1)-1,21)</f>
        <v>12.1</v>
      </c>
      <c r="G16" s="55" t="str" cm="1">
        <f t="array" ref="G16">IF(INDEX(CADO_EMPREGOS_2022[],_xlfn.XMATCH(B16,CADO_EMPREGOS_2022[[#All],[TRIG 1P]],0,1)-1,36) = INDEX(CADO_EMPREGOS_2022[],_xlfn.XMATCH(B16,CADO_EMPREGOS_2022[[#All],[TRIG 1P]],0,1)-1,37),"N","S")</f>
        <v>N</v>
      </c>
      <c r="H16" s="56">
        <f t="shared" si="3"/>
        <v>9.49</v>
      </c>
      <c r="I16" s="63" cm="1">
        <f t="array" ref="I16">INDEX(CADO_EMPREGOS_2022[],_xlfn.XMATCH(B16,CADO_EMPREGOS_2022[[#All],[TRIG 1P]],0,1),20)</f>
        <v>9.8000000000000007</v>
      </c>
      <c r="J16" s="64" cm="1">
        <f t="array" ref="J16">INDEX(CADO_EMPREGOS_2022[],_xlfn.XMATCH(B16,CADO_EMPREGOS_2022[[#All],[TRIG 1P]],0,1),21)</f>
        <v>4.9000000000000004</v>
      </c>
      <c r="K16" s="64" t="str" cm="1">
        <f t="array" ref="K16">IF(INDEX(CADO_EMPREGOS_2022[],_xlfn.XMATCH(B16,CADO_EMPREGOS_2022[[#All],[TRIG 1P]],0,1),36) = INDEX(CADO_EMPREGOS_2022[],_xlfn.XMATCH(B16,CADO_EMPREGOS_2022[[#All],[TRIG 1P]],0,1),37),"N","S")</f>
        <v>N</v>
      </c>
      <c r="L16" s="65">
        <f t="shared" si="4"/>
        <v>9.02</v>
      </c>
      <c r="M16" s="72" cm="1">
        <f t="array" ref="M16">IF(INDEX(CADO_EMPREGOS_2022[],_xlfn.XMATCH(B16,CADO_EMPREGOS_2022[[#All],[TRIG 1P]],0,1)+1,8)&lt;&gt;"BRB","-",INDEX(CADO_EMPREGOS_2022[],_xlfn.XMATCH(B16,CADO_EMPREGOS_2022[[#All],[TRIG 1P]],0,1)+1,20))</f>
        <v>1.6</v>
      </c>
      <c r="N16" s="73" cm="1">
        <f t="array" ref="N16">IF(INDEX(CADO_EMPREGOS_2022[],_xlfn.XMATCH(B16,CADO_EMPREGOS_2022[[#All],[TRIG 1P]],0,1)+1,8)&lt;&gt;"BRB","-",INDEX(CADO_EMPREGOS_2022[],_xlfn.XMATCH(B16,CADO_EMPREGOS_2022[[#All],[TRIG 1P]],0,1)+1,21))</f>
        <v>10.5</v>
      </c>
      <c r="O16" s="73" t="str" cm="1">
        <f t="array" ref="O16">IF(INDEX(CADO_EMPREGOS_2022[],_xlfn.XMATCH(B16,CADO_EMPREGOS_2022[[#All],[TRIG 1P]],0,1)+1,36) = INDEX(CADO_EMPREGOS_2022[],_xlfn.XMATCH(B16,CADO_EMPREGOS_2022[[#All],[TRIG 1P]],0,1)+1,37),"N","S")</f>
        <v>N</v>
      </c>
      <c r="P16" s="74">
        <f t="shared" si="0"/>
        <v>9.84</v>
      </c>
      <c r="Q16" s="81" t="str" cm="1">
        <f t="array" ref="Q16">IF(INDEX(CADO_EMPREGOS_2022[],_xlfn.XMATCH(B16,CADO_EMPREGOS_2022[[#All],[TRIG 1P]],0,1)+2,8)&lt;&gt;"BRB","-",INDEX(CADO_EMPREGOS_2022[],_xlfn.XMATCH(B16,CADO_EMPREGOS_2022[[#All],[TRIG 1P]],0,1)+2,20))</f>
        <v>-</v>
      </c>
      <c r="R16" s="82" t="str" cm="1">
        <f t="array" ref="R16">IF(INDEX(CADO_EMPREGOS_2022[],_xlfn.XMATCH(B16,CADO_EMPREGOS_2022[[#All],[TRIG 1P]],0,1)+2,8)&lt;&gt;"BRB","-",INDEX(CADO_EMPREGOS_2022[],_xlfn.XMATCH(B16,CADO_EMPREGOS_2022[[#All],[TRIG 1P]],0,1)+2,21))</f>
        <v>-</v>
      </c>
      <c r="S16" s="82" t="str" cm="1">
        <f t="array" ref="S16">IF(INDEX(CADO_EMPREGOS_2022[],_xlfn.XMATCH(B16,CADO_EMPREGOS_2022[[#All],[TRIG 1P]],0,1)+2,36) = INDEX(CADO_EMPREGOS_2022[],_xlfn.XMATCH(B16,CADO_EMPREGOS_2022[[#All],[TRIG 1P]],0,1)+2,37),"N","S")</f>
        <v>N</v>
      </c>
      <c r="T16" s="83" t="str">
        <f t="shared" si="1"/>
        <v>-</v>
      </c>
      <c r="U16" s="96" cm="1">
        <f t="array" ref="U16">INDEX(CADO_EMPREGOS_2022[],_xlfn.XMATCH(B16,CADO_EMPREGOS_2022[[#All],[TRIG 1P]],0,1)-1+C16,22)</f>
        <v>30</v>
      </c>
      <c r="V16" s="89" cm="1">
        <f t="array" ref="V16">INDEX(CADO_EMPREGOS_2022[],_xlfn.XMATCH(B16,CADO_EMPREGOS_2022[[#All],[TRIG 1P]],0,1)-1+C16,23)</f>
        <v>24</v>
      </c>
      <c r="W16" s="99" cm="1">
        <f t="array" ref="W16">INDEX(CADO_EMPREGOS_2022[],_xlfn.XMATCH(B16,CADO_EMPREGOS_2022[[#All],[TRIG 1P]],0,1)-1+C16+1,22)</f>
        <v>30</v>
      </c>
      <c r="X16" s="100" cm="1">
        <f t="array" ref="X16">INDEX(CADO_EMPREGOS_2022[],_xlfn.XMATCH(B16,CADO_EMPREGOS_2022[[#All],[TRIG 1P]],0,1)-1+C16+1,23)</f>
        <v>27</v>
      </c>
      <c r="Y16" s="94" t="s">
        <v>114</v>
      </c>
      <c r="Z16" s="94">
        <f t="shared" si="5"/>
        <v>9.4499999999999993</v>
      </c>
      <c r="AA16" s="94" t="s">
        <v>114</v>
      </c>
      <c r="AB16" s="98">
        <f t="shared" si="6"/>
        <v>8.5</v>
      </c>
      <c r="AC16" s="94" t="s">
        <v>114</v>
      </c>
      <c r="AD16" s="105">
        <f t="shared" si="2"/>
        <v>8.9749999999999996</v>
      </c>
      <c r="AF16" s="121" t="s">
        <v>229</v>
      </c>
      <c r="AG16" s="112" t="str">
        <v>MRL</v>
      </c>
      <c r="AH16" s="113">
        <v>8.8699999999999992</v>
      </c>
      <c r="AI16" s="112" t="str">
        <v>TAV</v>
      </c>
      <c r="AJ16" s="113">
        <v>7.3333333333333339</v>
      </c>
      <c r="AK16" s="124" t="str">
        <v>BRU</v>
      </c>
      <c r="AL16" s="125">
        <v>7.7745833333333341</v>
      </c>
      <c r="AM16" s="117" t="s">
        <v>229</v>
      </c>
    </row>
    <row r="17" spans="1:39" x14ac:dyDescent="0.25">
      <c r="A17" s="167"/>
      <c r="B17" s="140" t="s">
        <v>115</v>
      </c>
      <c r="C17" s="110">
        <f>COUNTIFS('DB EMPREGOS'!$D$2:$D$162,B17,CADO_EMPREGOS_2022[MODALIDADE],"BRB")</f>
        <v>3</v>
      </c>
      <c r="D17" s="106">
        <f>COUNTIFS('DB EMPREGOS'!$D$2:$D$162,B17,CADO_EMPREGOS_2022[MODALIDADE],"TT")</f>
        <v>2</v>
      </c>
      <c r="E17" s="54" cm="1">
        <f t="array" ref="E17">INDEX(CADO_EMPREGOS_2022[],_xlfn.XMATCH(B17,CADO_EMPREGOS_2022[[#All],[TRIG 1P]],0,1)-1,20)</f>
        <v>10.3</v>
      </c>
      <c r="F17" s="55" cm="1">
        <f t="array" ref="F17">INDEX(CADO_EMPREGOS_2022[],_xlfn.XMATCH(B17,CADO_EMPREGOS_2022[[#All],[TRIG 1P]],0,1)-1,21)</f>
        <v>8.3000000000000007</v>
      </c>
      <c r="G17" s="55" t="str" cm="1">
        <f t="array" ref="G17">IF(INDEX(CADO_EMPREGOS_2022[],_xlfn.XMATCH(B17,CADO_EMPREGOS_2022[[#All],[TRIG 1P]],0,1)-1,36) = INDEX(CADO_EMPREGOS_2022[],_xlfn.XMATCH(B17,CADO_EMPREGOS_2022[[#All],[TRIG 1P]],0,1)-1,37),"N","S")</f>
        <v>N</v>
      </c>
      <c r="H17" s="56">
        <f t="shared" si="3"/>
        <v>8.9700000000000006</v>
      </c>
      <c r="I17" s="63" cm="1">
        <f t="array" ref="I17">INDEX(CADO_EMPREGOS_2022[],_xlfn.XMATCH(B17,CADO_EMPREGOS_2022[[#All],[TRIG 1P]],0,1),20)</f>
        <v>5.4</v>
      </c>
      <c r="J17" s="64" cm="1">
        <f t="array" ref="J17">INDEX(CADO_EMPREGOS_2022[],_xlfn.XMATCH(B17,CADO_EMPREGOS_2022[[#All],[TRIG 1P]],0,1),21)</f>
        <v>6.6</v>
      </c>
      <c r="K17" s="64" t="str" cm="1">
        <f t="array" ref="K17">IF(INDEX(CADO_EMPREGOS_2022[],_xlfn.XMATCH(B17,CADO_EMPREGOS_2022[[#All],[TRIG 1P]],0,1),36) = INDEX(CADO_EMPREGOS_2022[],_xlfn.XMATCH(B17,CADO_EMPREGOS_2022[[#All],[TRIG 1P]],0,1),37),"N","S")</f>
        <v>N</v>
      </c>
      <c r="L17" s="65">
        <f t="shared" si="4"/>
        <v>9.4600000000000009</v>
      </c>
      <c r="M17" s="72" cm="1">
        <f t="array" ref="M17">IF(INDEX(CADO_EMPREGOS_2022[],_xlfn.XMATCH(B17,CADO_EMPREGOS_2022[[#All],[TRIG 1P]],0,1)+1,8)&lt;&gt;"BRB","-",INDEX(CADO_EMPREGOS_2022[],_xlfn.XMATCH(B17,CADO_EMPREGOS_2022[[#All],[TRIG 1P]],0,1)+1,20))</f>
        <v>15.9</v>
      </c>
      <c r="N17" s="73" cm="1">
        <f t="array" ref="N17">IF(INDEX(CADO_EMPREGOS_2022[],_xlfn.XMATCH(B17,CADO_EMPREGOS_2022[[#All],[TRIG 1P]],0,1)+1,8)&lt;&gt;"BRB","-",INDEX(CADO_EMPREGOS_2022[],_xlfn.XMATCH(B17,CADO_EMPREGOS_2022[[#All],[TRIG 1P]],0,1)+1,21))</f>
        <v>7</v>
      </c>
      <c r="O17" s="73" t="str" cm="1">
        <f t="array" ref="O17">IF(INDEX(CADO_EMPREGOS_2022[],_xlfn.XMATCH(B17,CADO_EMPREGOS_2022[[#All],[TRIG 1P]],0,1)+1,36) = INDEX(CADO_EMPREGOS_2022[],_xlfn.XMATCH(B17,CADO_EMPREGOS_2022[[#All],[TRIG 1P]],0,1)+1,37),"N","S")</f>
        <v>N</v>
      </c>
      <c r="P17" s="74">
        <f t="shared" si="0"/>
        <v>8.41</v>
      </c>
      <c r="Q17" s="81" t="str" cm="1">
        <f t="array" ref="Q17">IF(INDEX(CADO_EMPREGOS_2022[],_xlfn.XMATCH(B17,CADO_EMPREGOS_2022[[#All],[TRIG 1P]],0,1)+2,8)&lt;&gt;"BRB","-",INDEX(CADO_EMPREGOS_2022[],_xlfn.XMATCH(B17,CADO_EMPREGOS_2022[[#All],[TRIG 1P]],0,1)+2,20))</f>
        <v>-</v>
      </c>
      <c r="R17" s="82" t="str" cm="1">
        <f t="array" ref="R17">IF(INDEX(CADO_EMPREGOS_2022[],_xlfn.XMATCH(B17,CADO_EMPREGOS_2022[[#All],[TRIG 1P]],0,1)+2,8)&lt;&gt;"BRB","-",INDEX(CADO_EMPREGOS_2022[],_xlfn.XMATCH(B17,CADO_EMPREGOS_2022[[#All],[TRIG 1P]],0,1)+2,21))</f>
        <v>-</v>
      </c>
      <c r="S17" s="82" t="str" cm="1">
        <f t="array" ref="S17">IF(INDEX(CADO_EMPREGOS_2022[],_xlfn.XMATCH(B17,CADO_EMPREGOS_2022[[#All],[TRIG 1P]],0,1)+2,36) = INDEX(CADO_EMPREGOS_2022[],_xlfn.XMATCH(B17,CADO_EMPREGOS_2022[[#All],[TRIG 1P]],0,1)+2,37),"N","S")</f>
        <v>N</v>
      </c>
      <c r="T17" s="83" t="str">
        <f>IF(Q17="-","-",IF(S17="N",(PRODUCT(-0.1,Q17)+10),"0"))</f>
        <v>-</v>
      </c>
      <c r="U17" s="96" cm="1">
        <f t="array" ref="U17">INDEX(CADO_EMPREGOS_2022[],_xlfn.XMATCH(B17,CADO_EMPREGOS_2022[[#All],[TRIG 1P]],0,1)-1+C17,22)</f>
        <v>30</v>
      </c>
      <c r="V17" s="89" cm="1">
        <f t="array" ref="V17">INDEX(CADO_EMPREGOS_2022[],_xlfn.XMATCH(B17,CADO_EMPREGOS_2022[[#All],[TRIG 1P]],0,1)-1+C17,23)</f>
        <v>19</v>
      </c>
      <c r="W17" s="99" cm="1">
        <f t="array" ref="W17">INDEX(CADO_EMPREGOS_2022[],_xlfn.XMATCH(B17,CADO_EMPREGOS_2022[[#All],[TRIG 1P]],0,1)-1+C17+1,22)</f>
        <v>30</v>
      </c>
      <c r="X17" s="100" cm="1">
        <f t="array" ref="X17">INDEX(CADO_EMPREGOS_2022[],_xlfn.XMATCH(B17,CADO_EMPREGOS_2022[[#All],[TRIG 1P]],0,1)-1+C17+1,23)</f>
        <v>21</v>
      </c>
      <c r="Y17" s="94" t="s">
        <v>115</v>
      </c>
      <c r="Z17" s="94">
        <f t="shared" si="5"/>
        <v>8.9466666666666672</v>
      </c>
      <c r="AA17" s="94" t="s">
        <v>115</v>
      </c>
      <c r="AB17" s="98">
        <f t="shared" si="6"/>
        <v>6.6666666666666661</v>
      </c>
      <c r="AC17" s="94" t="s">
        <v>115</v>
      </c>
      <c r="AD17" s="105">
        <f t="shared" si="2"/>
        <v>7.8066666666666666</v>
      </c>
      <c r="AF17" s="121" t="s">
        <v>230</v>
      </c>
      <c r="AG17" s="112" t="str">
        <v>ARG</v>
      </c>
      <c r="AH17" s="113">
        <v>8.7899999999999991</v>
      </c>
      <c r="AI17" s="112" t="str">
        <v>RCD</v>
      </c>
      <c r="AJ17" s="113">
        <v>7.3333333333333339</v>
      </c>
      <c r="AK17" s="124" t="str">
        <v>BOZ</v>
      </c>
      <c r="AL17" s="125">
        <v>7.7208333333333332</v>
      </c>
      <c r="AM17" s="117" t="s">
        <v>230</v>
      </c>
    </row>
    <row r="18" spans="1:39" x14ac:dyDescent="0.25">
      <c r="A18" s="165" t="s">
        <v>212</v>
      </c>
      <c r="B18" s="140" t="s">
        <v>116</v>
      </c>
      <c r="C18" s="110">
        <f>COUNTIFS('DB EMPREGOS'!$D$2:$D$162,B18,CADO_EMPREGOS_2022[MODALIDADE],"BRB")</f>
        <v>4</v>
      </c>
      <c r="D18" s="106">
        <f>COUNTIFS('DB EMPREGOS'!$D$2:$D$162,B18,CADO_EMPREGOS_2022[MODALIDADE],"TT")</f>
        <v>2</v>
      </c>
      <c r="E18" s="54" cm="1">
        <f t="array" ref="E18">INDEX(CADO_EMPREGOS_2022[],_xlfn.XMATCH(B18,CADO_EMPREGOS_2022[[#All],[TRIG 1P]],0,1)-1,20)</f>
        <v>4.8</v>
      </c>
      <c r="F18" s="55" cm="1">
        <f t="array" ref="F18">INDEX(CADO_EMPREGOS_2022[],_xlfn.XMATCH(B18,CADO_EMPREGOS_2022[[#All],[TRIG 1P]],0,1)-1,21)</f>
        <v>9.4</v>
      </c>
      <c r="G18" s="55" t="str" cm="1">
        <f t="array" ref="G18">IF(INDEX(CADO_EMPREGOS_2022[],_xlfn.XMATCH(B18,CADO_EMPREGOS_2022[[#All],[TRIG 1P]],0,1)-1,36) = INDEX(CADO_EMPREGOS_2022[],_xlfn.XMATCH(B18,CADO_EMPREGOS_2022[[#All],[TRIG 1P]],0,1)-1,37),"N","S")</f>
        <v>S</v>
      </c>
      <c r="H18" s="56" t="str">
        <f t="shared" si="3"/>
        <v>0</v>
      </c>
      <c r="I18" s="63" cm="1">
        <f t="array" ref="I18">INDEX(CADO_EMPREGOS_2022[],_xlfn.XMATCH(B18,CADO_EMPREGOS_2022[[#All],[TRIG 1P]],0,1),20)</f>
        <v>12.1</v>
      </c>
      <c r="J18" s="64" cm="1">
        <f t="array" ref="J18">INDEX(CADO_EMPREGOS_2022[],_xlfn.XMATCH(B18,CADO_EMPREGOS_2022[[#All],[TRIG 1P]],0,1),21)</f>
        <v>6.5</v>
      </c>
      <c r="K18" s="64" t="str" cm="1">
        <f t="array" ref="K18">IF(INDEX(CADO_EMPREGOS_2022[],_xlfn.XMATCH(B18,CADO_EMPREGOS_2022[[#All],[TRIG 1P]],0,1),36) = INDEX(CADO_EMPREGOS_2022[],_xlfn.XMATCH(B18,CADO_EMPREGOS_2022[[#All],[TRIG 1P]],0,1),37),"N","S")</f>
        <v>N</v>
      </c>
      <c r="L18" s="65">
        <f t="shared" si="4"/>
        <v>8.7899999999999991</v>
      </c>
      <c r="M18" s="72" cm="1">
        <f t="array" ref="M18">IF(INDEX(CADO_EMPREGOS_2022[],_xlfn.XMATCH(B18,CADO_EMPREGOS_2022[[#All],[TRIG 1P]],0,1)+1,8)&lt;&gt;"BRB","-",INDEX(CADO_EMPREGOS_2022[],_xlfn.XMATCH(B18,CADO_EMPREGOS_2022[[#All],[TRIG 1P]],0,1)+1,20))</f>
        <v>10.5</v>
      </c>
      <c r="N18" s="73" cm="1">
        <f t="array" ref="N18">IF(INDEX(CADO_EMPREGOS_2022[],_xlfn.XMATCH(B18,CADO_EMPREGOS_2022[[#All],[TRIG 1P]],0,1)+1,8)&lt;&gt;"BRB","-",INDEX(CADO_EMPREGOS_2022[],_xlfn.XMATCH(B18,CADO_EMPREGOS_2022[[#All],[TRIG 1P]],0,1)+1,21))</f>
        <v>6.4</v>
      </c>
      <c r="O18" s="73" t="str" cm="1">
        <f t="array" ref="O18">IF(INDEX(CADO_EMPREGOS_2022[],_xlfn.XMATCH(B18,CADO_EMPREGOS_2022[[#All],[TRIG 1P]],0,1)+1,36) = INDEX(CADO_EMPREGOS_2022[],_xlfn.XMATCH(B18,CADO_EMPREGOS_2022[[#All],[TRIG 1P]],0,1)+1,37),"N","S")</f>
        <v>N</v>
      </c>
      <c r="P18" s="74">
        <f t="shared" si="0"/>
        <v>8.9499999999999993</v>
      </c>
      <c r="Q18" s="81" cm="1">
        <f t="array" ref="Q18">IF(INDEX(CADO_EMPREGOS_2022[],_xlfn.XMATCH(B18,CADO_EMPREGOS_2022[[#All],[TRIG 1P]],0,1)+2,8)&lt;&gt;"BRB","-",INDEX(CADO_EMPREGOS_2022[],_xlfn.XMATCH(B18,CADO_EMPREGOS_2022[[#All],[TRIG 1P]],0,1)+2,20))</f>
        <v>6.4</v>
      </c>
      <c r="R18" s="82" cm="1">
        <f t="array" ref="R18">IF(INDEX(CADO_EMPREGOS_2022[],_xlfn.XMATCH(B18,CADO_EMPREGOS_2022[[#All],[TRIG 1P]],0,1)+2,8)&lt;&gt;"BRB","-",INDEX(CADO_EMPREGOS_2022[],_xlfn.XMATCH(B18,CADO_EMPREGOS_2022[[#All],[TRIG 1P]],0,1)+2,21))</f>
        <v>10.199999999999999</v>
      </c>
      <c r="S18" s="82" t="str" cm="1">
        <f t="array" ref="S18">IF(INDEX(CADO_EMPREGOS_2022[],_xlfn.XMATCH(B18,CADO_EMPREGOS_2022[[#All],[TRIG 1P]],0,1)+2,36) = INDEX(CADO_EMPREGOS_2022[],_xlfn.XMATCH(B18,CADO_EMPREGOS_2022[[#All],[TRIG 1P]],0,1)+2,37),"N","S")</f>
        <v>N</v>
      </c>
      <c r="T18" s="83">
        <f t="shared" si="1"/>
        <v>9.36</v>
      </c>
      <c r="U18" s="96" cm="1">
        <f t="array" ref="U18">INDEX(CADO_EMPREGOS_2022[],_xlfn.XMATCH(B18,CADO_EMPREGOS_2022[[#All],[TRIG 1P]],0,1)-1+C18,22)</f>
        <v>30</v>
      </c>
      <c r="V18" s="89" cm="1">
        <f t="array" ref="V18">INDEX(CADO_EMPREGOS_2022[],_xlfn.XMATCH(B18,CADO_EMPREGOS_2022[[#All],[TRIG 1P]],0,1)-1+C18,23)</f>
        <v>24</v>
      </c>
      <c r="W18" s="99" cm="1">
        <f t="array" ref="W18">INDEX(CADO_EMPREGOS_2022[],_xlfn.XMATCH(B18,CADO_EMPREGOS_2022[[#All],[TRIG 1P]],0,1)-1+C18+1,22)</f>
        <v>30</v>
      </c>
      <c r="X18" s="100" cm="1">
        <f t="array" ref="X18">INDEX(CADO_EMPREGOS_2022[],_xlfn.XMATCH(B18,CADO_EMPREGOS_2022[[#All],[TRIG 1P]],0,1)-1+C18+1,23)</f>
        <v>28</v>
      </c>
      <c r="Y18" s="94" t="s">
        <v>116</v>
      </c>
      <c r="Z18" s="94">
        <f t="shared" si="5"/>
        <v>6.7749999999999995</v>
      </c>
      <c r="AA18" s="94" t="s">
        <v>116</v>
      </c>
      <c r="AB18" s="98">
        <f t="shared" si="6"/>
        <v>8.6666666666666679</v>
      </c>
      <c r="AC18" s="94" t="s">
        <v>116</v>
      </c>
      <c r="AD18" s="105">
        <f t="shared" si="2"/>
        <v>7.7208333333333332</v>
      </c>
      <c r="AF18" s="121" t="s">
        <v>231</v>
      </c>
      <c r="AG18" s="112" t="str">
        <v>SOE</v>
      </c>
      <c r="AH18" s="113">
        <v>8.7274999999999991</v>
      </c>
      <c r="AI18" s="112" t="str">
        <v>MRC</v>
      </c>
      <c r="AJ18" s="113">
        <v>7.333333333333333</v>
      </c>
      <c r="AK18" s="124" t="str">
        <v>BJN</v>
      </c>
      <c r="AL18" s="125">
        <v>7.6454166666666676</v>
      </c>
      <c r="AM18" s="117" t="s">
        <v>231</v>
      </c>
    </row>
    <row r="19" spans="1:39" x14ac:dyDescent="0.25">
      <c r="A19" s="166"/>
      <c r="B19" s="140" t="s">
        <v>117</v>
      </c>
      <c r="C19" s="110">
        <f>COUNTIFS('DB EMPREGOS'!$D$2:$D$162,B19,CADO_EMPREGOS_2022[MODALIDADE],"BRB")</f>
        <v>4</v>
      </c>
      <c r="D19" s="106">
        <f>COUNTIFS('DB EMPREGOS'!$D$2:$D$162,B19,CADO_EMPREGOS_2022[MODALIDADE],"TT")</f>
        <v>2</v>
      </c>
      <c r="E19" s="54" cm="1">
        <f t="array" ref="E19">INDEX(CADO_EMPREGOS_2022[],_xlfn.XMATCH(B19,CADO_EMPREGOS_2022[[#All],[TRIG 1P]],0,1)-1,20)</f>
        <v>4.5999999999999996</v>
      </c>
      <c r="F19" s="55" cm="1">
        <f t="array" ref="F19">INDEX(CADO_EMPREGOS_2022[],_xlfn.XMATCH(B19,CADO_EMPREGOS_2022[[#All],[TRIG 1P]],0,1)-1,21)</f>
        <v>11.5</v>
      </c>
      <c r="G19" s="55" t="str" cm="1">
        <f t="array" ref="G19">IF(INDEX(CADO_EMPREGOS_2022[],_xlfn.XMATCH(B19,CADO_EMPREGOS_2022[[#All],[TRIG 1P]],0,1)-1,36) = INDEX(CADO_EMPREGOS_2022[],_xlfn.XMATCH(B19,CADO_EMPREGOS_2022[[#All],[TRIG 1P]],0,1)-1,37),"N","S")</f>
        <v>N</v>
      </c>
      <c r="H19" s="56">
        <f t="shared" si="3"/>
        <v>9.5399999999999991</v>
      </c>
      <c r="I19" s="63" cm="1">
        <f t="array" ref="I19">INDEX(CADO_EMPREGOS_2022[],_xlfn.XMATCH(B19,CADO_EMPREGOS_2022[[#All],[TRIG 1P]],0,1),20)</f>
        <v>24.5</v>
      </c>
      <c r="J19" s="64" cm="1">
        <f t="array" ref="J19">INDEX(CADO_EMPREGOS_2022[],_xlfn.XMATCH(B19,CADO_EMPREGOS_2022[[#All],[TRIG 1P]],0,1),21)</f>
        <v>12.6</v>
      </c>
      <c r="K19" s="64" t="str" cm="1">
        <f t="array" ref="K19">IF(INDEX(CADO_EMPREGOS_2022[],_xlfn.XMATCH(B19,CADO_EMPREGOS_2022[[#All],[TRIG 1P]],0,1),36) = INDEX(CADO_EMPREGOS_2022[],_xlfn.XMATCH(B19,CADO_EMPREGOS_2022[[#All],[TRIG 1P]],0,1),37),"N","S")</f>
        <v>N</v>
      </c>
      <c r="L19" s="65">
        <f t="shared" si="4"/>
        <v>7.55</v>
      </c>
      <c r="M19" s="72" cm="1">
        <f t="array" ref="M19">IF(INDEX(CADO_EMPREGOS_2022[],_xlfn.XMATCH(B19,CADO_EMPREGOS_2022[[#All],[TRIG 1P]],0,1)+1,8)&lt;&gt;"BRB","-",INDEX(CADO_EMPREGOS_2022[],_xlfn.XMATCH(B19,CADO_EMPREGOS_2022[[#All],[TRIG 1P]],0,1)+1,20))</f>
        <v>13.4</v>
      </c>
      <c r="N19" s="73" cm="1">
        <f t="array" ref="N19">IF(INDEX(CADO_EMPREGOS_2022[],_xlfn.XMATCH(B19,CADO_EMPREGOS_2022[[#All],[TRIG 1P]],0,1)+1,8)&lt;&gt;"BRB","-",INDEX(CADO_EMPREGOS_2022[],_xlfn.XMATCH(B19,CADO_EMPREGOS_2022[[#All],[TRIG 1P]],0,1)+1,21))</f>
        <v>8.1999999999999993</v>
      </c>
      <c r="O19" s="73" t="str" cm="1">
        <f t="array" ref="O19">IF(INDEX(CADO_EMPREGOS_2022[],_xlfn.XMATCH(B19,CADO_EMPREGOS_2022[[#All],[TRIG 1P]],0,1)+1,36) = INDEX(CADO_EMPREGOS_2022[],_xlfn.XMATCH(B19,CADO_EMPREGOS_2022[[#All],[TRIG 1P]],0,1)+1,37),"N","S")</f>
        <v>N</v>
      </c>
      <c r="P19" s="74">
        <f t="shared" si="0"/>
        <v>8.66</v>
      </c>
      <c r="Q19" s="81" cm="1">
        <f t="array" ref="Q19">IF(INDEX(CADO_EMPREGOS_2022[],_xlfn.XMATCH(B19,CADO_EMPREGOS_2022[[#All],[TRIG 1P]],0,1)+2,8)&lt;&gt;"BRB","-",INDEX(CADO_EMPREGOS_2022[],_xlfn.XMATCH(B19,CADO_EMPREGOS_2022[[#All],[TRIG 1P]],0,1)+2,20))</f>
        <v>4.4000000000000004</v>
      </c>
      <c r="R19" s="82" cm="1">
        <f t="array" ref="R19">IF(INDEX(CADO_EMPREGOS_2022[],_xlfn.XMATCH(B19,CADO_EMPREGOS_2022[[#All],[TRIG 1P]],0,1)+2,8)&lt;&gt;"BRB","-",INDEX(CADO_EMPREGOS_2022[],_xlfn.XMATCH(B19,CADO_EMPREGOS_2022[[#All],[TRIG 1P]],0,1)+2,21))</f>
        <v>3.7</v>
      </c>
      <c r="S19" s="82" t="str" cm="1">
        <f t="array" ref="S19">IF(INDEX(CADO_EMPREGOS_2022[],_xlfn.XMATCH(B19,CADO_EMPREGOS_2022[[#All],[TRIG 1P]],0,1)+2,36) = INDEX(CADO_EMPREGOS_2022[],_xlfn.XMATCH(B19,CADO_EMPREGOS_2022[[#All],[TRIG 1P]],0,1)+2,37),"N","S")</f>
        <v>S</v>
      </c>
      <c r="T19" s="83" t="str">
        <f t="shared" si="1"/>
        <v>0</v>
      </c>
      <c r="U19" s="96" cm="1">
        <f t="array" ref="U19">INDEX(CADO_EMPREGOS_2022[],_xlfn.XMATCH(B19,CADO_EMPREGOS_2022[[#All],[TRIG 1P]],0,1)-1+C19,22)</f>
        <v>30</v>
      </c>
      <c r="V19" s="89" cm="1">
        <f t="array" ref="V19">INDEX(CADO_EMPREGOS_2022[],_xlfn.XMATCH(B19,CADO_EMPREGOS_2022[[#All],[TRIG 1P]],0,1)-1+C19,23)</f>
        <v>26</v>
      </c>
      <c r="W19" s="99" cm="1">
        <f t="array" ref="W19">INDEX(CADO_EMPREGOS_2022[],_xlfn.XMATCH(B19,CADO_EMPREGOS_2022[[#All],[TRIG 1P]],0,1)-1+C19+1,22)</f>
        <v>30</v>
      </c>
      <c r="X19" s="100" cm="1">
        <f t="array" ref="X19">INDEX(CADO_EMPREGOS_2022[],_xlfn.XMATCH(B19,CADO_EMPREGOS_2022[[#All],[TRIG 1P]],0,1)-1+C19+1,23)</f>
        <v>25</v>
      </c>
      <c r="Y19" s="94" t="s">
        <v>117</v>
      </c>
      <c r="Z19" s="94">
        <f t="shared" si="5"/>
        <v>6.4375</v>
      </c>
      <c r="AA19" s="94" t="s">
        <v>117</v>
      </c>
      <c r="AB19" s="98">
        <f t="shared" si="6"/>
        <v>8.5</v>
      </c>
      <c r="AC19" s="94" t="s">
        <v>117</v>
      </c>
      <c r="AD19" s="105">
        <f t="shared" si="2"/>
        <v>7.46875</v>
      </c>
      <c r="AF19" s="121" t="s">
        <v>232</v>
      </c>
      <c r="AG19" s="112" t="str">
        <v>FAC</v>
      </c>
      <c r="AH19" s="113">
        <v>8.7125000000000004</v>
      </c>
      <c r="AI19" s="112" t="str">
        <v>GAS</v>
      </c>
      <c r="AJ19" s="113">
        <v>7.166666666666667</v>
      </c>
      <c r="AK19" s="124" t="str">
        <v>VCL</v>
      </c>
      <c r="AL19" s="125">
        <v>7.5</v>
      </c>
      <c r="AM19" s="117" t="s">
        <v>232</v>
      </c>
    </row>
    <row r="20" spans="1:39" x14ac:dyDescent="0.25">
      <c r="A20" s="166"/>
      <c r="B20" s="140" t="s">
        <v>118</v>
      </c>
      <c r="C20" s="110">
        <f>COUNTIFS('DB EMPREGOS'!$D$2:$D$162,B20,CADO_EMPREGOS_2022[MODALIDADE],"BRB")</f>
        <v>4</v>
      </c>
      <c r="D20" s="106">
        <f>COUNTIFS('DB EMPREGOS'!$D$2:$D$162,B20,CADO_EMPREGOS_2022[MODALIDADE],"TT")</f>
        <v>2</v>
      </c>
      <c r="E20" s="54" cm="1">
        <f t="array" ref="E20">INDEX(CADO_EMPREGOS_2022[],_xlfn.XMATCH(B20,CADO_EMPREGOS_2022[[#All],[TRIG 1P]],0,1)-1,20)</f>
        <v>7.1</v>
      </c>
      <c r="F20" s="55" cm="1">
        <f t="array" ref="F20">INDEX(CADO_EMPREGOS_2022[],_xlfn.XMATCH(B20,CADO_EMPREGOS_2022[[#All],[TRIG 1P]],0,1)-1,21)</f>
        <v>5.4</v>
      </c>
      <c r="G20" s="55" t="str" cm="1">
        <f t="array" ref="G20">IF(INDEX(CADO_EMPREGOS_2022[],_xlfn.XMATCH(B20,CADO_EMPREGOS_2022[[#All],[TRIG 1P]],0,1)-1,36) = INDEX(CADO_EMPREGOS_2022[],_xlfn.XMATCH(B20,CADO_EMPREGOS_2022[[#All],[TRIG 1P]],0,1)-1,37),"N","S")</f>
        <v>N</v>
      </c>
      <c r="H20" s="56">
        <f t="shared" si="3"/>
        <v>9.2899999999999991</v>
      </c>
      <c r="I20" s="63" cm="1">
        <f t="array" ref="I20">INDEX(CADO_EMPREGOS_2022[],_xlfn.XMATCH(B20,CADO_EMPREGOS_2022[[#All],[TRIG 1P]],0,1),20)</f>
        <v>8.6</v>
      </c>
      <c r="J20" s="64" cm="1">
        <f t="array" ref="J20">INDEX(CADO_EMPREGOS_2022[],_xlfn.XMATCH(B20,CADO_EMPREGOS_2022[[#All],[TRIG 1P]],0,1),21)</f>
        <v>5.0999999999999996</v>
      </c>
      <c r="K20" s="64" t="str" cm="1">
        <f t="array" ref="K20">IF(INDEX(CADO_EMPREGOS_2022[],_xlfn.XMATCH(B20,CADO_EMPREGOS_2022[[#All],[TRIG 1P]],0,1),36) = INDEX(CADO_EMPREGOS_2022[],_xlfn.XMATCH(B20,CADO_EMPREGOS_2022[[#All],[TRIG 1P]],0,1),37),"N","S")</f>
        <v>N</v>
      </c>
      <c r="L20" s="65">
        <f t="shared" si="4"/>
        <v>9.14</v>
      </c>
      <c r="M20" s="72" cm="1">
        <f t="array" ref="M20">IF(INDEX(CADO_EMPREGOS_2022[],_xlfn.XMATCH(B20,CADO_EMPREGOS_2022[[#All],[TRIG 1P]],0,1)+1,8)&lt;&gt;"BRB","-",INDEX(CADO_EMPREGOS_2022[],_xlfn.XMATCH(B20,CADO_EMPREGOS_2022[[#All],[TRIG 1P]],0,1)+1,20))</f>
        <v>19.2</v>
      </c>
      <c r="N20" s="73" cm="1">
        <f t="array" ref="N20">IF(INDEX(CADO_EMPREGOS_2022[],_xlfn.XMATCH(B20,CADO_EMPREGOS_2022[[#All],[TRIG 1P]],0,1)+1,8)&lt;&gt;"BRB","-",INDEX(CADO_EMPREGOS_2022[],_xlfn.XMATCH(B20,CADO_EMPREGOS_2022[[#All],[TRIG 1P]],0,1)+1,21))</f>
        <v>6.5</v>
      </c>
      <c r="O20" s="73" t="str" cm="1">
        <f t="array" ref="O20">IF(INDEX(CADO_EMPREGOS_2022[],_xlfn.XMATCH(B20,CADO_EMPREGOS_2022[[#All],[TRIG 1P]],0,1)+1,36) = INDEX(CADO_EMPREGOS_2022[],_xlfn.XMATCH(B20,CADO_EMPREGOS_2022[[#All],[TRIG 1P]],0,1)+1,37),"N","S")</f>
        <v>N</v>
      </c>
      <c r="P20" s="74">
        <f t="shared" si="0"/>
        <v>8.08</v>
      </c>
      <c r="Q20" s="81" cm="1">
        <f t="array" ref="Q20">IF(INDEX(CADO_EMPREGOS_2022[],_xlfn.XMATCH(B20,CADO_EMPREGOS_2022[[#All],[TRIG 1P]],0,1)+2,8)&lt;&gt;"BRB","-",INDEX(CADO_EMPREGOS_2022[],_xlfn.XMATCH(B20,CADO_EMPREGOS_2022[[#All],[TRIG 1P]],0,1)+2,20))</f>
        <v>10.3</v>
      </c>
      <c r="R20" s="82" cm="1">
        <f t="array" ref="R20">IF(INDEX(CADO_EMPREGOS_2022[],_xlfn.XMATCH(B20,CADO_EMPREGOS_2022[[#All],[TRIG 1P]],0,1)+2,8)&lt;&gt;"BRB","-",INDEX(CADO_EMPREGOS_2022[],_xlfn.XMATCH(B20,CADO_EMPREGOS_2022[[#All],[TRIG 1P]],0,1)+2,21))</f>
        <v>6.2</v>
      </c>
      <c r="S20" s="82" t="str" cm="1">
        <f t="array" ref="S20">IF(INDEX(CADO_EMPREGOS_2022[],_xlfn.XMATCH(B20,CADO_EMPREGOS_2022[[#All],[TRIG 1P]],0,1)+2,36) = INDEX(CADO_EMPREGOS_2022[],_xlfn.XMATCH(B20,CADO_EMPREGOS_2022[[#All],[TRIG 1P]],0,1)+2,37),"N","S")</f>
        <v>N</v>
      </c>
      <c r="T20" s="83">
        <f t="shared" si="1"/>
        <v>8.9700000000000006</v>
      </c>
      <c r="U20" s="96" cm="1">
        <f t="array" ref="U20">INDEX(CADO_EMPREGOS_2022[],_xlfn.XMATCH(B20,CADO_EMPREGOS_2022[[#All],[TRIG 1P]],0,1)-1+C20,22)</f>
        <v>29</v>
      </c>
      <c r="V20" s="89" cm="1">
        <f t="array" ref="V20">INDEX(CADO_EMPREGOS_2022[],_xlfn.XMATCH(B20,CADO_EMPREGOS_2022[[#All],[TRIG 1P]],0,1)-1+C20,23)</f>
        <v>16</v>
      </c>
      <c r="W20" s="99" cm="1">
        <f t="array" ref="W20">INDEX(CADO_EMPREGOS_2022[],_xlfn.XMATCH(B20,CADO_EMPREGOS_2022[[#All],[TRIG 1P]],0,1)-1+C20+1,22)</f>
        <v>30</v>
      </c>
      <c r="X20" s="100" cm="1">
        <f t="array" ref="X20">INDEX(CADO_EMPREGOS_2022[],_xlfn.XMATCH(B20,CADO_EMPREGOS_2022[[#All],[TRIG 1P]],0,1)-1+C20+1,23)</f>
        <v>19</v>
      </c>
      <c r="Y20" s="94" t="s">
        <v>118</v>
      </c>
      <c r="Z20" s="94">
        <f t="shared" si="5"/>
        <v>8.8699999999999992</v>
      </c>
      <c r="AA20" s="94" t="s">
        <v>118</v>
      </c>
      <c r="AB20" s="98">
        <f t="shared" si="6"/>
        <v>5.8333333333333321</v>
      </c>
      <c r="AC20" s="94" t="s">
        <v>118</v>
      </c>
      <c r="AD20" s="105">
        <f t="shared" si="2"/>
        <v>7.3516666666666657</v>
      </c>
      <c r="AF20" s="121" t="s">
        <v>233</v>
      </c>
      <c r="AG20" s="112" t="str">
        <v>MON</v>
      </c>
      <c r="AH20" s="113">
        <v>8.5400000000000009</v>
      </c>
      <c r="AI20" s="112" t="str">
        <v>HTO</v>
      </c>
      <c r="AJ20" s="113">
        <v>7.166666666666667</v>
      </c>
      <c r="AK20" s="124" t="str">
        <v>DAD</v>
      </c>
      <c r="AL20" s="125">
        <v>7.46875</v>
      </c>
      <c r="AM20" s="117" t="s">
        <v>233</v>
      </c>
    </row>
    <row r="21" spans="1:39" x14ac:dyDescent="0.25">
      <c r="A21" s="166"/>
      <c r="B21" s="140" t="s">
        <v>119</v>
      </c>
      <c r="C21" s="110">
        <f>COUNTIFS('DB EMPREGOS'!$D$2:$D$162,B21,CADO_EMPREGOS_2022[MODALIDADE],"BRB")</f>
        <v>3</v>
      </c>
      <c r="D21" s="106">
        <f>COUNTIFS('DB EMPREGOS'!$D$2:$D$162,B21,CADO_EMPREGOS_2022[MODALIDADE],"TT")</f>
        <v>2</v>
      </c>
      <c r="E21" s="54" cm="1">
        <f t="array" ref="E21">INDEX(CADO_EMPREGOS_2022[],_xlfn.XMATCH(B21,CADO_EMPREGOS_2022[[#All],[TRIG 1P]],0,1)-1,20)</f>
        <v>4.2</v>
      </c>
      <c r="F21" s="55" cm="1">
        <f t="array" ref="F21">INDEX(CADO_EMPREGOS_2022[],_xlfn.XMATCH(B21,CADO_EMPREGOS_2022[[#All],[TRIG 1P]],0,1)-1,21)</f>
        <v>1.5</v>
      </c>
      <c r="G21" s="55" t="str" cm="1">
        <f t="array" ref="G21">IF(INDEX(CADO_EMPREGOS_2022[],_xlfn.XMATCH(B21,CADO_EMPREGOS_2022[[#All],[TRIG 1P]],0,1)-1,36) = INDEX(CADO_EMPREGOS_2022[],_xlfn.XMATCH(B21,CADO_EMPREGOS_2022[[#All],[TRIG 1P]],0,1)-1,37),"N","S")</f>
        <v>N</v>
      </c>
      <c r="H21" s="56">
        <f t="shared" si="3"/>
        <v>9.58</v>
      </c>
      <c r="I21" s="63" cm="1">
        <f t="array" ref="I21">INDEX(CADO_EMPREGOS_2022[],_xlfn.XMATCH(B21,CADO_EMPREGOS_2022[[#All],[TRIG 1P]],0,1),20)</f>
        <v>8</v>
      </c>
      <c r="J21" s="64" cm="1">
        <f t="array" ref="J21">INDEX(CADO_EMPREGOS_2022[],_xlfn.XMATCH(B21,CADO_EMPREGOS_2022[[#All],[TRIG 1P]],0,1),21)</f>
        <v>2</v>
      </c>
      <c r="K21" s="64" t="str" cm="1">
        <f t="array" ref="K21">IF(INDEX(CADO_EMPREGOS_2022[],_xlfn.XMATCH(B21,CADO_EMPREGOS_2022[[#All],[TRIG 1P]],0,1),36) = INDEX(CADO_EMPREGOS_2022[],_xlfn.XMATCH(B21,CADO_EMPREGOS_2022[[#All],[TRIG 1P]],0,1),37),"N","S")</f>
        <v>N</v>
      </c>
      <c r="L21" s="65">
        <f t="shared" si="4"/>
        <v>9.1999999999999993</v>
      </c>
      <c r="M21" s="72" cm="1">
        <f t="array" ref="M21">IF(INDEX(CADO_EMPREGOS_2022[],_xlfn.XMATCH(B21,CADO_EMPREGOS_2022[[#All],[TRIG 1P]],0,1)+1,8)&lt;&gt;"BRB","-",INDEX(CADO_EMPREGOS_2022[],_xlfn.XMATCH(B21,CADO_EMPREGOS_2022[[#All],[TRIG 1P]],0,1)+1,20))</f>
        <v>13</v>
      </c>
      <c r="N21" s="73" cm="1">
        <f t="array" ref="N21">IF(INDEX(CADO_EMPREGOS_2022[],_xlfn.XMATCH(B21,CADO_EMPREGOS_2022[[#All],[TRIG 1P]],0,1)+1,8)&lt;&gt;"BRB","-",INDEX(CADO_EMPREGOS_2022[],_xlfn.XMATCH(B21,CADO_EMPREGOS_2022[[#All],[TRIG 1P]],0,1)+1,21))</f>
        <v>11</v>
      </c>
      <c r="O21" s="73" t="str" cm="1">
        <f t="array" ref="O21">IF(INDEX(CADO_EMPREGOS_2022[],_xlfn.XMATCH(B21,CADO_EMPREGOS_2022[[#All],[TRIG 1P]],0,1)+1,36) = INDEX(CADO_EMPREGOS_2022[],_xlfn.XMATCH(B21,CADO_EMPREGOS_2022[[#All],[TRIG 1P]],0,1)+1,37),"N","S")</f>
        <v>S</v>
      </c>
      <c r="P21" s="74" t="str">
        <f t="shared" si="0"/>
        <v>0</v>
      </c>
      <c r="Q21" s="81" t="str" cm="1">
        <f t="array" ref="Q21">IF(INDEX(CADO_EMPREGOS_2022[],_xlfn.XMATCH(B21,CADO_EMPREGOS_2022[[#All],[TRIG 1P]],0,1)+2,8)&lt;&gt;"BRB","-",INDEX(CADO_EMPREGOS_2022[],_xlfn.XMATCH(B21,CADO_EMPREGOS_2022[[#All],[TRIG 1P]],0,1)+2,20))</f>
        <v>-</v>
      </c>
      <c r="R21" s="82" t="str" cm="1">
        <f t="array" ref="R21">IF(INDEX(CADO_EMPREGOS_2022[],_xlfn.XMATCH(B21,CADO_EMPREGOS_2022[[#All],[TRIG 1P]],0,1)+2,8)&lt;&gt;"BRB","-",INDEX(CADO_EMPREGOS_2022[],_xlfn.XMATCH(B21,CADO_EMPREGOS_2022[[#All],[TRIG 1P]],0,1)+2,21))</f>
        <v>-</v>
      </c>
      <c r="S21" s="82" t="str" cm="1">
        <f t="array" ref="S21">IF(INDEX(CADO_EMPREGOS_2022[],_xlfn.XMATCH(B21,CADO_EMPREGOS_2022[[#All],[TRIG 1P]],0,1)+2,36) = INDEX(CADO_EMPREGOS_2022[],_xlfn.XMATCH(B21,CADO_EMPREGOS_2022[[#All],[TRIG 1P]],0,1)+2,37),"N","S")</f>
        <v>N</v>
      </c>
      <c r="T21" s="83" t="str">
        <f t="shared" si="1"/>
        <v>-</v>
      </c>
      <c r="U21" s="96" cm="1">
        <f t="array" ref="U21">INDEX(CADO_EMPREGOS_2022[],_xlfn.XMATCH(B21,CADO_EMPREGOS_2022[[#All],[TRIG 1P]],0,1)-1+C21,22)</f>
        <v>30</v>
      </c>
      <c r="V21" s="89" cm="1">
        <f t="array" ref="V21">INDEX(CADO_EMPREGOS_2022[],_xlfn.XMATCH(B21,CADO_EMPREGOS_2022[[#All],[TRIG 1P]],0,1)-1+C21,23)</f>
        <v>18</v>
      </c>
      <c r="W21" s="99" cm="1">
        <f t="array" ref="W21">INDEX(CADO_EMPREGOS_2022[],_xlfn.XMATCH(B21,CADO_EMPREGOS_2022[[#All],[TRIG 1P]],0,1)-1+C21+1,22)</f>
        <v>30</v>
      </c>
      <c r="X21" s="100" cm="1">
        <f t="array" ref="X21">INDEX(CADO_EMPREGOS_2022[],_xlfn.XMATCH(B21,CADO_EMPREGOS_2022[[#All],[TRIG 1P]],0,1)-1+C21+1,23)</f>
        <v>25</v>
      </c>
      <c r="Y21" s="94" t="s">
        <v>119</v>
      </c>
      <c r="Z21" s="94">
        <f t="shared" si="5"/>
        <v>6.2600000000000007</v>
      </c>
      <c r="AA21" s="94" t="s">
        <v>119</v>
      </c>
      <c r="AB21" s="98">
        <f t="shared" si="6"/>
        <v>7.166666666666667</v>
      </c>
      <c r="AC21" s="94" t="s">
        <v>119</v>
      </c>
      <c r="AD21" s="105">
        <f t="shared" si="2"/>
        <v>6.7133333333333338</v>
      </c>
      <c r="AF21" s="121" t="s">
        <v>234</v>
      </c>
      <c r="AG21" s="112" t="str">
        <v>FLH</v>
      </c>
      <c r="AH21" s="113">
        <v>8.1449999999999996</v>
      </c>
      <c r="AI21" s="112" t="str">
        <v>VCL</v>
      </c>
      <c r="AJ21" s="113">
        <v>7</v>
      </c>
      <c r="AK21" s="124" t="str">
        <v>MRL</v>
      </c>
      <c r="AL21" s="125">
        <v>7.3516666666666657</v>
      </c>
      <c r="AM21" s="117" t="s">
        <v>234</v>
      </c>
    </row>
    <row r="22" spans="1:39" x14ac:dyDescent="0.25">
      <c r="A22" s="166"/>
      <c r="B22" s="140" t="s">
        <v>122</v>
      </c>
      <c r="C22" s="110">
        <f>COUNTIFS('DB EMPREGOS'!$D$2:$D$162,B22,CADO_EMPREGOS_2022[MODALIDADE],"BRB")</f>
        <v>4</v>
      </c>
      <c r="D22" s="106">
        <f>COUNTIFS('DB EMPREGOS'!$D$2:$D$162,B22,CADO_EMPREGOS_2022[MODALIDADE],"TT")</f>
        <v>2</v>
      </c>
      <c r="E22" s="54" cm="1">
        <f t="array" ref="E22">INDEX(CADO_EMPREGOS_2022[],_xlfn.XMATCH(B22,CADO_EMPREGOS_2022[[#All],[TRIG 1P]],0,1)-1,20)</f>
        <v>6</v>
      </c>
      <c r="F22" s="55" cm="1">
        <f t="array" ref="F22">INDEX(CADO_EMPREGOS_2022[],_xlfn.XMATCH(B22,CADO_EMPREGOS_2022[[#All],[TRIG 1P]],0,1)-1,21)</f>
        <v>8</v>
      </c>
      <c r="G22" s="55" t="str" cm="1">
        <f t="array" ref="G22">IF(INDEX(CADO_EMPREGOS_2022[],_xlfn.XMATCH(B22,CADO_EMPREGOS_2022[[#All],[TRIG 1P]],0,1)-1,36) = INDEX(CADO_EMPREGOS_2022[],_xlfn.XMATCH(B22,CADO_EMPREGOS_2022[[#All],[TRIG 1P]],0,1)-1,37),"N","S")</f>
        <v>N</v>
      </c>
      <c r="H22" s="56">
        <f t="shared" si="3"/>
        <v>9.4</v>
      </c>
      <c r="I22" s="63" cm="1">
        <f t="array" ref="I22">INDEX(CADO_EMPREGOS_2022[],_xlfn.XMATCH(B22,CADO_EMPREGOS_2022[[#All],[TRIG 1P]],0,1),20)</f>
        <v>7.9</v>
      </c>
      <c r="J22" s="64" cm="1">
        <f t="array" ref="J22">INDEX(CADO_EMPREGOS_2022[],_xlfn.XMATCH(B22,CADO_EMPREGOS_2022[[#All],[TRIG 1P]],0,1),21)</f>
        <v>8.1</v>
      </c>
      <c r="K22" s="64" t="str" cm="1">
        <f t="array" ref="K22">IF(INDEX(CADO_EMPREGOS_2022[],_xlfn.XMATCH(B22,CADO_EMPREGOS_2022[[#All],[TRIG 1P]],0,1),36) = INDEX(CADO_EMPREGOS_2022[],_xlfn.XMATCH(B22,CADO_EMPREGOS_2022[[#All],[TRIG 1P]],0,1),37),"N","S")</f>
        <v>N</v>
      </c>
      <c r="L22" s="65">
        <f t="shared" si="4"/>
        <v>9.2100000000000009</v>
      </c>
      <c r="M22" s="72" cm="1">
        <f t="array" ref="M22">IF(INDEX(CADO_EMPREGOS_2022[],_xlfn.XMATCH(B22,CADO_EMPREGOS_2022[[#All],[TRIG 1P]],0,1)+1,8)&lt;&gt;"BRB","-",INDEX(CADO_EMPREGOS_2022[],_xlfn.XMATCH(B22,CADO_EMPREGOS_2022[[#All],[TRIG 1P]],0,1)+1,20))</f>
        <v>8.4</v>
      </c>
      <c r="N22" s="73" cm="1">
        <f t="array" ref="N22">IF(INDEX(CADO_EMPREGOS_2022[],_xlfn.XMATCH(B22,CADO_EMPREGOS_2022[[#All],[TRIG 1P]],0,1)+1,8)&lt;&gt;"BRB","-",INDEX(CADO_EMPREGOS_2022[],_xlfn.XMATCH(B22,CADO_EMPREGOS_2022[[#All],[TRIG 1P]],0,1)+1,21))</f>
        <v>7.5</v>
      </c>
      <c r="O22" s="73" t="str" cm="1">
        <f t="array" ref="O22">IF(INDEX(CADO_EMPREGOS_2022[],_xlfn.XMATCH(B22,CADO_EMPREGOS_2022[[#All],[TRIG 1P]],0,1)+1,36) = INDEX(CADO_EMPREGOS_2022[],_xlfn.XMATCH(B22,CADO_EMPREGOS_2022[[#All],[TRIG 1P]],0,1)+1,37),"N","S")</f>
        <v>N</v>
      </c>
      <c r="P22" s="74">
        <f t="shared" si="0"/>
        <v>9.16</v>
      </c>
      <c r="Q22" s="81" cm="1">
        <f t="array" ref="Q22">IF(INDEX(CADO_EMPREGOS_2022[],_xlfn.XMATCH(B22,CADO_EMPREGOS_2022[[#All],[TRIG 1P]],0,1)+2,8)&lt;&gt;"BRB","-",INDEX(CADO_EMPREGOS_2022[],_xlfn.XMATCH(B22,CADO_EMPREGOS_2022[[#All],[TRIG 1P]],0,1)+2,20))</f>
        <v>9</v>
      </c>
      <c r="R22" s="82" cm="1">
        <f t="array" ref="R22">IF(INDEX(CADO_EMPREGOS_2022[],_xlfn.XMATCH(B22,CADO_EMPREGOS_2022[[#All],[TRIG 1P]],0,1)+2,8)&lt;&gt;"BRB","-",INDEX(CADO_EMPREGOS_2022[],_xlfn.XMATCH(B22,CADO_EMPREGOS_2022[[#All],[TRIG 1P]],0,1)+2,21))</f>
        <v>7.3</v>
      </c>
      <c r="S22" s="82" t="str" cm="1">
        <f t="array" ref="S22">IF(INDEX(CADO_EMPREGOS_2022[],_xlfn.XMATCH(B22,CADO_EMPREGOS_2022[[#All],[TRIG 1P]],0,1)+2,36) = INDEX(CADO_EMPREGOS_2022[],_xlfn.XMATCH(B22,CADO_EMPREGOS_2022[[#All],[TRIG 1P]],0,1)+2,37),"N","S")</f>
        <v>N</v>
      </c>
      <c r="T22" s="83">
        <f t="shared" si="1"/>
        <v>9.1</v>
      </c>
      <c r="U22" s="96" cm="1">
        <f t="array" ref="U22">INDEX(CADO_EMPREGOS_2022[],_xlfn.XMATCH(B22,CADO_EMPREGOS_2022[[#All],[TRIG 1P]],0,1)-1+C22,22)</f>
        <v>28</v>
      </c>
      <c r="V22" s="89" cm="1">
        <f t="array" ref="V22">INDEX(CADO_EMPREGOS_2022[],_xlfn.XMATCH(B22,CADO_EMPREGOS_2022[[#All],[TRIG 1P]],0,1)-1+C22,23)</f>
        <v>28</v>
      </c>
      <c r="W22" s="99" cm="1">
        <f t="array" ref="W22">INDEX(CADO_EMPREGOS_2022[],_xlfn.XMATCH(B22,CADO_EMPREGOS_2022[[#All],[TRIG 1P]],0,1)-1+C22+1,22)</f>
        <v>29</v>
      </c>
      <c r="X22" s="100" cm="1">
        <f t="array" ref="X22">INDEX(CADO_EMPREGOS_2022[],_xlfn.XMATCH(B22,CADO_EMPREGOS_2022[[#All],[TRIG 1P]],0,1)-1+C22+1,23)</f>
        <v>22</v>
      </c>
      <c r="Y22" s="94" t="s">
        <v>122</v>
      </c>
      <c r="Z22" s="94">
        <f t="shared" si="5"/>
        <v>9.2174999999999994</v>
      </c>
      <c r="AA22" s="94" t="s">
        <v>122</v>
      </c>
      <c r="AB22" s="98">
        <f t="shared" si="6"/>
        <v>8.3333333333333321</v>
      </c>
      <c r="AC22" s="94" t="s">
        <v>122</v>
      </c>
      <c r="AD22" s="105">
        <f t="shared" si="2"/>
        <v>8.7754166666666649</v>
      </c>
      <c r="AF22" s="121" t="s">
        <v>235</v>
      </c>
      <c r="AG22" s="112" t="str">
        <v>VCL</v>
      </c>
      <c r="AH22" s="113">
        <v>8</v>
      </c>
      <c r="AI22" s="112" t="str">
        <v>SOE</v>
      </c>
      <c r="AJ22" s="113">
        <v>6.8333333333333339</v>
      </c>
      <c r="AK22" s="124" t="str">
        <v>GVA</v>
      </c>
      <c r="AL22" s="125">
        <v>7.2833333333333332</v>
      </c>
      <c r="AM22" s="117" t="s">
        <v>235</v>
      </c>
    </row>
    <row r="23" spans="1:39" x14ac:dyDescent="0.25">
      <c r="A23" s="166"/>
      <c r="B23" s="140" t="s">
        <v>120</v>
      </c>
      <c r="C23" s="110">
        <f>COUNTIFS('DB EMPREGOS'!$D$2:$D$162,B23,CADO_EMPREGOS_2022[MODALIDADE],"BRB")</f>
        <v>4</v>
      </c>
      <c r="D23" s="106">
        <f>COUNTIFS('DB EMPREGOS'!$D$2:$D$162,B23,CADO_EMPREGOS_2022[MODALIDADE],"TT")</f>
        <v>2</v>
      </c>
      <c r="E23" s="54" cm="1">
        <f t="array" ref="E23">INDEX(CADO_EMPREGOS_2022[],_xlfn.XMATCH(B23,CADO_EMPREGOS_2022[[#All],[TRIG 1P]],0,1)-1,20)</f>
        <v>26.1</v>
      </c>
      <c r="F23" s="55" cm="1">
        <f t="array" ref="F23">INDEX(CADO_EMPREGOS_2022[],_xlfn.XMATCH(B23,CADO_EMPREGOS_2022[[#All],[TRIG 1P]],0,1)-1,21)</f>
        <v>11.8</v>
      </c>
      <c r="G23" s="55" t="str" cm="1">
        <f t="array" ref="G23">IF(INDEX(CADO_EMPREGOS_2022[],_xlfn.XMATCH(B23,CADO_EMPREGOS_2022[[#All],[TRIG 1P]],0,1)-1,36) = INDEX(CADO_EMPREGOS_2022[],_xlfn.XMATCH(B23,CADO_EMPREGOS_2022[[#All],[TRIG 1P]],0,1)-1,37),"N","S")</f>
        <v>S</v>
      </c>
      <c r="H23" s="56" t="str">
        <f t="shared" si="3"/>
        <v>0</v>
      </c>
      <c r="I23" s="63" cm="1">
        <f t="array" ref="I23">INDEX(CADO_EMPREGOS_2022[],_xlfn.XMATCH(B23,CADO_EMPREGOS_2022[[#All],[TRIG 1P]],0,1),20)</f>
        <v>4</v>
      </c>
      <c r="J23" s="64" cm="1">
        <f t="array" ref="J23">INDEX(CADO_EMPREGOS_2022[],_xlfn.XMATCH(B23,CADO_EMPREGOS_2022[[#All],[TRIG 1P]],0,1),21)</f>
        <v>12</v>
      </c>
      <c r="K23" s="64" t="str" cm="1">
        <f t="array" ref="K23">IF(INDEX(CADO_EMPREGOS_2022[],_xlfn.XMATCH(B23,CADO_EMPREGOS_2022[[#All],[TRIG 1P]],0,1),36) = INDEX(CADO_EMPREGOS_2022[],_xlfn.XMATCH(B23,CADO_EMPREGOS_2022[[#All],[TRIG 1P]],0,1),37),"N","S")</f>
        <v>N</v>
      </c>
      <c r="L23" s="65">
        <f t="shared" si="4"/>
        <v>9.6</v>
      </c>
      <c r="M23" s="72" cm="1">
        <f t="array" ref="M23">IF(INDEX(CADO_EMPREGOS_2022[],_xlfn.XMATCH(B23,CADO_EMPREGOS_2022[[#All],[TRIG 1P]],0,1)+1,8)&lt;&gt;"BRB","-",INDEX(CADO_EMPREGOS_2022[],_xlfn.XMATCH(B23,CADO_EMPREGOS_2022[[#All],[TRIG 1P]],0,1)+1,20))</f>
        <v>12.9</v>
      </c>
      <c r="N23" s="73" cm="1">
        <f t="array" ref="N23">IF(INDEX(CADO_EMPREGOS_2022[],_xlfn.XMATCH(B23,CADO_EMPREGOS_2022[[#All],[TRIG 1P]],0,1)+1,8)&lt;&gt;"BRB","-",INDEX(CADO_EMPREGOS_2022[],_xlfn.XMATCH(B23,CADO_EMPREGOS_2022[[#All],[TRIG 1P]],0,1)+1,21))</f>
        <v>7</v>
      </c>
      <c r="O23" s="73" t="str" cm="1">
        <f t="array" ref="O23">IF(INDEX(CADO_EMPREGOS_2022[],_xlfn.XMATCH(B23,CADO_EMPREGOS_2022[[#All],[TRIG 1P]],0,1)+1,36) = INDEX(CADO_EMPREGOS_2022[],_xlfn.XMATCH(B23,CADO_EMPREGOS_2022[[#All],[TRIG 1P]],0,1)+1,37),"N","S")</f>
        <v>N</v>
      </c>
      <c r="P23" s="74">
        <f t="shared" si="0"/>
        <v>8.7100000000000009</v>
      </c>
      <c r="Q23" s="81" cm="1">
        <f t="array" ref="Q23">IF(INDEX(CADO_EMPREGOS_2022[],_xlfn.XMATCH(B23,CADO_EMPREGOS_2022[[#All],[TRIG 1P]],0,1)+2,8)&lt;&gt;"BRB","-",INDEX(CADO_EMPREGOS_2022[],_xlfn.XMATCH(B23,CADO_EMPREGOS_2022[[#All],[TRIG 1P]],0,1)+2,20))</f>
        <v>4.8</v>
      </c>
      <c r="R23" s="82" cm="1">
        <f t="array" ref="R23">IF(INDEX(CADO_EMPREGOS_2022[],_xlfn.XMATCH(B23,CADO_EMPREGOS_2022[[#All],[TRIG 1P]],0,1)+2,8)&lt;&gt;"BRB","-",INDEX(CADO_EMPREGOS_2022[],_xlfn.XMATCH(B23,CADO_EMPREGOS_2022[[#All],[TRIG 1P]],0,1)+2,21))</f>
        <v>4.5</v>
      </c>
      <c r="S23" s="82" t="str" cm="1">
        <f t="array" ref="S23">IF(INDEX(CADO_EMPREGOS_2022[],_xlfn.XMATCH(B23,CADO_EMPREGOS_2022[[#All],[TRIG 1P]],0,1)+2,36) = INDEX(CADO_EMPREGOS_2022[],_xlfn.XMATCH(B23,CADO_EMPREGOS_2022[[#All],[TRIG 1P]],0,1)+2,37),"N","S")</f>
        <v>N</v>
      </c>
      <c r="T23" s="83">
        <f t="shared" si="1"/>
        <v>9.52</v>
      </c>
      <c r="U23" s="96" cm="1">
        <f t="array" ref="U23">INDEX(CADO_EMPREGOS_2022[],_xlfn.XMATCH(B23,CADO_EMPREGOS_2022[[#All],[TRIG 1P]],0,1)-1+C23,22)</f>
        <v>30</v>
      </c>
      <c r="V23" s="89" cm="1">
        <f t="array" ref="V23">INDEX(CADO_EMPREGOS_2022[],_xlfn.XMATCH(B23,CADO_EMPREGOS_2022[[#All],[TRIG 1P]],0,1)-1+C23,23)</f>
        <v>27</v>
      </c>
      <c r="W23" s="99" cm="1">
        <f t="array" ref="W23">INDEX(CADO_EMPREGOS_2022[],_xlfn.XMATCH(B23,CADO_EMPREGOS_2022[[#All],[TRIG 1P]],0,1)-1+C23+1,22)</f>
        <v>26</v>
      </c>
      <c r="X23" s="100" cm="1">
        <f t="array" ref="X23">INDEX(CADO_EMPREGOS_2022[],_xlfn.XMATCH(B23,CADO_EMPREGOS_2022[[#All],[TRIG 1P]],0,1)-1+C23+1,23)</f>
        <v>23</v>
      </c>
      <c r="Y23" s="94" t="s">
        <v>120</v>
      </c>
      <c r="Z23" s="94">
        <f t="shared" si="5"/>
        <v>6.9575000000000005</v>
      </c>
      <c r="AA23" s="94" t="s">
        <v>120</v>
      </c>
      <c r="AB23" s="98">
        <f t="shared" si="6"/>
        <v>8.3333333333333339</v>
      </c>
      <c r="AC23" s="94" t="s">
        <v>120</v>
      </c>
      <c r="AD23" s="105">
        <f t="shared" si="2"/>
        <v>7.6454166666666676</v>
      </c>
      <c r="AF23" s="121" t="s">
        <v>236</v>
      </c>
      <c r="AG23" s="112" t="str">
        <v>BJN</v>
      </c>
      <c r="AH23" s="113">
        <v>6.9575000000000005</v>
      </c>
      <c r="AI23" s="112" t="str">
        <v>BRU</v>
      </c>
      <c r="AJ23" s="113">
        <v>6.6666666666666679</v>
      </c>
      <c r="AK23" s="124" t="str">
        <v>FLH</v>
      </c>
      <c r="AL23" s="125">
        <v>7.2391666666666659</v>
      </c>
      <c r="AM23" s="117" t="s">
        <v>236</v>
      </c>
    </row>
    <row r="24" spans="1:39" x14ac:dyDescent="0.25">
      <c r="A24" s="167"/>
      <c r="B24" s="140" t="s">
        <v>121</v>
      </c>
      <c r="C24" s="110">
        <f>COUNTIFS('DB EMPREGOS'!$D$2:$D$162,B24,CADO_EMPREGOS_2022[MODALIDADE],"BRB")</f>
        <v>4</v>
      </c>
      <c r="D24" s="106">
        <f>COUNTIFS('DB EMPREGOS'!$D$2:$D$162,B24,CADO_EMPREGOS_2022[MODALIDADE],"TT")</f>
        <v>2</v>
      </c>
      <c r="E24" s="54" cm="1">
        <f t="array" ref="E24">INDEX(CADO_EMPREGOS_2022[],_xlfn.XMATCH(B24,CADO_EMPREGOS_2022[[#All],[TRIG 1P]],0,1)-1,20)</f>
        <v>10.8</v>
      </c>
      <c r="F24" s="55" cm="1">
        <f t="array" ref="F24">INDEX(CADO_EMPREGOS_2022[],_xlfn.XMATCH(B24,CADO_EMPREGOS_2022[[#All],[TRIG 1P]],0,1)-1,21)</f>
        <v>5.9</v>
      </c>
      <c r="G24" s="55" t="str" cm="1">
        <f t="array" ref="G24">IF(INDEX(CADO_EMPREGOS_2022[],_xlfn.XMATCH(B24,CADO_EMPREGOS_2022[[#All],[TRIG 1P]],0,1)-1,36) = INDEX(CADO_EMPREGOS_2022[],_xlfn.XMATCH(B24,CADO_EMPREGOS_2022[[#All],[TRIG 1P]],0,1)-1,37),"N","S")</f>
        <v>N</v>
      </c>
      <c r="H24" s="56">
        <f t="shared" si="3"/>
        <v>8.92</v>
      </c>
      <c r="I24" s="63" cm="1">
        <f t="array" ref="I24">INDEX(CADO_EMPREGOS_2022[],_xlfn.XMATCH(B24,CADO_EMPREGOS_2022[[#All],[TRIG 1P]],0,1),20)</f>
        <v>11.1</v>
      </c>
      <c r="J24" s="64" cm="1">
        <f t="array" ref="J24">INDEX(CADO_EMPREGOS_2022[],_xlfn.XMATCH(B24,CADO_EMPREGOS_2022[[#All],[TRIG 1P]],0,1),21)</f>
        <v>6.1</v>
      </c>
      <c r="K24" s="64" t="str" cm="1">
        <f t="array" ref="K24">IF(INDEX(CADO_EMPREGOS_2022[],_xlfn.XMATCH(B24,CADO_EMPREGOS_2022[[#All],[TRIG 1P]],0,1),36) = INDEX(CADO_EMPREGOS_2022[],_xlfn.XMATCH(B24,CADO_EMPREGOS_2022[[#All],[TRIG 1P]],0,1),37),"N","S")</f>
        <v>N</v>
      </c>
      <c r="L24" s="65">
        <f t="shared" si="4"/>
        <v>8.89</v>
      </c>
      <c r="M24" s="72" cm="1">
        <f t="array" ref="M24">IF(INDEX(CADO_EMPREGOS_2022[],_xlfn.XMATCH(B24,CADO_EMPREGOS_2022[[#All],[TRIG 1P]],0,1)+1,8)&lt;&gt;"BRB","-",INDEX(CADO_EMPREGOS_2022[],_xlfn.XMATCH(B24,CADO_EMPREGOS_2022[[#All],[TRIG 1P]],0,1)+1,20))</f>
        <v>13.5</v>
      </c>
      <c r="N24" s="73" cm="1">
        <f t="array" ref="N24">IF(INDEX(CADO_EMPREGOS_2022[],_xlfn.XMATCH(B24,CADO_EMPREGOS_2022[[#All],[TRIG 1P]],0,1)+1,8)&lt;&gt;"BRB","-",INDEX(CADO_EMPREGOS_2022[],_xlfn.XMATCH(B24,CADO_EMPREGOS_2022[[#All],[TRIG 1P]],0,1)+1,21))</f>
        <v>6.9</v>
      </c>
      <c r="O24" s="73" t="str" cm="1">
        <f t="array" ref="O24">IF(INDEX(CADO_EMPREGOS_2022[],_xlfn.XMATCH(B24,CADO_EMPREGOS_2022[[#All],[TRIG 1P]],0,1)+1,36) = INDEX(CADO_EMPREGOS_2022[],_xlfn.XMATCH(B24,CADO_EMPREGOS_2022[[#All],[TRIG 1P]],0,1)+1,37),"N","S")</f>
        <v>N</v>
      </c>
      <c r="P24" s="74">
        <f t="shared" si="0"/>
        <v>8.65</v>
      </c>
      <c r="Q24" s="81" cm="1">
        <f t="array" ref="Q24">IF(INDEX(CADO_EMPREGOS_2022[],_xlfn.XMATCH(B24,CADO_EMPREGOS_2022[[#All],[TRIG 1P]],0,1)+2,8)&lt;&gt;"BRB","-",INDEX(CADO_EMPREGOS_2022[],_xlfn.XMATCH(B24,CADO_EMPREGOS_2022[[#All],[TRIG 1P]],0,1)+2,20))</f>
        <v>9.3000000000000007</v>
      </c>
      <c r="R24" s="82" cm="1">
        <f t="array" ref="R24">IF(INDEX(CADO_EMPREGOS_2022[],_xlfn.XMATCH(B24,CADO_EMPREGOS_2022[[#All],[TRIG 1P]],0,1)+2,8)&lt;&gt;"BRB","-",INDEX(CADO_EMPREGOS_2022[],_xlfn.XMATCH(B24,CADO_EMPREGOS_2022[[#All],[TRIG 1P]],0,1)+2,21))</f>
        <v>5.5</v>
      </c>
      <c r="S24" s="82" t="str" cm="1">
        <f t="array" ref="S24">IF(INDEX(CADO_EMPREGOS_2022[],_xlfn.XMATCH(B24,CADO_EMPREGOS_2022[[#All],[TRIG 1P]],0,1)+2,36) = INDEX(CADO_EMPREGOS_2022[],_xlfn.XMATCH(B24,CADO_EMPREGOS_2022[[#All],[TRIG 1P]],0,1)+2,37),"N","S")</f>
        <v>N</v>
      </c>
      <c r="T24" s="83">
        <f t="shared" si="1"/>
        <v>9.07</v>
      </c>
      <c r="U24" s="96" cm="1">
        <f t="array" ref="U24">INDEX(CADO_EMPREGOS_2022[],_xlfn.XMATCH(B24,CADO_EMPREGOS_2022[[#All],[TRIG 1P]],0,1)-1+C24,22)</f>
        <v>30</v>
      </c>
      <c r="V24" s="89" cm="1">
        <f t="array" ref="V24">INDEX(CADO_EMPREGOS_2022[],_xlfn.XMATCH(B24,CADO_EMPREGOS_2022[[#All],[TRIG 1P]],0,1)-1+C24,23)</f>
        <v>28</v>
      </c>
      <c r="W24" s="99" cm="1">
        <f t="array" ref="W24">INDEX(CADO_EMPREGOS_2022[],_xlfn.XMATCH(B24,CADO_EMPREGOS_2022[[#All],[TRIG 1P]],0,1)-1+C24+1,22)</f>
        <v>27</v>
      </c>
      <c r="X24" s="100" cm="1">
        <f t="array" ref="X24">INDEX(CADO_EMPREGOS_2022[],_xlfn.XMATCH(B24,CADO_EMPREGOS_2022[[#All],[TRIG 1P]],0,1)-1+C24+1,23)</f>
        <v>12</v>
      </c>
      <c r="Y24" s="94" t="s">
        <v>121</v>
      </c>
      <c r="Z24" s="94">
        <f t="shared" si="5"/>
        <v>8.8825000000000003</v>
      </c>
      <c r="AA24" s="94" t="s">
        <v>121</v>
      </c>
      <c r="AB24" s="98">
        <f t="shared" si="6"/>
        <v>6.6666666666666679</v>
      </c>
      <c r="AC24" s="94" t="s">
        <v>121</v>
      </c>
      <c r="AD24" s="105">
        <f t="shared" si="2"/>
        <v>7.7745833333333341</v>
      </c>
      <c r="AF24" s="121" t="s">
        <v>237</v>
      </c>
      <c r="AG24" s="112" t="str">
        <v>GAS</v>
      </c>
      <c r="AH24" s="113">
        <v>6.8925000000000001</v>
      </c>
      <c r="AI24" s="112" t="str">
        <v>SWK</v>
      </c>
      <c r="AJ24" s="113">
        <v>6.6666666666666679</v>
      </c>
      <c r="AK24" s="124" t="str">
        <v>TAV</v>
      </c>
      <c r="AL24" s="125">
        <v>7.1116666666666672</v>
      </c>
      <c r="AM24" s="117" t="s">
        <v>237</v>
      </c>
    </row>
    <row r="25" spans="1:39" x14ac:dyDescent="0.25">
      <c r="A25" s="165" t="s">
        <v>213</v>
      </c>
      <c r="B25" s="140" t="s">
        <v>123</v>
      </c>
      <c r="C25" s="110">
        <f>COUNTIFS('DB EMPREGOS'!$D$2:$D$162,B25,CADO_EMPREGOS_2022[MODALIDADE],"BRB")</f>
        <v>2</v>
      </c>
      <c r="D25" s="106">
        <f>COUNTIFS('DB EMPREGOS'!$D$2:$D$162,B25,CADO_EMPREGOS_2022[MODALIDADE],"TT")</f>
        <v>2</v>
      </c>
      <c r="E25" s="54" cm="1">
        <f t="array" ref="E25">INDEX(CADO_EMPREGOS_2022[],_xlfn.XMATCH(B25,CADO_EMPREGOS_2022[[#All],[TRIG 1P]],0,1)-1,20)</f>
        <v>16</v>
      </c>
      <c r="F25" s="55" cm="1">
        <f t="array" ref="F25">INDEX(CADO_EMPREGOS_2022[],_xlfn.XMATCH(B25,CADO_EMPREGOS_2022[[#All],[TRIG 1P]],0,1)-1,21)</f>
        <v>11.9</v>
      </c>
      <c r="G25" s="55" t="str" cm="1">
        <f t="array" ref="G25">IF(INDEX(CADO_EMPREGOS_2022[],_xlfn.XMATCH(B25,CADO_EMPREGOS_2022[[#All],[TRIG 1P]],0,1)-1,36) = INDEX(CADO_EMPREGOS_2022[],_xlfn.XMATCH(B25,CADO_EMPREGOS_2022[[#All],[TRIG 1P]],0,1)-1,37),"N","S")</f>
        <v>N</v>
      </c>
      <c r="H25" s="56">
        <f t="shared" si="3"/>
        <v>8.4</v>
      </c>
      <c r="I25" s="63" cm="1">
        <f t="array" ref="I25">INDEX(CADO_EMPREGOS_2022[],_xlfn.XMATCH(B25,CADO_EMPREGOS_2022[[#All],[TRIG 1P]],0,1),20)</f>
        <v>8.1999999999999993</v>
      </c>
      <c r="J25" s="64" cm="1">
        <f t="array" ref="J25">INDEX(CADO_EMPREGOS_2022[],_xlfn.XMATCH(B25,CADO_EMPREGOS_2022[[#All],[TRIG 1P]],0,1),21)</f>
        <v>8.6999999999999993</v>
      </c>
      <c r="K25" s="64" t="str" cm="1">
        <f t="array" ref="K25">IF(INDEX(CADO_EMPREGOS_2022[],_xlfn.XMATCH(B25,CADO_EMPREGOS_2022[[#All],[TRIG 1P]],0,1),36) = INDEX(CADO_EMPREGOS_2022[],_xlfn.XMATCH(B25,CADO_EMPREGOS_2022[[#All],[TRIG 1P]],0,1),37),"N","S")</f>
        <v>N</v>
      </c>
      <c r="L25" s="65">
        <f t="shared" si="4"/>
        <v>9.18</v>
      </c>
      <c r="M25" s="72" t="str" cm="1">
        <f t="array" ref="M25">IF(INDEX(CADO_EMPREGOS_2022[],_xlfn.XMATCH(B25,CADO_EMPREGOS_2022[[#All],[TRIG 1P]],0,1)+1,8)&lt;&gt;"BRB","-",INDEX(CADO_EMPREGOS_2022[],_xlfn.XMATCH(B25,CADO_EMPREGOS_2022[[#All],[TRIG 1P]],0,1)+1,20))</f>
        <v>-</v>
      </c>
      <c r="N25" s="73" t="str" cm="1">
        <f t="array" ref="N25">IF(INDEX(CADO_EMPREGOS_2022[],_xlfn.XMATCH(B25,CADO_EMPREGOS_2022[[#All],[TRIG 1P]],0,1)+1,8)&lt;&gt;"BRB","-",INDEX(CADO_EMPREGOS_2022[],_xlfn.XMATCH(B25,CADO_EMPREGOS_2022[[#All],[TRIG 1P]],0,1)+1,21))</f>
        <v>-</v>
      </c>
      <c r="O25" s="73" t="str" cm="1">
        <f t="array" ref="O25">IF(INDEX(CADO_EMPREGOS_2022[],_xlfn.XMATCH(B25,CADO_EMPREGOS_2022[[#All],[TRIG 1P]],0,1)+1,36) = INDEX(CADO_EMPREGOS_2022[],_xlfn.XMATCH(B25,CADO_EMPREGOS_2022[[#All],[TRIG 1P]],0,1)+1,37),"N","S")</f>
        <v>N</v>
      </c>
      <c r="P25" s="74" t="str">
        <f>IF(M25="-","-",IF(O25="N",(PRODUCT(-0.1,M25)+10),"0"))</f>
        <v>-</v>
      </c>
      <c r="Q25" s="81" t="str" cm="1">
        <f t="array" ref="Q25">IF(INDEX(CADO_EMPREGOS_2022[],_xlfn.XMATCH(B25,CADO_EMPREGOS_2022[[#All],[TRIG 1P]],0,1)+2,8)&lt;&gt;"BRB","-",INDEX(CADO_EMPREGOS_2022[],_xlfn.XMATCH(B25,CADO_EMPREGOS_2022[[#All],[TRIG 1P]],0,1)+2,20))</f>
        <v>-</v>
      </c>
      <c r="R25" s="82" t="str" cm="1">
        <f t="array" ref="R25">IF(INDEX(CADO_EMPREGOS_2022[],_xlfn.XMATCH(B25,CADO_EMPREGOS_2022[[#All],[TRIG 1P]],0,1)+2,8)&lt;&gt;"BRB","-",INDEX(CADO_EMPREGOS_2022[],_xlfn.XMATCH(B25,CADO_EMPREGOS_2022[[#All],[TRIG 1P]],0,1)+2,21))</f>
        <v>-</v>
      </c>
      <c r="S25" s="82" t="str" cm="1">
        <f t="array" ref="S25">IF(INDEX(CADO_EMPREGOS_2022[],_xlfn.XMATCH(B25,CADO_EMPREGOS_2022[[#All],[TRIG 1P]],0,1)+2,36) = INDEX(CADO_EMPREGOS_2022[],_xlfn.XMATCH(B25,CADO_EMPREGOS_2022[[#All],[TRIG 1P]],0,1)+2,37),"N","S")</f>
        <v>N</v>
      </c>
      <c r="T25" s="83" t="str">
        <f t="shared" si="1"/>
        <v>-</v>
      </c>
      <c r="U25" s="96" cm="1">
        <f t="array" ref="U25">INDEX(CADO_EMPREGOS_2022[],_xlfn.XMATCH(B25,CADO_EMPREGOS_2022[[#All],[TRIG 1P]],0,1)-1+C25,22)</f>
        <v>30</v>
      </c>
      <c r="V25" s="89" cm="1">
        <f t="array" ref="V25">INDEX(CADO_EMPREGOS_2022[],_xlfn.XMATCH(B25,CADO_EMPREGOS_2022[[#All],[TRIG 1P]],0,1)-1+C25,23)</f>
        <v>13</v>
      </c>
      <c r="W25" s="99" cm="1">
        <f t="array" ref="W25">INDEX(CADO_EMPREGOS_2022[],_xlfn.XMATCH(B25,CADO_EMPREGOS_2022[[#All],[TRIG 1P]],0,1)-1+C25+1,22)</f>
        <v>21</v>
      </c>
      <c r="X25" s="100" cm="1">
        <f t="array" ref="X25">INDEX(CADO_EMPREGOS_2022[],_xlfn.XMATCH(B25,CADO_EMPREGOS_2022[[#All],[TRIG 1P]],0,1)-1+C25+1,23)</f>
        <v>17</v>
      </c>
      <c r="Y25" s="94" t="s">
        <v>123</v>
      </c>
      <c r="Z25" s="94">
        <f t="shared" si="5"/>
        <v>8.7899999999999991</v>
      </c>
      <c r="AA25" s="94" t="s">
        <v>123</v>
      </c>
      <c r="AB25" s="98">
        <f t="shared" si="6"/>
        <v>5</v>
      </c>
      <c r="AC25" s="94" t="s">
        <v>123</v>
      </c>
      <c r="AD25" s="105">
        <f t="shared" si="2"/>
        <v>6.8949999999999996</v>
      </c>
      <c r="AF25" s="121" t="s">
        <v>238</v>
      </c>
      <c r="AG25" s="112" t="str">
        <v>TAV</v>
      </c>
      <c r="AH25" s="113">
        <v>6.8900000000000006</v>
      </c>
      <c r="AI25" s="112" t="str">
        <v>AVL</v>
      </c>
      <c r="AJ25" s="113">
        <v>6.6666666666666661</v>
      </c>
      <c r="AK25" s="124" t="str">
        <v>MAR</v>
      </c>
      <c r="AL25" s="125">
        <v>7.1029166666666654</v>
      </c>
      <c r="AM25" s="117" t="s">
        <v>238</v>
      </c>
    </row>
    <row r="26" spans="1:39" x14ac:dyDescent="0.25">
      <c r="A26" s="166"/>
      <c r="B26" s="140" t="s">
        <v>124</v>
      </c>
      <c r="C26" s="110">
        <f>COUNTIFS('DB EMPREGOS'!$D$2:$D$162,B26,CADO_EMPREGOS_2022[MODALIDADE],"BRB")</f>
        <v>4</v>
      </c>
      <c r="D26" s="106">
        <f>COUNTIFS('DB EMPREGOS'!$D$2:$D$162,B26,CADO_EMPREGOS_2022[MODALIDADE],"TT")</f>
        <v>2</v>
      </c>
      <c r="E26" s="54" cm="1">
        <f t="array" ref="E26">INDEX(CADO_EMPREGOS_2022[],_xlfn.XMATCH(B26,CADO_EMPREGOS_2022[[#All],[TRIG 1P]],0,1)-1,20)</f>
        <v>8.6999999999999993</v>
      </c>
      <c r="F26" s="55" cm="1">
        <f t="array" ref="F26">INDEX(CADO_EMPREGOS_2022[],_xlfn.XMATCH(B26,CADO_EMPREGOS_2022[[#All],[TRIG 1P]],0,1)-1,21)</f>
        <v>9.1</v>
      </c>
      <c r="G26" s="55" t="str" cm="1">
        <f t="array" ref="G26">IF(INDEX(CADO_EMPREGOS_2022[],_xlfn.XMATCH(B26,CADO_EMPREGOS_2022[[#All],[TRIG 1P]],0,1)-1,36) = INDEX(CADO_EMPREGOS_2022[],_xlfn.XMATCH(B26,CADO_EMPREGOS_2022[[#All],[TRIG 1P]],0,1)-1,37),"N","S")</f>
        <v>N</v>
      </c>
      <c r="H26" s="56">
        <f t="shared" si="3"/>
        <v>9.1300000000000008</v>
      </c>
      <c r="I26" s="63" cm="1">
        <f t="array" ref="I26">INDEX(CADO_EMPREGOS_2022[],_xlfn.XMATCH(B26,CADO_EMPREGOS_2022[[#All],[TRIG 1P]],0,1),20)</f>
        <v>12</v>
      </c>
      <c r="J26" s="64" cm="1">
        <f t="array" ref="J26">INDEX(CADO_EMPREGOS_2022[],_xlfn.XMATCH(B26,CADO_EMPREGOS_2022[[#All],[TRIG 1P]],0,1),21)</f>
        <v>5.3</v>
      </c>
      <c r="K26" s="64" t="str" cm="1">
        <f t="array" ref="K26">IF(INDEX(CADO_EMPREGOS_2022[],_xlfn.XMATCH(B26,CADO_EMPREGOS_2022[[#All],[TRIG 1P]],0,1),36) = INDEX(CADO_EMPREGOS_2022[],_xlfn.XMATCH(B26,CADO_EMPREGOS_2022[[#All],[TRIG 1P]],0,1),37),"N","S")</f>
        <v>N</v>
      </c>
      <c r="L26" s="65">
        <f t="shared" si="4"/>
        <v>8.8000000000000007</v>
      </c>
      <c r="M26" s="72" cm="1">
        <f t="array" ref="M26">IF(INDEX(CADO_EMPREGOS_2022[],_xlfn.XMATCH(B26,CADO_EMPREGOS_2022[[#All],[TRIG 1P]],0,1)+1,8)&lt;&gt;"BRB","-",INDEX(CADO_EMPREGOS_2022[],_xlfn.XMATCH(B26,CADO_EMPREGOS_2022[[#All],[TRIG 1P]],0,1)+1,20))</f>
        <v>2.2000000000000002</v>
      </c>
      <c r="N26" s="73" cm="1">
        <f t="array" ref="N26">IF(INDEX(CADO_EMPREGOS_2022[],_xlfn.XMATCH(B26,CADO_EMPREGOS_2022[[#All],[TRIG 1P]],0,1)+1,8)&lt;&gt;"BRB","-",INDEX(CADO_EMPREGOS_2022[],_xlfn.XMATCH(B26,CADO_EMPREGOS_2022[[#All],[TRIG 1P]],0,1)+1,21))</f>
        <v>9.4</v>
      </c>
      <c r="O26" s="73" t="str" cm="1">
        <f t="array" ref="O26">IF(INDEX(CADO_EMPREGOS_2022[],_xlfn.XMATCH(B26,CADO_EMPREGOS_2022[[#All],[TRIG 1P]],0,1)+1,36) = INDEX(CADO_EMPREGOS_2022[],_xlfn.XMATCH(B26,CADO_EMPREGOS_2022[[#All],[TRIG 1P]],0,1)+1,37),"N","S")</f>
        <v>N</v>
      </c>
      <c r="P26" s="74">
        <f t="shared" ref="P26:P31" si="7">IF(M26="-","-",IF(O26="N",(PRODUCT(-0.1,M26)+10),"0"))</f>
        <v>9.7799999999999994</v>
      </c>
      <c r="Q26" s="81" cm="1">
        <f t="array" ref="Q26">IF(INDEX(CADO_EMPREGOS_2022[],_xlfn.XMATCH(B26,CADO_EMPREGOS_2022[[#All],[TRIG 1P]],0,1)+2,8)&lt;&gt;"BRB","-",INDEX(CADO_EMPREGOS_2022[],_xlfn.XMATCH(B26,CADO_EMPREGOS_2022[[#All],[TRIG 1P]],0,1)+2,20))</f>
        <v>2.8</v>
      </c>
      <c r="R26" s="82" cm="1">
        <f t="array" ref="R26">IF(INDEX(CADO_EMPREGOS_2022[],_xlfn.XMATCH(B26,CADO_EMPREGOS_2022[[#All],[TRIG 1P]],0,1)+2,8)&lt;&gt;"BRB","-",INDEX(CADO_EMPREGOS_2022[],_xlfn.XMATCH(B26,CADO_EMPREGOS_2022[[#All],[TRIG 1P]],0,1)+2,21))</f>
        <v>5.6</v>
      </c>
      <c r="S26" s="82" t="str" cm="1">
        <f t="array" ref="S26">IF(INDEX(CADO_EMPREGOS_2022[],_xlfn.XMATCH(B26,CADO_EMPREGOS_2022[[#All],[TRIG 1P]],0,1)+2,36) = INDEX(CADO_EMPREGOS_2022[],_xlfn.XMATCH(B26,CADO_EMPREGOS_2022[[#All],[TRIG 1P]],0,1)+2,37),"N","S")</f>
        <v>N</v>
      </c>
      <c r="T26" s="83">
        <f t="shared" si="1"/>
        <v>9.7200000000000006</v>
      </c>
      <c r="U26" s="96" cm="1">
        <f t="array" ref="U26">INDEX(CADO_EMPREGOS_2022[],_xlfn.XMATCH(B26,CADO_EMPREGOS_2022[[#All],[TRIG 1P]],0,1)-1+C26,22)</f>
        <v>27</v>
      </c>
      <c r="V26" s="89" cm="1">
        <f t="array" ref="V26">INDEX(CADO_EMPREGOS_2022[],_xlfn.XMATCH(B26,CADO_EMPREGOS_2022[[#All],[TRIG 1P]],0,1)-1+C26,23)</f>
        <v>25</v>
      </c>
      <c r="W26" s="99" cm="1">
        <f t="array" ref="W26">INDEX(CADO_EMPREGOS_2022[],_xlfn.XMATCH(B26,CADO_EMPREGOS_2022[[#All],[TRIG 1P]],0,1)-1+C26+1,22)</f>
        <v>25</v>
      </c>
      <c r="X26" s="100" cm="1">
        <f t="array" ref="X26">INDEX(CADO_EMPREGOS_2022[],_xlfn.XMATCH(B26,CADO_EMPREGOS_2022[[#All],[TRIG 1P]],0,1)-1+C26+1,23)</f>
        <v>23</v>
      </c>
      <c r="Y26" s="94" t="s">
        <v>124</v>
      </c>
      <c r="Z26" s="94">
        <f t="shared" si="5"/>
        <v>9.3574999999999999</v>
      </c>
      <c r="AA26" s="94" t="s">
        <v>124</v>
      </c>
      <c r="AB26" s="98">
        <f t="shared" si="6"/>
        <v>8</v>
      </c>
      <c r="AC26" s="94" t="s">
        <v>124</v>
      </c>
      <c r="AD26" s="105">
        <f t="shared" si="2"/>
        <v>8.6787500000000009</v>
      </c>
      <c r="AF26" s="121" t="s">
        <v>239</v>
      </c>
      <c r="AG26" s="112" t="str">
        <v>BOZ</v>
      </c>
      <c r="AH26" s="113">
        <v>6.7749999999999995</v>
      </c>
      <c r="AI26" s="112" t="str">
        <v>FLH</v>
      </c>
      <c r="AJ26" s="113">
        <v>6.333333333333333</v>
      </c>
      <c r="AK26" s="124" t="str">
        <v>GAS</v>
      </c>
      <c r="AL26" s="125">
        <v>7.0295833333333331</v>
      </c>
      <c r="AM26" s="117" t="s">
        <v>239</v>
      </c>
    </row>
    <row r="27" spans="1:39" x14ac:dyDescent="0.25">
      <c r="A27" s="166"/>
      <c r="B27" s="140" t="s">
        <v>125</v>
      </c>
      <c r="C27" s="110">
        <f>COUNTIFS('DB EMPREGOS'!$D$2:$D$162,B27,CADO_EMPREGOS_2022[MODALIDADE],"BRB")</f>
        <v>4</v>
      </c>
      <c r="D27" s="106">
        <f>COUNTIFS('DB EMPREGOS'!$D$2:$D$162,B27,CADO_EMPREGOS_2022[MODALIDADE],"TT")</f>
        <v>2</v>
      </c>
      <c r="E27" s="54" cm="1">
        <f t="array" ref="E27">INDEX(CADO_EMPREGOS_2022[],_xlfn.XMATCH(B27,CADO_EMPREGOS_2022[[#All],[TRIG 1P]],0,1)-1,20)</f>
        <v>9.6999999999999993</v>
      </c>
      <c r="F27" s="55" cm="1">
        <f t="array" ref="F27">INDEX(CADO_EMPREGOS_2022[],_xlfn.XMATCH(B27,CADO_EMPREGOS_2022[[#All],[TRIG 1P]],0,1)-1,21)</f>
        <v>10.5</v>
      </c>
      <c r="G27" s="55" t="str" cm="1">
        <f t="array" ref="G27">IF(INDEX(CADO_EMPREGOS_2022[],_xlfn.XMATCH(B27,CADO_EMPREGOS_2022[[#All],[TRIG 1P]],0,1)-1,36) = INDEX(CADO_EMPREGOS_2022[],_xlfn.XMATCH(B27,CADO_EMPREGOS_2022[[#All],[TRIG 1P]],0,1)-1,37),"N","S")</f>
        <v>N</v>
      </c>
      <c r="H27" s="56">
        <f t="shared" si="3"/>
        <v>9.0299999999999994</v>
      </c>
      <c r="I27" s="63" cm="1">
        <f t="array" ref="I27">INDEX(CADO_EMPREGOS_2022[],_xlfn.XMATCH(B27,CADO_EMPREGOS_2022[[#All],[TRIG 1P]],0,1),20)</f>
        <v>8.1999999999999993</v>
      </c>
      <c r="J27" s="64" cm="1">
        <f t="array" ref="J27">INDEX(CADO_EMPREGOS_2022[],_xlfn.XMATCH(B27,CADO_EMPREGOS_2022[[#All],[TRIG 1P]],0,1),21)</f>
        <v>4.3</v>
      </c>
      <c r="K27" s="64" t="str" cm="1">
        <f t="array" ref="K27">IF(INDEX(CADO_EMPREGOS_2022[],_xlfn.XMATCH(B27,CADO_EMPREGOS_2022[[#All],[TRIG 1P]],0,1),36) = INDEX(CADO_EMPREGOS_2022[],_xlfn.XMATCH(B27,CADO_EMPREGOS_2022[[#All],[TRIG 1P]],0,1),37),"N","S")</f>
        <v>N</v>
      </c>
      <c r="L27" s="65">
        <f t="shared" si="4"/>
        <v>9.18</v>
      </c>
      <c r="M27" s="72" cm="1">
        <f t="array" ref="M27">IF(INDEX(CADO_EMPREGOS_2022[],_xlfn.XMATCH(B27,CADO_EMPREGOS_2022[[#All],[TRIG 1P]],0,1)+1,8)&lt;&gt;"BRB","-",INDEX(CADO_EMPREGOS_2022[],_xlfn.XMATCH(B27,CADO_EMPREGOS_2022[[#All],[TRIG 1P]],0,1)+1,20))</f>
        <v>3</v>
      </c>
      <c r="N27" s="73" cm="1">
        <f t="array" ref="N27">IF(INDEX(CADO_EMPREGOS_2022[],_xlfn.XMATCH(B27,CADO_EMPREGOS_2022[[#All],[TRIG 1P]],0,1)+1,8)&lt;&gt;"BRB","-",INDEX(CADO_EMPREGOS_2022[],_xlfn.XMATCH(B27,CADO_EMPREGOS_2022[[#All],[TRIG 1P]],0,1)+1,21))</f>
        <v>3</v>
      </c>
      <c r="O27" s="73" t="str" cm="1">
        <f t="array" ref="O27">IF(INDEX(CADO_EMPREGOS_2022[],_xlfn.XMATCH(B27,CADO_EMPREGOS_2022[[#All],[TRIG 1P]],0,1)+1,36) = INDEX(CADO_EMPREGOS_2022[],_xlfn.XMATCH(B27,CADO_EMPREGOS_2022[[#All],[TRIG 1P]],0,1)+1,37),"N","S")</f>
        <v>N</v>
      </c>
      <c r="P27" s="74">
        <f t="shared" si="7"/>
        <v>9.6999999999999993</v>
      </c>
      <c r="Q27" s="81" cm="1">
        <f t="array" ref="Q27">IF(INDEX(CADO_EMPREGOS_2022[],_xlfn.XMATCH(B27,CADO_EMPREGOS_2022[[#All],[TRIG 1P]],0,1)+2,8)&lt;&gt;"BRB","-",INDEX(CADO_EMPREGOS_2022[],_xlfn.XMATCH(B27,CADO_EMPREGOS_2022[[#All],[TRIG 1P]],0,1)+2,20))</f>
        <v>20</v>
      </c>
      <c r="R27" s="82" cm="1">
        <f t="array" ref="R27">IF(INDEX(CADO_EMPREGOS_2022[],_xlfn.XMATCH(B27,CADO_EMPREGOS_2022[[#All],[TRIG 1P]],0,1)+2,8)&lt;&gt;"BRB","-",INDEX(CADO_EMPREGOS_2022[],_xlfn.XMATCH(B27,CADO_EMPREGOS_2022[[#All],[TRIG 1P]],0,1)+2,21))</f>
        <v>4</v>
      </c>
      <c r="S27" s="82" t="str" cm="1">
        <f t="array" ref="S27">IF(INDEX(CADO_EMPREGOS_2022[],_xlfn.XMATCH(B27,CADO_EMPREGOS_2022[[#All],[TRIG 1P]],0,1)+2,36) = INDEX(CADO_EMPREGOS_2022[],_xlfn.XMATCH(B27,CADO_EMPREGOS_2022[[#All],[TRIG 1P]],0,1)+2,37),"N","S")</f>
        <v>N</v>
      </c>
      <c r="T27" s="83">
        <f t="shared" si="1"/>
        <v>8</v>
      </c>
      <c r="U27" s="96" cm="1">
        <f t="array" ref="U27">INDEX(CADO_EMPREGOS_2022[],_xlfn.XMATCH(B27,CADO_EMPREGOS_2022[[#All],[TRIG 1P]],0,1)-1+C27,22)</f>
        <v>30</v>
      </c>
      <c r="V27" s="89" cm="1">
        <f t="array" ref="V27">INDEX(CADO_EMPREGOS_2022[],_xlfn.XMATCH(B27,CADO_EMPREGOS_2022[[#All],[TRIG 1P]],0,1)-1+C27,23)</f>
        <v>20</v>
      </c>
      <c r="W27" s="99" cm="1">
        <f t="array" ref="W27">INDEX(CADO_EMPREGOS_2022[],_xlfn.XMATCH(B27,CADO_EMPREGOS_2022[[#All],[TRIG 1P]],0,1)-1+C27+1,22)</f>
        <v>30</v>
      </c>
      <c r="X27" s="100" cm="1">
        <f t="array" ref="X27">INDEX(CADO_EMPREGOS_2022[],_xlfn.XMATCH(B27,CADO_EMPREGOS_2022[[#All],[TRIG 1P]],0,1)-1+C27+1,23)</f>
        <v>24</v>
      </c>
      <c r="Y27" s="94" t="s">
        <v>125</v>
      </c>
      <c r="Z27" s="94">
        <f t="shared" si="5"/>
        <v>8.9774999999999991</v>
      </c>
      <c r="AA27" s="94" t="s">
        <v>125</v>
      </c>
      <c r="AB27" s="98">
        <f t="shared" si="6"/>
        <v>7.3333333333333339</v>
      </c>
      <c r="AC27" s="94" t="s">
        <v>125</v>
      </c>
      <c r="AD27" s="105">
        <f t="shared" si="2"/>
        <v>8.1554166666666674</v>
      </c>
      <c r="AF27" s="121" t="s">
        <v>240</v>
      </c>
      <c r="AG27" s="112" t="str">
        <v>DRG</v>
      </c>
      <c r="AH27" s="113">
        <v>6.6475</v>
      </c>
      <c r="AI27" s="112" t="str">
        <v>DRG</v>
      </c>
      <c r="AJ27" s="113">
        <v>5.8333333333333321</v>
      </c>
      <c r="AK27" s="124" t="str">
        <v>ARG</v>
      </c>
      <c r="AL27" s="125">
        <v>6.8949999999999996</v>
      </c>
      <c r="AM27" s="117" t="s">
        <v>240</v>
      </c>
    </row>
    <row r="28" spans="1:39" x14ac:dyDescent="0.25">
      <c r="A28" s="166"/>
      <c r="B28" s="140" t="s">
        <v>127</v>
      </c>
      <c r="C28" s="110">
        <f>COUNTIFS('DB EMPREGOS'!$D$2:$D$162,B28,CADO_EMPREGOS_2022[MODALIDADE],"BRB")</f>
        <v>4</v>
      </c>
      <c r="D28" s="106">
        <f>COUNTIFS('DB EMPREGOS'!$D$2:$D$162,B28,CADO_EMPREGOS_2022[MODALIDADE],"TT")</f>
        <v>2</v>
      </c>
      <c r="E28" s="54" cm="1">
        <f t="array" ref="E28">INDEX(CADO_EMPREGOS_2022[],_xlfn.XMATCH(B28,CADO_EMPREGOS_2022[[#All],[TRIG 1P]],0,1)-1,20)</f>
        <v>22.1</v>
      </c>
      <c r="F28" s="55" cm="1">
        <f t="array" ref="F28">INDEX(CADO_EMPREGOS_2022[],_xlfn.XMATCH(B28,CADO_EMPREGOS_2022[[#All],[TRIG 1P]],0,1)-1,21)</f>
        <v>2.4</v>
      </c>
      <c r="G28" s="55" t="str" cm="1">
        <f t="array" ref="G28">IF(INDEX(CADO_EMPREGOS_2022[],_xlfn.XMATCH(B28,CADO_EMPREGOS_2022[[#All],[TRIG 1P]],0,1)-1,36) = INDEX(CADO_EMPREGOS_2022[],_xlfn.XMATCH(B28,CADO_EMPREGOS_2022[[#All],[TRIG 1P]],0,1)-1,37),"N","S")</f>
        <v>N</v>
      </c>
      <c r="H28" s="56">
        <f t="shared" si="3"/>
        <v>7.7899999999999991</v>
      </c>
      <c r="I28" s="63" cm="1">
        <f t="array" ref="I28">INDEX(CADO_EMPREGOS_2022[],_xlfn.XMATCH(B28,CADO_EMPREGOS_2022[[#All],[TRIG 1P]],0,1),20)</f>
        <v>33.299999999999997</v>
      </c>
      <c r="J28" s="64" cm="1">
        <f t="array" ref="J28">INDEX(CADO_EMPREGOS_2022[],_xlfn.XMATCH(B28,CADO_EMPREGOS_2022[[#All],[TRIG 1P]],0,1),21)</f>
        <v>12</v>
      </c>
      <c r="K28" s="64" t="str" cm="1">
        <f t="array" ref="K28">IF(INDEX(CADO_EMPREGOS_2022[],_xlfn.XMATCH(B28,CADO_EMPREGOS_2022[[#All],[TRIG 1P]],0,1),36) = INDEX(CADO_EMPREGOS_2022[],_xlfn.XMATCH(B28,CADO_EMPREGOS_2022[[#All],[TRIG 1P]],0,1),37),"N","S")</f>
        <v>N</v>
      </c>
      <c r="L28" s="65">
        <f t="shared" si="4"/>
        <v>6.67</v>
      </c>
      <c r="M28" s="72" cm="1">
        <f t="array" ref="M28">IF(INDEX(CADO_EMPREGOS_2022[],_xlfn.XMATCH(B28,CADO_EMPREGOS_2022[[#All],[TRIG 1P]],0,1)+1,8)&lt;&gt;"BRB","-",INDEX(CADO_EMPREGOS_2022[],_xlfn.XMATCH(B28,CADO_EMPREGOS_2022[[#All],[TRIG 1P]],0,1)+1,20))</f>
        <v>12</v>
      </c>
      <c r="N28" s="73" cm="1">
        <f t="array" ref="N28">IF(INDEX(CADO_EMPREGOS_2022[],_xlfn.XMATCH(B28,CADO_EMPREGOS_2022[[#All],[TRIG 1P]],0,1)+1,8)&lt;&gt;"BRB","-",INDEX(CADO_EMPREGOS_2022[],_xlfn.XMATCH(B28,CADO_EMPREGOS_2022[[#All],[TRIG 1P]],0,1)+1,21))</f>
        <v>5.8</v>
      </c>
      <c r="O28" s="73" t="str" cm="1">
        <f t="array" ref="O28">IF(INDEX(CADO_EMPREGOS_2022[],_xlfn.XMATCH(B28,CADO_EMPREGOS_2022[[#All],[TRIG 1P]],0,1)+1,36) = INDEX(CADO_EMPREGOS_2022[],_xlfn.XMATCH(B28,CADO_EMPREGOS_2022[[#All],[TRIG 1P]],0,1)+1,37),"N","S")</f>
        <v>N</v>
      </c>
      <c r="P28" s="74">
        <f t="shared" si="7"/>
        <v>8.8000000000000007</v>
      </c>
      <c r="Q28" s="81" cm="1">
        <f t="array" ref="Q28">IF(INDEX(CADO_EMPREGOS_2022[],_xlfn.XMATCH(B28,CADO_EMPREGOS_2022[[#All],[TRIG 1P]],0,1)+2,8)&lt;&gt;"BRB","-",INDEX(CADO_EMPREGOS_2022[],_xlfn.XMATCH(B28,CADO_EMPREGOS_2022[[#All],[TRIG 1P]],0,1)+2,20))</f>
        <v>6.8</v>
      </c>
      <c r="R28" s="82" cm="1">
        <f t="array" ref="R28">IF(INDEX(CADO_EMPREGOS_2022[],_xlfn.XMATCH(B28,CADO_EMPREGOS_2022[[#All],[TRIG 1P]],0,1)+2,8)&lt;&gt;"BRB","-",INDEX(CADO_EMPREGOS_2022[],_xlfn.XMATCH(B28,CADO_EMPREGOS_2022[[#All],[TRIG 1P]],0,1)+2,21))</f>
        <v>6.3</v>
      </c>
      <c r="S28" s="82" t="str" cm="1">
        <f t="array" ref="S28">IF(INDEX(CADO_EMPREGOS_2022[],_xlfn.XMATCH(B28,CADO_EMPREGOS_2022[[#All],[TRIG 1P]],0,1)+2,36) = INDEX(CADO_EMPREGOS_2022[],_xlfn.XMATCH(B28,CADO_EMPREGOS_2022[[#All],[TRIG 1P]],0,1)+2,37),"N","S")</f>
        <v>N</v>
      </c>
      <c r="T28" s="83">
        <f t="shared" si="1"/>
        <v>9.32</v>
      </c>
      <c r="U28" s="96" cm="1">
        <f t="array" ref="U28">INDEX(CADO_EMPREGOS_2022[],_xlfn.XMATCH(B28,CADO_EMPREGOS_2022[[#All],[TRIG 1P]],0,1)-1+C28,22)</f>
        <v>30</v>
      </c>
      <c r="V28" s="89" cm="1">
        <f t="array" ref="V28">INDEX(CADO_EMPREGOS_2022[],_xlfn.XMATCH(B28,CADO_EMPREGOS_2022[[#All],[TRIG 1P]],0,1)-1+C28,23)</f>
        <v>17</v>
      </c>
      <c r="W28" s="99" cm="1">
        <f t="array" ref="W28">INDEX(CADO_EMPREGOS_2022[],_xlfn.XMATCH(B28,CADO_EMPREGOS_2022[[#All],[TRIG 1P]],0,1)-1+C28+1,22)</f>
        <v>30</v>
      </c>
      <c r="X28" s="100" cm="1">
        <f t="array" ref="X28">INDEX(CADO_EMPREGOS_2022[],_xlfn.XMATCH(B28,CADO_EMPREGOS_2022[[#All],[TRIG 1P]],0,1)-1+C28+1,23)</f>
        <v>21</v>
      </c>
      <c r="Y28" s="94" t="s">
        <v>127</v>
      </c>
      <c r="Z28" s="94">
        <f t="shared" si="5"/>
        <v>8.1449999999999996</v>
      </c>
      <c r="AA28" s="94" t="s">
        <v>127</v>
      </c>
      <c r="AB28" s="98">
        <f t="shared" si="6"/>
        <v>6.333333333333333</v>
      </c>
      <c r="AC28" s="94" t="s">
        <v>127</v>
      </c>
      <c r="AD28" s="105">
        <f t="shared" si="2"/>
        <v>7.2391666666666659</v>
      </c>
      <c r="AF28" s="121" t="s">
        <v>241</v>
      </c>
      <c r="AG28" s="112" t="str">
        <v>DAD</v>
      </c>
      <c r="AH28" s="113">
        <v>6.4375</v>
      </c>
      <c r="AI28" s="112" t="str">
        <v>MRL</v>
      </c>
      <c r="AJ28" s="113">
        <v>5.8333333333333321</v>
      </c>
      <c r="AK28" s="124" t="str">
        <v>HTO</v>
      </c>
      <c r="AL28" s="125">
        <v>6.7133333333333338</v>
      </c>
      <c r="AM28" s="117" t="s">
        <v>241</v>
      </c>
    </row>
    <row r="29" spans="1:39" x14ac:dyDescent="0.25">
      <c r="A29" s="166"/>
      <c r="B29" s="140" t="s">
        <v>128</v>
      </c>
      <c r="C29" s="110">
        <f>COUNTIFS('DB EMPREGOS'!$D$2:$D$162,B29,CADO_EMPREGOS_2022[MODALIDADE],"BRB")</f>
        <v>4</v>
      </c>
      <c r="D29" s="106">
        <f>COUNTIFS('DB EMPREGOS'!$D$2:$D$162,B29,CADO_EMPREGOS_2022[MODALIDADE],"TT")</f>
        <v>2</v>
      </c>
      <c r="E29" s="54" cm="1">
        <f t="array" ref="E29">INDEX(CADO_EMPREGOS_2022[],_xlfn.XMATCH(B29,CADO_EMPREGOS_2022[[#All],[TRIG 1P]],0,1)-1,20)</f>
        <v>4.0999999999999996</v>
      </c>
      <c r="F29" s="55" cm="1">
        <f t="array" ref="F29">INDEX(CADO_EMPREGOS_2022[],_xlfn.XMATCH(B29,CADO_EMPREGOS_2022[[#All],[TRIG 1P]],0,1)-1,21)</f>
        <v>12</v>
      </c>
      <c r="G29" s="55" t="str" cm="1">
        <f t="array" ref="G29">IF(INDEX(CADO_EMPREGOS_2022[],_xlfn.XMATCH(B29,CADO_EMPREGOS_2022[[#All],[TRIG 1P]],0,1)-1,36) = INDEX(CADO_EMPREGOS_2022[],_xlfn.XMATCH(B29,CADO_EMPREGOS_2022[[#All],[TRIG 1P]],0,1)-1,37),"N","S")</f>
        <v>N</v>
      </c>
      <c r="H29" s="56">
        <f t="shared" si="3"/>
        <v>9.59</v>
      </c>
      <c r="I29" s="63" cm="1">
        <f t="array" ref="I29">INDEX(CADO_EMPREGOS_2022[],_xlfn.XMATCH(B29,CADO_EMPREGOS_2022[[#All],[TRIG 1P]],0,1),20)</f>
        <v>6.5</v>
      </c>
      <c r="J29" s="64" cm="1">
        <f t="array" ref="J29">INDEX(CADO_EMPREGOS_2022[],_xlfn.XMATCH(B29,CADO_EMPREGOS_2022[[#All],[TRIG 1P]],0,1),21)</f>
        <v>2.5</v>
      </c>
      <c r="K29" s="64" t="str" cm="1">
        <f t="array" ref="K29">IF(INDEX(CADO_EMPREGOS_2022[],_xlfn.XMATCH(B29,CADO_EMPREGOS_2022[[#All],[TRIG 1P]],0,1),36) = INDEX(CADO_EMPREGOS_2022[],_xlfn.XMATCH(B29,CADO_EMPREGOS_2022[[#All],[TRIG 1P]],0,1),37),"N","S")</f>
        <v>N</v>
      </c>
      <c r="L29" s="65">
        <f t="shared" si="4"/>
        <v>9.35</v>
      </c>
      <c r="M29" s="72" cm="1">
        <f t="array" ref="M29">IF(INDEX(CADO_EMPREGOS_2022[],_xlfn.XMATCH(B29,CADO_EMPREGOS_2022[[#All],[TRIG 1P]],0,1)+1,8)&lt;&gt;"BRB","-",INDEX(CADO_EMPREGOS_2022[],_xlfn.XMATCH(B29,CADO_EMPREGOS_2022[[#All],[TRIG 1P]],0,1)+1,20))</f>
        <v>8</v>
      </c>
      <c r="N29" s="73" cm="1">
        <f t="array" ref="N29">IF(INDEX(CADO_EMPREGOS_2022[],_xlfn.XMATCH(B29,CADO_EMPREGOS_2022[[#All],[TRIG 1P]],0,1)+1,8)&lt;&gt;"BRB","-",INDEX(CADO_EMPREGOS_2022[],_xlfn.XMATCH(B29,CADO_EMPREGOS_2022[[#All],[TRIG 1P]],0,1)+1,21))</f>
        <v>4.3</v>
      </c>
      <c r="O29" s="73" t="str" cm="1">
        <f t="array" ref="O29">IF(INDEX(CADO_EMPREGOS_2022[],_xlfn.XMATCH(B29,CADO_EMPREGOS_2022[[#All],[TRIG 1P]],0,1)+1,36) = INDEX(CADO_EMPREGOS_2022[],_xlfn.XMATCH(B29,CADO_EMPREGOS_2022[[#All],[TRIG 1P]],0,1)+1,37),"N","S")</f>
        <v>S</v>
      </c>
      <c r="P29" s="74" t="str">
        <f t="shared" si="7"/>
        <v>0</v>
      </c>
      <c r="Q29" s="81" cm="1">
        <f t="array" ref="Q29">IF(INDEX(CADO_EMPREGOS_2022[],_xlfn.XMATCH(B29,CADO_EMPREGOS_2022[[#All],[TRIG 1P]],0,1)+2,8)&lt;&gt;"BRB","-",INDEX(CADO_EMPREGOS_2022[],_xlfn.XMATCH(B29,CADO_EMPREGOS_2022[[#All],[TRIG 1P]],0,1)+2,20))</f>
        <v>53</v>
      </c>
      <c r="R29" s="82" cm="1">
        <f t="array" ref="R29">IF(INDEX(CADO_EMPREGOS_2022[],_xlfn.XMATCH(B29,CADO_EMPREGOS_2022[[#All],[TRIG 1P]],0,1)+2,8)&lt;&gt;"BRB","-",INDEX(CADO_EMPREGOS_2022[],_xlfn.XMATCH(B29,CADO_EMPREGOS_2022[[#All],[TRIG 1P]],0,1)+2,21))</f>
        <v>12</v>
      </c>
      <c r="S29" s="82" t="str" cm="1">
        <f t="array" ref="S29">IF(INDEX(CADO_EMPREGOS_2022[],_xlfn.XMATCH(B29,CADO_EMPREGOS_2022[[#All],[TRIG 1P]],0,1)+2,36) = INDEX(CADO_EMPREGOS_2022[],_xlfn.XMATCH(B29,CADO_EMPREGOS_2022[[#All],[TRIG 1P]],0,1)+2,37),"N","S")</f>
        <v>S</v>
      </c>
      <c r="T29" s="83" t="str">
        <f t="shared" si="1"/>
        <v>0</v>
      </c>
      <c r="U29" s="96" cm="1">
        <f t="array" ref="U29">INDEX(CADO_EMPREGOS_2022[],_xlfn.XMATCH(B29,CADO_EMPREGOS_2022[[#All],[TRIG 1P]],0,1)-1+C29,22)</f>
        <v>30</v>
      </c>
      <c r="V29" s="89" cm="1">
        <f t="array" ref="V29">INDEX(CADO_EMPREGOS_2022[],_xlfn.XMATCH(B29,CADO_EMPREGOS_2022[[#All],[TRIG 1P]],0,1)-1+C29,23)</f>
        <v>25</v>
      </c>
      <c r="W29" s="99" cm="1">
        <f t="array" ref="W29">INDEX(CADO_EMPREGOS_2022[],_xlfn.XMATCH(B29,CADO_EMPREGOS_2022[[#All],[TRIG 1P]],0,1)-1+C29+1,22)</f>
        <v>30</v>
      </c>
      <c r="X29" s="100" cm="1">
        <f t="array" ref="X29">INDEX(CADO_EMPREGOS_2022[],_xlfn.XMATCH(B29,CADO_EMPREGOS_2022[[#All],[TRIG 1P]],0,1)-1+C29+1,23)</f>
        <v>15</v>
      </c>
      <c r="Y29" s="94" t="s">
        <v>128</v>
      </c>
      <c r="Z29" s="94">
        <f t="shared" si="5"/>
        <v>4.7349999999999994</v>
      </c>
      <c r="AA29" s="94" t="s">
        <v>128</v>
      </c>
      <c r="AB29" s="98">
        <f t="shared" si="6"/>
        <v>6.6666666666666679</v>
      </c>
      <c r="AC29" s="94" t="s">
        <v>128</v>
      </c>
      <c r="AD29" s="105">
        <f t="shared" ref="AD29:AD31" si="8">SUM(Z29:AB29)/2</f>
        <v>5.7008333333333336</v>
      </c>
      <c r="AF29" s="121" t="s">
        <v>242</v>
      </c>
      <c r="AG29" s="112" t="str">
        <v>HTO</v>
      </c>
      <c r="AH29" s="113">
        <v>6.2600000000000007</v>
      </c>
      <c r="AI29" s="112" t="str">
        <v>MAR</v>
      </c>
      <c r="AJ29" s="113">
        <v>5.333333333333333</v>
      </c>
      <c r="AK29" s="124" t="str">
        <v>DRG</v>
      </c>
      <c r="AL29" s="125">
        <v>6.2404166666666665</v>
      </c>
      <c r="AM29" s="117" t="s">
        <v>242</v>
      </c>
    </row>
    <row r="30" spans="1:39" x14ac:dyDescent="0.25">
      <c r="A30" s="166"/>
      <c r="B30" s="140" t="s">
        <v>129</v>
      </c>
      <c r="C30" s="110">
        <f>COUNTIFS('DB EMPREGOS'!$D$2:$D$162,B30,CADO_EMPREGOS_2022[MODALIDADE],"BRB")</f>
        <v>2</v>
      </c>
      <c r="D30" s="106">
        <f>COUNTIFS('DB EMPREGOS'!$D$2:$D$162,B30,CADO_EMPREGOS_2022[MODALIDADE],"TT")</f>
        <v>2</v>
      </c>
      <c r="E30" s="54" cm="1">
        <f t="array" ref="E30">INDEX(CADO_EMPREGOS_2022[],_xlfn.XMATCH(B30,CADO_EMPREGOS_2022[[#All],[TRIG 1P]],0,1)-1,20)</f>
        <v>8.3000000000000007</v>
      </c>
      <c r="F30" s="55" cm="1">
        <f t="array" ref="F30">INDEX(CADO_EMPREGOS_2022[],_xlfn.XMATCH(B30,CADO_EMPREGOS_2022[[#All],[TRIG 1P]],0,1)-1,21)</f>
        <v>5</v>
      </c>
      <c r="G30" s="55" t="str" cm="1">
        <f t="array" ref="G30">IF(INDEX(CADO_EMPREGOS_2022[],_xlfn.XMATCH(B30,CADO_EMPREGOS_2022[[#All],[TRIG 1P]],0,1)-1,36) = INDEX(CADO_EMPREGOS_2022[],_xlfn.XMATCH(B30,CADO_EMPREGOS_2022[[#All],[TRIG 1P]],0,1)-1,37),"N","S")</f>
        <v>N</v>
      </c>
      <c r="H30" s="56">
        <f t="shared" si="3"/>
        <v>9.17</v>
      </c>
      <c r="I30" s="63" cm="1">
        <f t="array" ref="I30">INDEX(CADO_EMPREGOS_2022[],_xlfn.XMATCH(B30,CADO_EMPREGOS_2022[[#All],[TRIG 1P]],0,1),20)</f>
        <v>10.1</v>
      </c>
      <c r="J30" s="64" cm="1">
        <f t="array" ref="J30">INDEX(CADO_EMPREGOS_2022[],_xlfn.XMATCH(B30,CADO_EMPREGOS_2022[[#All],[TRIG 1P]],0,1),21)</f>
        <v>5.8</v>
      </c>
      <c r="K30" s="64" t="str" cm="1">
        <f t="array" ref="K30">IF(INDEX(CADO_EMPREGOS_2022[],_xlfn.XMATCH(B30,CADO_EMPREGOS_2022[[#All],[TRIG 1P]],0,1),36) = INDEX(CADO_EMPREGOS_2022[],_xlfn.XMATCH(B30,CADO_EMPREGOS_2022[[#All],[TRIG 1P]],0,1),37),"N","S")</f>
        <v>N</v>
      </c>
      <c r="L30" s="65">
        <f t="shared" si="4"/>
        <v>8.99</v>
      </c>
      <c r="M30" s="72" t="str" cm="1">
        <f t="array" ref="M30">IF(INDEX(CADO_EMPREGOS_2022[],_xlfn.XMATCH(B30,CADO_EMPREGOS_2022[[#All],[TRIG 1P]],0,1)+1,8)&lt;&gt;"BRB","-",INDEX(CADO_EMPREGOS_2022[],_xlfn.XMATCH(B30,CADO_EMPREGOS_2022[[#All],[TRIG 1P]],0,1)+1,20))</f>
        <v>-</v>
      </c>
      <c r="N30" s="73" t="str" cm="1">
        <f t="array" ref="N30">IF(INDEX(CADO_EMPREGOS_2022[],_xlfn.XMATCH(B30,CADO_EMPREGOS_2022[[#All],[TRIG 1P]],0,1)+1,8)&lt;&gt;"BRB","-",INDEX(CADO_EMPREGOS_2022[],_xlfn.XMATCH(B30,CADO_EMPREGOS_2022[[#All],[TRIG 1P]],0,1)+1,21))</f>
        <v>-</v>
      </c>
      <c r="O30" s="73" t="str" cm="1">
        <f t="array" ref="O30">IF(INDEX(CADO_EMPREGOS_2022[],_xlfn.XMATCH(B30,CADO_EMPREGOS_2022[[#All],[TRIG 1P]],0,1)+1,36) = INDEX(CADO_EMPREGOS_2022[],_xlfn.XMATCH(B30,CADO_EMPREGOS_2022[[#All],[TRIG 1P]],0,1)+1,37),"N","S")</f>
        <v>S</v>
      </c>
      <c r="P30" s="74" t="str">
        <f t="shared" si="7"/>
        <v>-</v>
      </c>
      <c r="Q30" s="81" t="str" cm="1">
        <f t="array" ref="Q30">IF(INDEX(CADO_EMPREGOS_2022[],_xlfn.XMATCH(B30,CADO_EMPREGOS_2022[[#All],[TRIG 1P]],0,1)+2,8)&lt;&gt;"BRB","-",INDEX(CADO_EMPREGOS_2022[],_xlfn.XMATCH(B30,CADO_EMPREGOS_2022[[#All],[TRIG 1P]],0,1)+2,20))</f>
        <v>-</v>
      </c>
      <c r="R30" s="82" t="str" cm="1">
        <f t="array" ref="R30">IF(INDEX(CADO_EMPREGOS_2022[],_xlfn.XMATCH(B30,CADO_EMPREGOS_2022[[#All],[TRIG 1P]],0,1)+2,8)&lt;&gt;"BRB","-",INDEX(CADO_EMPREGOS_2022[],_xlfn.XMATCH(B30,CADO_EMPREGOS_2022[[#All],[TRIG 1P]],0,1)+2,21))</f>
        <v>-</v>
      </c>
      <c r="S30" s="82" t="str" cm="1">
        <f t="array" ref="S30">IF(INDEX(CADO_EMPREGOS_2022[],_xlfn.XMATCH(B30,CADO_EMPREGOS_2022[[#All],[TRIG 1P]],0,1)+2,36) = INDEX(CADO_EMPREGOS_2022[],_xlfn.XMATCH(B30,CADO_EMPREGOS_2022[[#All],[TRIG 1P]],0,1)+2,37),"N","S")</f>
        <v>N</v>
      </c>
      <c r="T30" s="83" t="str">
        <f t="shared" si="1"/>
        <v>-</v>
      </c>
      <c r="U30" s="96" cm="1">
        <f t="array" ref="U30">INDEX(CADO_EMPREGOS_2022[],_xlfn.XMATCH(B30,CADO_EMPREGOS_2022[[#All],[TRIG 1P]],0,1)-1+C30,22)</f>
        <v>24</v>
      </c>
      <c r="V30" s="89" cm="1">
        <f t="array" ref="V30">INDEX(CADO_EMPREGOS_2022[],_xlfn.XMATCH(B30,CADO_EMPREGOS_2022[[#All],[TRIG 1P]],0,1)-1+C30,23)</f>
        <v>20</v>
      </c>
      <c r="W30" s="99" cm="1">
        <f t="array" ref="W30">INDEX(CADO_EMPREGOS_2022[],_xlfn.XMATCH(B30,CADO_EMPREGOS_2022[[#All],[TRIG 1P]],0,1)-1+C30+1,22)</f>
        <v>28</v>
      </c>
      <c r="X30" s="100" cm="1">
        <f t="array" ref="X30">INDEX(CADO_EMPREGOS_2022[],_xlfn.XMATCH(B30,CADO_EMPREGOS_2022[[#All],[TRIG 1P]],0,1)-1+C30+1,23)</f>
        <v>27</v>
      </c>
      <c r="Y30" s="94" t="s">
        <v>129</v>
      </c>
      <c r="Z30" s="94">
        <f t="shared" si="5"/>
        <v>9.08</v>
      </c>
      <c r="AA30" s="94" t="s">
        <v>129</v>
      </c>
      <c r="AB30" s="98">
        <f t="shared" si="6"/>
        <v>7.833333333333333</v>
      </c>
      <c r="AC30" s="94" t="s">
        <v>129</v>
      </c>
      <c r="AD30" s="105">
        <f t="shared" si="8"/>
        <v>8.456666666666667</v>
      </c>
      <c r="AF30" s="121" t="s">
        <v>243</v>
      </c>
      <c r="AG30" s="112" t="str">
        <v>GVA</v>
      </c>
      <c r="AH30" s="113">
        <v>6.0666666666666664</v>
      </c>
      <c r="AI30" s="112" t="str">
        <v>ARG</v>
      </c>
      <c r="AJ30" s="113">
        <v>5</v>
      </c>
      <c r="AK30" s="124" t="str">
        <v>FRZ</v>
      </c>
      <c r="AL30" s="125">
        <v>6.2283333333333326</v>
      </c>
      <c r="AM30" s="117" t="s">
        <v>243</v>
      </c>
    </row>
    <row r="31" spans="1:39" x14ac:dyDescent="0.25">
      <c r="A31" s="167"/>
      <c r="B31" s="141" t="s">
        <v>130</v>
      </c>
      <c r="C31" s="111">
        <f>COUNTIFS('DB EMPREGOS'!$D$2:$D$162,B31,CADO_EMPREGOS_2022[MODALIDADE],"BRB")</f>
        <v>2</v>
      </c>
      <c r="D31" s="107">
        <f>COUNTIFS('DB EMPREGOS'!$D$2:$D$162,B31,CADO_EMPREGOS_2022[MODALIDADE],"TT")</f>
        <v>2</v>
      </c>
      <c r="E31" s="57" cm="1">
        <f t="array" ref="E31">INDEX(CADO_EMPREGOS_2022[],_xlfn.XMATCH(B31,CADO_EMPREGOS_2022[[#All],[TRIG 1P]],0,1)-1,20)</f>
        <v>19.2</v>
      </c>
      <c r="F31" s="58" cm="1">
        <f t="array" ref="F31">INDEX(CADO_EMPREGOS_2022[],_xlfn.XMATCH(B31,CADO_EMPREGOS_2022[[#All],[TRIG 1P]],0,1)-1,21)</f>
        <v>11.1</v>
      </c>
      <c r="G31" s="58" t="str" cm="1">
        <f t="array" ref="G31">IF(INDEX(CADO_EMPREGOS_2022[],_xlfn.XMATCH(B31,CADO_EMPREGOS_2022[[#All],[TRIG 1P]],0,1)-1,36) = INDEX(CADO_EMPREGOS_2022[],_xlfn.XMATCH(B31,CADO_EMPREGOS_2022[[#All],[TRIG 1P]],0,1)-1,37),"N","S")</f>
        <v>N</v>
      </c>
      <c r="H31" s="59">
        <f t="shared" si="3"/>
        <v>8.08</v>
      </c>
      <c r="I31" s="66" cm="1">
        <f t="array" ref="I31">INDEX(CADO_EMPREGOS_2022[],_xlfn.XMATCH(B31,CADO_EMPREGOS_2022[[#All],[TRIG 1P]],0,1),20)</f>
        <v>20.8</v>
      </c>
      <c r="J31" s="67" cm="1">
        <f t="array" ref="J31">INDEX(CADO_EMPREGOS_2022[],_xlfn.XMATCH(B31,CADO_EMPREGOS_2022[[#All],[TRIG 1P]],0,1),21)</f>
        <v>6.3</v>
      </c>
      <c r="K31" s="67" t="str" cm="1">
        <f t="array" ref="K31">IF(INDEX(CADO_EMPREGOS_2022[],_xlfn.XMATCH(B31,CADO_EMPREGOS_2022[[#All],[TRIG 1P]],0,1),36) = INDEX(CADO_EMPREGOS_2022[],_xlfn.XMATCH(B31,CADO_EMPREGOS_2022[[#All],[TRIG 1P]],0,1),37),"N","S")</f>
        <v>N</v>
      </c>
      <c r="L31" s="68">
        <f t="shared" si="4"/>
        <v>7.92</v>
      </c>
      <c r="M31" s="75" t="str" cm="1">
        <f t="array" ref="M31">IF(INDEX(CADO_EMPREGOS_2022[],_xlfn.XMATCH(B31,CADO_EMPREGOS_2022[[#All],[TRIG 1P]],0,1)+1,8)&lt;&gt;"BRB","-",INDEX(CADO_EMPREGOS_2022[],_xlfn.XMATCH(B31,CADO_EMPREGOS_2022[[#All],[TRIG 1P]],0,1)+1,20))</f>
        <v>-</v>
      </c>
      <c r="N31" s="76" t="str" cm="1">
        <f t="array" ref="N31">IF(INDEX(CADO_EMPREGOS_2022[],_xlfn.XMATCH(B31,CADO_EMPREGOS_2022[[#All],[TRIG 1P]],0,1)+1,8)&lt;&gt;"BRB","-",INDEX(CADO_EMPREGOS_2022[],_xlfn.XMATCH(B31,CADO_EMPREGOS_2022[[#All],[TRIG 1P]],0,1)+1,21))</f>
        <v>-</v>
      </c>
      <c r="O31" s="76" t="str" cm="1">
        <f t="array" ref="O31">IF(INDEX(CADO_EMPREGOS_2022[],_xlfn.XMATCH(B31,CADO_EMPREGOS_2022[[#All],[TRIG 1P]],0,1)+1,36) = INDEX(CADO_EMPREGOS_2022[],_xlfn.XMATCH(B31,CADO_EMPREGOS_2022[[#All],[TRIG 1P]],0,1)+1,37),"N","S")</f>
        <v>N</v>
      </c>
      <c r="P31" s="77" t="str">
        <f t="shared" si="7"/>
        <v>-</v>
      </c>
      <c r="Q31" s="84" t="str" cm="1">
        <f t="array" ref="Q31">IF(INDEX(CADO_EMPREGOS_2022[],_xlfn.XMATCH(B31,CADO_EMPREGOS_2022[[#All],[TRIG 1P]],0,1)+2,8)&lt;&gt;"BRB","-",INDEX(CADO_EMPREGOS_2022[],_xlfn.XMATCH(B31,CADO_EMPREGOS_2022[[#All],[TRIG 1P]],0,1)+2,20))</f>
        <v>-</v>
      </c>
      <c r="R31" s="85" t="str" cm="1">
        <f t="array" ref="R31">IF(INDEX(CADO_EMPREGOS_2022[],_xlfn.XMATCH(B31,CADO_EMPREGOS_2022[[#All],[TRIG 1P]],0,1)+2,8)&lt;&gt;"BRB","-",INDEX(CADO_EMPREGOS_2022[],_xlfn.XMATCH(B31,CADO_EMPREGOS_2022[[#All],[TRIG 1P]],0,1)+2,21))</f>
        <v>-</v>
      </c>
      <c r="S31" s="85" t="str" cm="1">
        <f t="array" ref="S31">IF(INDEX(CADO_EMPREGOS_2022[],_xlfn.XMATCH(B31,CADO_EMPREGOS_2022[[#All],[TRIG 1P]],0,1)+2,36) = INDEX(CADO_EMPREGOS_2022[],_xlfn.XMATCH(B31,CADO_EMPREGOS_2022[[#All],[TRIG 1P]],0,1)+2,37),"N","S")</f>
        <v>N</v>
      </c>
      <c r="T31" s="86" t="str">
        <f>IF(Q31="-","-",IF(S31="N",(PRODUCT(-0.1,Q31)+10),"0"))</f>
        <v>-</v>
      </c>
      <c r="U31" s="103" cm="1">
        <f t="array" ref="U31">INDEX(CADO_EMPREGOS_2022[],_xlfn.XMATCH(B31,CADO_EMPREGOS_2022[[#All],[TRIG 1P]],0,1)-1+C31,22)</f>
        <v>30</v>
      </c>
      <c r="V31" s="90" cm="1">
        <f t="array" ref="V31">INDEX(CADO_EMPREGOS_2022[],_xlfn.XMATCH(B31,CADO_EMPREGOS_2022[[#All],[TRIG 1P]],0,1)-1+C31,23)</f>
        <v>17</v>
      </c>
      <c r="W31" s="101" cm="1">
        <f t="array" ref="W31">INDEX(CADO_EMPREGOS_2022[],_xlfn.XMATCH(B31,CADO_EMPREGOS_2022[[#All],[TRIG 1P]],0,1)-1+C31+1,22)</f>
        <v>30</v>
      </c>
      <c r="X31" s="102" cm="1">
        <f t="array" ref="X31">INDEX(CADO_EMPREGOS_2022[],_xlfn.XMATCH(B31,CADO_EMPREGOS_2022[[#All],[TRIG 1P]],0,1)-1+C31+1,23)</f>
        <v>25</v>
      </c>
      <c r="Y31" s="95" t="s">
        <v>130</v>
      </c>
      <c r="Z31" s="95">
        <f t="shared" si="5"/>
        <v>8</v>
      </c>
      <c r="AA31" s="94" t="s">
        <v>130</v>
      </c>
      <c r="AB31" s="98">
        <f t="shared" si="6"/>
        <v>7</v>
      </c>
      <c r="AC31" s="94" t="s">
        <v>130</v>
      </c>
      <c r="AD31" s="105">
        <f t="shared" si="8"/>
        <v>7.5</v>
      </c>
      <c r="AF31" s="122" t="s">
        <v>244</v>
      </c>
      <c r="AG31" s="114" t="str">
        <v>SWK</v>
      </c>
      <c r="AH31" s="115">
        <v>4.7349999999999994</v>
      </c>
      <c r="AI31" s="114" t="str">
        <v>FRZ</v>
      </c>
      <c r="AJ31" s="115">
        <v>3.1666666666666665</v>
      </c>
      <c r="AK31" s="126" t="str">
        <v>SWK</v>
      </c>
      <c r="AL31" s="127">
        <v>5.7008333333333336</v>
      </c>
      <c r="AM31" s="118" t="s">
        <v>244</v>
      </c>
    </row>
  </sheetData>
  <mergeCells count="19">
    <mergeCell ref="A4:A17"/>
    <mergeCell ref="A18:A24"/>
    <mergeCell ref="A25:A31"/>
    <mergeCell ref="A2:A3"/>
    <mergeCell ref="E2:H2"/>
    <mergeCell ref="C2:D2"/>
    <mergeCell ref="B2:B3"/>
    <mergeCell ref="AM2:AM3"/>
    <mergeCell ref="AF1:AM1"/>
    <mergeCell ref="AK2:AL2"/>
    <mergeCell ref="AF2:AF3"/>
    <mergeCell ref="A1:AD1"/>
    <mergeCell ref="Z2:AD2"/>
    <mergeCell ref="AG2:AH2"/>
    <mergeCell ref="AI2:AJ2"/>
    <mergeCell ref="I2:L2"/>
    <mergeCell ref="M2:P2"/>
    <mergeCell ref="Q2:T2"/>
    <mergeCell ref="U2:V2"/>
  </mergeCells>
  <phoneticPr fontId="15" type="noConversion"/>
  <pageMargins left="0.25" right="0.25" top="0.75" bottom="0.75" header="0.3" footer="0.3"/>
  <pageSetup paperSize="9" scale="98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6227-6F47-464E-AFC2-CA56C7330421}">
  <dimension ref="A2:Q30"/>
  <sheetViews>
    <sheetView workbookViewId="0">
      <selection activeCell="C35" sqref="C35"/>
    </sheetView>
  </sheetViews>
  <sheetFormatPr defaultRowHeight="15" x14ac:dyDescent="0.25"/>
  <cols>
    <col min="8" max="8" width="14.85546875" bestFit="1" customWidth="1"/>
    <col min="9" max="9" width="11.28515625" bestFit="1" customWidth="1"/>
    <col min="10" max="10" width="14.5703125" hidden="1" customWidth="1"/>
    <col min="11" max="13" width="0" hidden="1" customWidth="1"/>
    <col min="14" max="14" width="11.140625" customWidth="1"/>
  </cols>
  <sheetData>
    <row r="2" spans="1:17" ht="23.25" x14ac:dyDescent="0.25">
      <c r="A2" s="170" t="s">
        <v>191</v>
      </c>
      <c r="B2" s="172" t="s">
        <v>252</v>
      </c>
      <c r="C2" s="173"/>
      <c r="D2" s="173"/>
      <c r="E2" s="173"/>
      <c r="F2" s="174"/>
      <c r="H2" s="170" t="s">
        <v>215</v>
      </c>
      <c r="I2" s="170" t="s">
        <v>191</v>
      </c>
      <c r="J2" s="170" t="s">
        <v>194</v>
      </c>
      <c r="K2" s="170"/>
      <c r="L2" s="170"/>
      <c r="M2" s="170"/>
      <c r="N2" s="170" t="s">
        <v>194</v>
      </c>
    </row>
    <row r="3" spans="1:17" ht="15" customHeight="1" x14ac:dyDescent="0.25">
      <c r="A3" s="171"/>
      <c r="B3" s="133" t="s">
        <v>247</v>
      </c>
      <c r="C3" s="133" t="s">
        <v>135</v>
      </c>
      <c r="D3" s="133" t="s">
        <v>250</v>
      </c>
      <c r="E3" s="133" t="s">
        <v>249</v>
      </c>
      <c r="F3" s="133" t="s">
        <v>194</v>
      </c>
      <c r="H3" s="171"/>
      <c r="I3" s="171"/>
      <c r="J3" s="171"/>
      <c r="K3" s="171"/>
      <c r="L3" s="171"/>
      <c r="M3" s="171"/>
      <c r="N3" s="171"/>
    </row>
    <row r="4" spans="1:17" x14ac:dyDescent="0.25">
      <c r="A4" s="91" t="s">
        <v>98</v>
      </c>
      <c r="B4" s="110" t="str">
        <f>IFERROR(VLOOKUP(A4,Tabela1[#All],2,),"")</f>
        <v/>
      </c>
      <c r="C4" s="110" t="str">
        <f>IFERROR(VLOOKUP(A4,Tabela1[#All],3,),"")</f>
        <v/>
      </c>
      <c r="D4" s="135" t="str">
        <f>IFERROR(VLOOKUP(A4,Tabela1[#All],5,),"")</f>
        <v/>
      </c>
      <c r="E4" s="134" t="str">
        <f>IFERROR(VLOOKUP(A4,Tabela1[#All],4,),"")</f>
        <v/>
      </c>
      <c r="F4" s="131" t="str">
        <f>IFERROR(VLOOKUP(A4,Tabela1[#All],6,),"")</f>
        <v/>
      </c>
      <c r="H4" s="91" t="s">
        <v>217</v>
      </c>
      <c r="I4" s="138" t="str" cm="1">
        <f t="array" ref="I4:N30">_xlfn._xlws.SORT(A4:F30,6,-1)</f>
        <v>FAC</v>
      </c>
      <c r="J4" s="110" t="str">
        <v/>
      </c>
      <c r="K4" s="106" t="str">
        <v/>
      </c>
      <c r="L4" s="110" t="str">
        <v/>
      </c>
      <c r="M4" s="134" t="str">
        <v/>
      </c>
      <c r="N4" s="131" t="str">
        <v/>
      </c>
    </row>
    <row r="5" spans="1:17" x14ac:dyDescent="0.25">
      <c r="A5" s="92" t="s">
        <v>101</v>
      </c>
      <c r="B5" s="110">
        <f>IFERROR(VLOOKUP(A5,Tabela1[#All],2,),"")</f>
        <v>12</v>
      </c>
      <c r="C5" s="110">
        <f>IFERROR(VLOOKUP(A5,Tabela1[#All],3,),"")</f>
        <v>10</v>
      </c>
      <c r="D5" s="135">
        <f>IFERROR(VLOOKUP(A5,Tabela1[#All],5,),"")</f>
        <v>0.83333333333333337</v>
      </c>
      <c r="E5" s="134">
        <f>IFERROR(VLOOKUP(A5,Tabela1[#All],4,),"")</f>
        <v>96.49</v>
      </c>
      <c r="F5" s="131">
        <f>IFERROR(VLOOKUP(A5,Tabela1[#All],6,),"")</f>
        <v>3.05</v>
      </c>
      <c r="H5" s="92" t="s">
        <v>218</v>
      </c>
      <c r="I5" s="131" t="str">
        <v>TAV</v>
      </c>
      <c r="J5" s="110" t="str">
        <v/>
      </c>
      <c r="K5" s="106" t="str">
        <v/>
      </c>
      <c r="L5" s="110" t="str">
        <v/>
      </c>
      <c r="M5" s="134" t="str">
        <v/>
      </c>
      <c r="N5" s="131" t="str">
        <v/>
      </c>
    </row>
    <row r="6" spans="1:17" x14ac:dyDescent="0.25">
      <c r="A6" s="92" t="s">
        <v>102</v>
      </c>
      <c r="B6" s="110" t="str">
        <f>IFERROR(VLOOKUP(A6,Tabela1[#All],2,),"")</f>
        <v/>
      </c>
      <c r="C6" s="110" t="str">
        <f>IFERROR(VLOOKUP(A6,Tabela1[#All],3,),"")</f>
        <v/>
      </c>
      <c r="D6" s="135" t="str">
        <f>IFERROR(VLOOKUP(A6,Tabela1[#All],5,),"")</f>
        <v/>
      </c>
      <c r="E6" s="134" t="str">
        <f>IFERROR(VLOOKUP(A6,Tabela1[#All],4,),"")</f>
        <v/>
      </c>
      <c r="F6" s="131" t="str">
        <f>IFERROR(VLOOKUP(A6,Tabela1[#All],6,),"")</f>
        <v/>
      </c>
      <c r="H6" s="92" t="s">
        <v>219</v>
      </c>
      <c r="I6" s="131" t="str">
        <v>BRU</v>
      </c>
      <c r="J6" s="110">
        <v>12</v>
      </c>
      <c r="K6" s="106">
        <v>9</v>
      </c>
      <c r="L6" s="110">
        <v>0.75</v>
      </c>
      <c r="M6" s="134">
        <v>37.1</v>
      </c>
      <c r="N6" s="131">
        <v>10</v>
      </c>
    </row>
    <row r="7" spans="1:17" x14ac:dyDescent="0.25">
      <c r="A7" s="92" t="s">
        <v>106</v>
      </c>
      <c r="B7" s="110">
        <f>IFERROR(VLOOKUP(A7,Tabela1[#All],2,),"")</f>
        <v>12</v>
      </c>
      <c r="C7" s="110">
        <f>IFERROR(VLOOKUP(A7,Tabela1[#All],3,),"")</f>
        <v>8</v>
      </c>
      <c r="D7" s="135">
        <f>IFERROR(VLOOKUP(A7,Tabela1[#All],5,),"")</f>
        <v>0.66666666666666663</v>
      </c>
      <c r="E7" s="134">
        <f>IFERROR(VLOOKUP(A7,Tabela1[#All],4,),"")</f>
        <v>70</v>
      </c>
      <c r="F7" s="131">
        <f>IFERROR(VLOOKUP(A7,Tabela1[#All],6,),"")</f>
        <v>3.58</v>
      </c>
      <c r="H7" s="92" t="s">
        <v>220</v>
      </c>
      <c r="I7" s="131" t="str">
        <v>MRC</v>
      </c>
      <c r="J7" s="110">
        <v>12</v>
      </c>
      <c r="K7" s="106">
        <v>9</v>
      </c>
      <c r="L7" s="110">
        <v>0.75</v>
      </c>
      <c r="M7" s="134">
        <v>46.53</v>
      </c>
      <c r="N7" s="131">
        <v>7.54</v>
      </c>
    </row>
    <row r="8" spans="1:17" x14ac:dyDescent="0.25">
      <c r="A8" s="92" t="s">
        <v>99</v>
      </c>
      <c r="B8" s="110">
        <f>IFERROR(VLOOKUP(A8,Tabela1[#All],2,),"")</f>
        <v>12</v>
      </c>
      <c r="C8" s="110">
        <f>IFERROR(VLOOKUP(A8,Tabela1[#All],3,),"")</f>
        <v>9</v>
      </c>
      <c r="D8" s="135">
        <f>IFERROR(VLOOKUP(A8,Tabela1[#All],5,),"")</f>
        <v>0.75</v>
      </c>
      <c r="E8" s="134">
        <f>IFERROR(VLOOKUP(A8,Tabela1[#All],4,),"")</f>
        <v>46.53</v>
      </c>
      <c r="F8" s="131">
        <f>IFERROR(VLOOKUP(A8,Tabela1[#All],6,),"")</f>
        <v>7.54</v>
      </c>
      <c r="H8" s="92" t="s">
        <v>221</v>
      </c>
      <c r="I8" s="131" t="str">
        <v>BJN</v>
      </c>
      <c r="J8" s="110">
        <v>12</v>
      </c>
      <c r="K8" s="106">
        <v>9</v>
      </c>
      <c r="L8" s="110">
        <v>0.75</v>
      </c>
      <c r="M8" s="134">
        <v>46.8</v>
      </c>
      <c r="N8" s="131">
        <v>7.49</v>
      </c>
    </row>
    <row r="9" spans="1:17" x14ac:dyDescent="0.25">
      <c r="A9" s="92" t="s">
        <v>107</v>
      </c>
      <c r="B9" s="110">
        <f>IFERROR(VLOOKUP(A9,Tabela1[#All],2,),"")</f>
        <v>12</v>
      </c>
      <c r="C9" s="110">
        <f>IFERROR(VLOOKUP(A9,Tabela1[#All],3,),"")</f>
        <v>9</v>
      </c>
      <c r="D9" s="135">
        <f>IFERROR(VLOOKUP(A9,Tabela1[#All],5,),"")</f>
        <v>0.75</v>
      </c>
      <c r="E9" s="134">
        <f>IFERROR(VLOOKUP(A9,Tabela1[#All],4,),"")</f>
        <v>53.59</v>
      </c>
      <c r="F9" s="131">
        <f>IFERROR(VLOOKUP(A9,Tabela1[#All],6,),"")</f>
        <v>6.27</v>
      </c>
      <c r="H9" s="92" t="s">
        <v>222</v>
      </c>
      <c r="I9" s="131" t="str">
        <v>AVL</v>
      </c>
      <c r="J9" s="110">
        <v>12</v>
      </c>
      <c r="K9" s="106">
        <v>9</v>
      </c>
      <c r="L9" s="110">
        <v>0.75</v>
      </c>
      <c r="M9" s="134">
        <v>47.17</v>
      </c>
      <c r="N9" s="131">
        <v>7.41</v>
      </c>
    </row>
    <row r="10" spans="1:17" x14ac:dyDescent="0.25">
      <c r="A10" s="92" t="s">
        <v>109</v>
      </c>
      <c r="B10" s="110">
        <f>IFERROR(VLOOKUP(A10,Tabela1[#All],2,),"")</f>
        <v>12</v>
      </c>
      <c r="C10" s="110">
        <f>IFERROR(VLOOKUP(A10,Tabela1[#All],3,),"")</f>
        <v>7</v>
      </c>
      <c r="D10" s="135">
        <f>IFERROR(VLOOKUP(A10,Tabela1[#All],5,),"")</f>
        <v>0.58333333333333337</v>
      </c>
      <c r="E10" s="134">
        <f>IFERROR(VLOOKUP(A10,Tabela1[#All],4,),"")</f>
        <v>50</v>
      </c>
      <c r="F10" s="131">
        <f>IFERROR(VLOOKUP(A10,Tabela1[#All],6,),"")</f>
        <v>4.87</v>
      </c>
      <c r="H10" s="92" t="s">
        <v>223</v>
      </c>
      <c r="I10" s="131" t="str">
        <v>DLI</v>
      </c>
      <c r="J10" s="110">
        <v>12</v>
      </c>
      <c r="K10" s="106">
        <v>9</v>
      </c>
      <c r="L10" s="110">
        <v>0.75</v>
      </c>
      <c r="M10" s="134">
        <v>50.47</v>
      </c>
      <c r="N10" s="131">
        <v>6.79</v>
      </c>
      <c r="Q10" s="175" t="s">
        <v>253</v>
      </c>
    </row>
    <row r="11" spans="1:17" x14ac:dyDescent="0.25">
      <c r="A11" s="92" t="s">
        <v>110</v>
      </c>
      <c r="B11" s="110">
        <f>IFERROR(VLOOKUP(A11,Tabela1[#All],2,),"")</f>
        <v>12</v>
      </c>
      <c r="C11" s="110">
        <f>IFERROR(VLOOKUP(A11,Tabela1[#All],3,),"")</f>
        <v>8</v>
      </c>
      <c r="D11" s="135">
        <f>IFERROR(VLOOKUP(A11,Tabela1[#All],5,),"")</f>
        <v>0.66666666666666663</v>
      </c>
      <c r="E11" s="134">
        <f>IFERROR(VLOOKUP(A11,Tabela1[#All],4,),"")</f>
        <v>83</v>
      </c>
      <c r="F11" s="131">
        <f>IFERROR(VLOOKUP(A11,Tabela1[#All],6,),"")</f>
        <v>2.69</v>
      </c>
      <c r="H11" s="92" t="s">
        <v>224</v>
      </c>
      <c r="I11" s="131" t="str">
        <v>VCL</v>
      </c>
      <c r="J11" s="110">
        <v>12</v>
      </c>
      <c r="K11" s="106">
        <v>11</v>
      </c>
      <c r="L11" s="110">
        <v>0.91666666666666663</v>
      </c>
      <c r="M11" s="134">
        <v>65</v>
      </c>
      <c r="N11" s="131">
        <v>6.33</v>
      </c>
    </row>
    <row r="12" spans="1:17" x14ac:dyDescent="0.25">
      <c r="A12" s="92" t="s">
        <v>111</v>
      </c>
      <c r="B12" s="110">
        <f>IFERROR(VLOOKUP(A12,Tabela1[#All],2,),"")</f>
        <v>12</v>
      </c>
      <c r="C12" s="110">
        <f>IFERROR(VLOOKUP(A12,Tabela1[#All],3,),"")</f>
        <v>7</v>
      </c>
      <c r="D12" s="135">
        <f>IFERROR(VLOOKUP(A12,Tabela1[#All],5,),"")</f>
        <v>0.58333333333333337</v>
      </c>
      <c r="E12" s="134">
        <f>IFERROR(VLOOKUP(A12,Tabela1[#All],4,),"")</f>
        <v>83</v>
      </c>
      <c r="F12" s="131">
        <f>IFERROR(VLOOKUP(A12,Tabela1[#All],6,),"")</f>
        <v>2.09</v>
      </c>
      <c r="H12" s="92" t="s">
        <v>225</v>
      </c>
      <c r="I12" s="131" t="str">
        <v>DRG</v>
      </c>
      <c r="J12" s="110">
        <v>12</v>
      </c>
      <c r="K12" s="106">
        <v>9</v>
      </c>
      <c r="L12" s="110">
        <v>0.75</v>
      </c>
      <c r="M12" s="134">
        <v>53.59</v>
      </c>
      <c r="N12" s="131">
        <v>6.27</v>
      </c>
    </row>
    <row r="13" spans="1:17" x14ac:dyDescent="0.25">
      <c r="A13" s="92" t="s">
        <v>112</v>
      </c>
      <c r="B13" s="110">
        <f>IFERROR(VLOOKUP(A13,Tabela1[#All],2,),"")</f>
        <v>12</v>
      </c>
      <c r="C13" s="110">
        <f>IFERROR(VLOOKUP(A13,Tabela1[#All],3,),"")</f>
        <v>9</v>
      </c>
      <c r="D13" s="135">
        <f>IFERROR(VLOOKUP(A13,Tabela1[#All],5,),"")</f>
        <v>0.75</v>
      </c>
      <c r="E13" s="134">
        <f>IFERROR(VLOOKUP(A13,Tabela1[#All],4,),"")</f>
        <v>50.47</v>
      </c>
      <c r="F13" s="131">
        <f>IFERROR(VLOOKUP(A13,Tabela1[#All],6,),"")</f>
        <v>6.79</v>
      </c>
      <c r="H13" s="92" t="s">
        <v>226</v>
      </c>
      <c r="I13" s="131" t="str">
        <v>HTO</v>
      </c>
      <c r="J13" s="110">
        <v>12</v>
      </c>
      <c r="K13" s="106">
        <v>9</v>
      </c>
      <c r="L13" s="110">
        <v>0.75</v>
      </c>
      <c r="M13" s="134">
        <v>54</v>
      </c>
      <c r="N13" s="131">
        <v>6.2</v>
      </c>
    </row>
    <row r="14" spans="1:17" x14ac:dyDescent="0.25">
      <c r="A14" s="92" t="s">
        <v>113</v>
      </c>
      <c r="B14" s="110">
        <f>IFERROR(VLOOKUP(A14,Tabela1[#All],2,),"")</f>
        <v>12</v>
      </c>
      <c r="C14" s="110">
        <f>IFERROR(VLOOKUP(A14,Tabela1[#All],3,),"")</f>
        <v>4</v>
      </c>
      <c r="D14" s="135">
        <f>IFERROR(VLOOKUP(A14,Tabela1[#All],5,),"")</f>
        <v>0.33333333333333331</v>
      </c>
      <c r="E14" s="134">
        <f>IFERROR(VLOOKUP(A14,Tabela1[#All],4,),"")</f>
        <v>66</v>
      </c>
      <c r="F14" s="131">
        <f>IFERROR(VLOOKUP(A14,Tabela1[#All],6,),"")</f>
        <v>0.9</v>
      </c>
      <c r="H14" s="92" t="s">
        <v>227</v>
      </c>
      <c r="I14" s="131" t="str">
        <v>RCD</v>
      </c>
      <c r="J14" s="110">
        <v>12</v>
      </c>
      <c r="K14" s="106">
        <v>8</v>
      </c>
      <c r="L14" s="110">
        <v>0.66666666666666663</v>
      </c>
      <c r="M14" s="134">
        <v>57</v>
      </c>
      <c r="N14" s="131">
        <v>4.8899999999999997</v>
      </c>
    </row>
    <row r="15" spans="1:17" x14ac:dyDescent="0.25">
      <c r="A15" s="92" t="s">
        <v>114</v>
      </c>
      <c r="B15" s="110">
        <f>IFERROR(VLOOKUP(A15,Tabela1[#All],2,),"")</f>
        <v>12</v>
      </c>
      <c r="C15" s="110">
        <f>IFERROR(VLOOKUP(A15,Tabela1[#All],3,),"")</f>
        <v>9</v>
      </c>
      <c r="D15" s="135">
        <f>IFERROR(VLOOKUP(A15,Tabela1[#All],5,),"")</f>
        <v>0.75</v>
      </c>
      <c r="E15" s="134">
        <f>IFERROR(VLOOKUP(A15,Tabela1[#All],4,),"")</f>
        <v>67.53</v>
      </c>
      <c r="F15" s="131">
        <f>IFERROR(VLOOKUP(A15,Tabela1[#All],6,),"")</f>
        <v>4.53</v>
      </c>
      <c r="H15" s="92" t="s">
        <v>228</v>
      </c>
      <c r="I15" s="131" t="str">
        <v>SOE</v>
      </c>
      <c r="J15" s="110">
        <v>12</v>
      </c>
      <c r="K15" s="106">
        <v>7</v>
      </c>
      <c r="L15" s="110">
        <v>0.58333333333333337</v>
      </c>
      <c r="M15" s="134">
        <v>50</v>
      </c>
      <c r="N15" s="131">
        <v>4.87</v>
      </c>
    </row>
    <row r="16" spans="1:17" x14ac:dyDescent="0.25">
      <c r="A16" s="92" t="s">
        <v>115</v>
      </c>
      <c r="B16" s="110">
        <f>IFERROR(VLOOKUP(A16,Tabela1[#All],2,),"")</f>
        <v>12</v>
      </c>
      <c r="C16" s="110">
        <f>IFERROR(VLOOKUP(A16,Tabela1[#All],3,),"")</f>
        <v>9</v>
      </c>
      <c r="D16" s="135">
        <f>IFERROR(VLOOKUP(A16,Tabela1[#All],5,),"")</f>
        <v>0.75</v>
      </c>
      <c r="E16" s="134">
        <f>IFERROR(VLOOKUP(A16,Tabela1[#All],4,),"")</f>
        <v>47.17</v>
      </c>
      <c r="F16" s="131">
        <f>IFERROR(VLOOKUP(A16,Tabela1[#All],6,),"")</f>
        <v>7.41</v>
      </c>
      <c r="H16" s="92" t="s">
        <v>229</v>
      </c>
      <c r="I16" s="131" t="str">
        <v>BOZ</v>
      </c>
      <c r="J16" s="110">
        <v>12</v>
      </c>
      <c r="K16" s="106">
        <v>9</v>
      </c>
      <c r="L16" s="110">
        <v>0.75</v>
      </c>
      <c r="M16" s="134">
        <v>64.61</v>
      </c>
      <c r="N16" s="131">
        <v>4.84</v>
      </c>
    </row>
    <row r="17" spans="1:14" x14ac:dyDescent="0.25">
      <c r="A17" s="92" t="s">
        <v>116</v>
      </c>
      <c r="B17" s="110">
        <f>IFERROR(VLOOKUP(A17,Tabela1[#All],2,),"")</f>
        <v>12</v>
      </c>
      <c r="C17" s="110">
        <f>IFERROR(VLOOKUP(A17,Tabela1[#All],3,),"")</f>
        <v>9</v>
      </c>
      <c r="D17" s="135">
        <f>IFERROR(VLOOKUP(A17,Tabela1[#All],5,),"")</f>
        <v>0.75</v>
      </c>
      <c r="E17" s="134">
        <f>IFERROR(VLOOKUP(A17,Tabela1[#All],4,),"")</f>
        <v>64.61</v>
      </c>
      <c r="F17" s="131">
        <f>IFERROR(VLOOKUP(A17,Tabela1[#All],6,),"")</f>
        <v>4.84</v>
      </c>
      <c r="H17" s="92" t="s">
        <v>230</v>
      </c>
      <c r="I17" s="131" t="str">
        <v>KZO</v>
      </c>
      <c r="J17" s="110">
        <v>12</v>
      </c>
      <c r="K17" s="106">
        <v>10</v>
      </c>
      <c r="L17" s="110">
        <v>0.83333333333333337</v>
      </c>
      <c r="M17" s="134">
        <v>75</v>
      </c>
      <c r="N17" s="131">
        <v>4.54</v>
      </c>
    </row>
    <row r="18" spans="1:14" x14ac:dyDescent="0.25">
      <c r="A18" s="92" t="s">
        <v>117</v>
      </c>
      <c r="B18" s="110">
        <f>IFERROR(VLOOKUP(A18,Tabela1[#All],2,),"")</f>
        <v>12</v>
      </c>
      <c r="C18" s="110">
        <f>IFERROR(VLOOKUP(A18,Tabela1[#All],3,),"")</f>
        <v>8</v>
      </c>
      <c r="D18" s="135">
        <f>IFERROR(VLOOKUP(A18,Tabela1[#All],5,),"")</f>
        <v>0.66666666666666663</v>
      </c>
      <c r="E18" s="134">
        <f>IFERROR(VLOOKUP(A18,Tabela1[#All],4,),"")</f>
        <v>83</v>
      </c>
      <c r="F18" s="131">
        <f>IFERROR(VLOOKUP(A18,Tabela1[#All],6,),"")</f>
        <v>2.69</v>
      </c>
      <c r="H18" s="92" t="s">
        <v>231</v>
      </c>
      <c r="I18" s="131" t="str">
        <v>CTH</v>
      </c>
      <c r="J18" s="110">
        <v>12</v>
      </c>
      <c r="K18" s="106">
        <v>9</v>
      </c>
      <c r="L18" s="110">
        <v>0.75</v>
      </c>
      <c r="M18" s="134">
        <v>67.53</v>
      </c>
      <c r="N18" s="131">
        <v>4.53</v>
      </c>
    </row>
    <row r="19" spans="1:14" x14ac:dyDescent="0.25">
      <c r="A19" s="92" t="s">
        <v>118</v>
      </c>
      <c r="B19" s="110">
        <f>IFERROR(VLOOKUP(A19,Tabela1[#All],2,),"")</f>
        <v>12</v>
      </c>
      <c r="C19" s="110">
        <f>IFERROR(VLOOKUP(A19,Tabela1[#All],3,),"")</f>
        <v>8</v>
      </c>
      <c r="D19" s="135">
        <f>IFERROR(VLOOKUP(A19,Tabela1[#All],5,),"")</f>
        <v>0.66666666666666663</v>
      </c>
      <c r="E19" s="134">
        <f>IFERROR(VLOOKUP(A19,Tabela1[#All],4,),"")</f>
        <v>72</v>
      </c>
      <c r="F19" s="131">
        <f>IFERROR(VLOOKUP(A19,Tabela1[#All],6,),"")</f>
        <v>3.43</v>
      </c>
      <c r="H19" s="92" t="s">
        <v>232</v>
      </c>
      <c r="I19" s="131" t="str">
        <v>ARG</v>
      </c>
      <c r="J19" s="110">
        <v>12</v>
      </c>
      <c r="K19" s="106">
        <v>7</v>
      </c>
      <c r="L19" s="110">
        <v>0.58333333333333337</v>
      </c>
      <c r="M19" s="134">
        <v>55</v>
      </c>
      <c r="N19" s="131">
        <v>4.2300000000000004</v>
      </c>
    </row>
    <row r="20" spans="1:14" x14ac:dyDescent="0.25">
      <c r="A20" s="92" t="s">
        <v>119</v>
      </c>
      <c r="B20" s="110">
        <f>IFERROR(VLOOKUP(A20,Tabela1[#All],2,),"")</f>
        <v>12</v>
      </c>
      <c r="C20" s="110">
        <f>IFERROR(VLOOKUP(A20,Tabela1[#All],3,),"")</f>
        <v>9</v>
      </c>
      <c r="D20" s="135">
        <f>IFERROR(VLOOKUP(A20,Tabela1[#All],5,),"")</f>
        <v>0.75</v>
      </c>
      <c r="E20" s="134">
        <f>IFERROR(VLOOKUP(A20,Tabela1[#All],4,),"")</f>
        <v>54</v>
      </c>
      <c r="F20" s="131">
        <f>IFERROR(VLOOKUP(A20,Tabela1[#All],6,),"")</f>
        <v>6.2</v>
      </c>
      <c r="H20" s="92" t="s">
        <v>233</v>
      </c>
      <c r="I20" s="131" t="str">
        <v>SWK</v>
      </c>
      <c r="J20" s="110">
        <v>12</v>
      </c>
      <c r="K20" s="106">
        <v>9</v>
      </c>
      <c r="L20" s="110">
        <v>0.75</v>
      </c>
      <c r="M20" s="134">
        <v>78</v>
      </c>
      <c r="N20" s="131">
        <v>3.64</v>
      </c>
    </row>
    <row r="21" spans="1:14" x14ac:dyDescent="0.25">
      <c r="A21" s="92" t="s">
        <v>122</v>
      </c>
      <c r="B21" s="110">
        <f>IFERROR(VLOOKUP(A21,Tabela1[#All],2,),"")</f>
        <v>12</v>
      </c>
      <c r="C21" s="110">
        <f>IFERROR(VLOOKUP(A21,Tabela1[#All],3,),"")</f>
        <v>10</v>
      </c>
      <c r="D21" s="135">
        <f>IFERROR(VLOOKUP(A21,Tabela1[#All],5,),"")</f>
        <v>0.83333333333333337</v>
      </c>
      <c r="E21" s="134">
        <f>IFERROR(VLOOKUP(A21,Tabela1[#All],4,),"")</f>
        <v>75</v>
      </c>
      <c r="F21" s="131">
        <f>IFERROR(VLOOKUP(A21,Tabela1[#All],6,),"")</f>
        <v>4.54</v>
      </c>
      <c r="H21" s="92" t="s">
        <v>234</v>
      </c>
      <c r="I21" s="131" t="str">
        <v>FRZ</v>
      </c>
      <c r="J21" s="110">
        <v>12</v>
      </c>
      <c r="K21" s="106">
        <v>8</v>
      </c>
      <c r="L21" s="110">
        <v>0.66666666666666663</v>
      </c>
      <c r="M21" s="134">
        <v>70</v>
      </c>
      <c r="N21" s="131">
        <v>3.58</v>
      </c>
    </row>
    <row r="22" spans="1:14" x14ac:dyDescent="0.25">
      <c r="A22" s="92" t="s">
        <v>120</v>
      </c>
      <c r="B22" s="110">
        <f>IFERROR(VLOOKUP(A22,Tabela1[#All],2,),"")</f>
        <v>12</v>
      </c>
      <c r="C22" s="110">
        <f>IFERROR(VLOOKUP(A22,Tabela1[#All],3,),"")</f>
        <v>9</v>
      </c>
      <c r="D22" s="135">
        <f>IFERROR(VLOOKUP(A22,Tabela1[#All],5,),"")</f>
        <v>0.75</v>
      </c>
      <c r="E22" s="134">
        <f>IFERROR(VLOOKUP(A22,Tabela1[#All],4,),"")</f>
        <v>46.8</v>
      </c>
      <c r="F22" s="131">
        <f>IFERROR(VLOOKUP(A22,Tabela1[#All],6,),"")</f>
        <v>7.49</v>
      </c>
      <c r="H22" s="92" t="s">
        <v>235</v>
      </c>
      <c r="I22" s="131" t="str">
        <v>MRL</v>
      </c>
      <c r="J22" s="110">
        <v>12</v>
      </c>
      <c r="K22" s="106">
        <v>8</v>
      </c>
      <c r="L22" s="110">
        <v>0.66666666666666663</v>
      </c>
      <c r="M22" s="134">
        <v>72</v>
      </c>
      <c r="N22" s="131">
        <v>3.43</v>
      </c>
    </row>
    <row r="23" spans="1:14" x14ac:dyDescent="0.25">
      <c r="A23" s="92" t="s">
        <v>121</v>
      </c>
      <c r="B23" s="110">
        <f>IFERROR(VLOOKUP(A23,Tabela1[#All],2,),"")</f>
        <v>12</v>
      </c>
      <c r="C23" s="110">
        <f>IFERROR(VLOOKUP(A23,Tabela1[#All],3,),"")</f>
        <v>9</v>
      </c>
      <c r="D23" s="135">
        <f>IFERROR(VLOOKUP(A23,Tabela1[#All],5,),"")</f>
        <v>0.75</v>
      </c>
      <c r="E23" s="134">
        <f>IFERROR(VLOOKUP(A23,Tabela1[#All],4,),"")</f>
        <v>37.1</v>
      </c>
      <c r="F23" s="131">
        <f>IFERROR(VLOOKUP(A23,Tabela1[#All],6,),"")</f>
        <v>10</v>
      </c>
      <c r="H23" s="92" t="s">
        <v>236</v>
      </c>
      <c r="I23" s="131" t="str">
        <v>FLH</v>
      </c>
      <c r="J23" s="110">
        <v>12</v>
      </c>
      <c r="K23" s="106">
        <v>8</v>
      </c>
      <c r="L23" s="110">
        <v>0.66666666666666663</v>
      </c>
      <c r="M23" s="134">
        <v>74</v>
      </c>
      <c r="N23" s="131">
        <v>3.28</v>
      </c>
    </row>
    <row r="24" spans="1:14" x14ac:dyDescent="0.25">
      <c r="A24" s="92" t="s">
        <v>123</v>
      </c>
      <c r="B24" s="110">
        <f>IFERROR(VLOOKUP(A24,Tabela1[#All],2,),"")</f>
        <v>12</v>
      </c>
      <c r="C24" s="110">
        <f>IFERROR(VLOOKUP(A24,Tabela1[#All],3,),"")</f>
        <v>7</v>
      </c>
      <c r="D24" s="135">
        <f>IFERROR(VLOOKUP(A24,Tabela1[#All],5,),"")</f>
        <v>0.58333333333333337</v>
      </c>
      <c r="E24" s="134">
        <f>IFERROR(VLOOKUP(A24,Tabela1[#All],4,),"")</f>
        <v>55</v>
      </c>
      <c r="F24" s="131">
        <f>IFERROR(VLOOKUP(A24,Tabela1[#All],6,),"")</f>
        <v>4.2300000000000004</v>
      </c>
      <c r="H24" s="92" t="s">
        <v>237</v>
      </c>
      <c r="I24" s="131" t="str">
        <v>LNA</v>
      </c>
      <c r="J24" s="110">
        <v>12</v>
      </c>
      <c r="K24" s="106">
        <v>8</v>
      </c>
      <c r="L24" s="110">
        <v>0.66666666666666663</v>
      </c>
      <c r="M24" s="134">
        <v>76</v>
      </c>
      <c r="N24" s="131">
        <v>3.13</v>
      </c>
    </row>
    <row r="25" spans="1:14" x14ac:dyDescent="0.25">
      <c r="A25" s="92" t="s">
        <v>124</v>
      </c>
      <c r="B25" s="110">
        <f>IFERROR(VLOOKUP(A25,Tabela1[#All],2,),"")</f>
        <v>12</v>
      </c>
      <c r="C25" s="110">
        <f>IFERROR(VLOOKUP(A25,Tabela1[#All],3,),"")</f>
        <v>6</v>
      </c>
      <c r="D25" s="135">
        <f>IFERROR(VLOOKUP(A25,Tabela1[#All],5,),"")</f>
        <v>0.5</v>
      </c>
      <c r="E25" s="134">
        <f>IFERROR(VLOOKUP(A25,Tabela1[#All],4,),"")</f>
        <v>66</v>
      </c>
      <c r="F25" s="131">
        <f>IFERROR(VLOOKUP(A25,Tabela1[#All],6,),"")</f>
        <v>2.42</v>
      </c>
      <c r="H25" s="92" t="s">
        <v>238</v>
      </c>
      <c r="I25" s="131" t="str">
        <v>PER</v>
      </c>
      <c r="J25" s="110">
        <v>12</v>
      </c>
      <c r="K25" s="106">
        <v>10</v>
      </c>
      <c r="L25" s="110">
        <v>0.83333333333333337</v>
      </c>
      <c r="M25" s="134">
        <v>96.49</v>
      </c>
      <c r="N25" s="131">
        <v>3.05</v>
      </c>
    </row>
    <row r="26" spans="1:14" x14ac:dyDescent="0.25">
      <c r="A26" s="92" t="s">
        <v>125</v>
      </c>
      <c r="B26" s="110">
        <f>IFERROR(VLOOKUP(A26,Tabela1[#All],2,),"")</f>
        <v>12</v>
      </c>
      <c r="C26" s="110">
        <f>IFERROR(VLOOKUP(A26,Tabela1[#All],3,),"")</f>
        <v>8</v>
      </c>
      <c r="D26" s="135">
        <f>IFERROR(VLOOKUP(A26,Tabela1[#All],5,),"")</f>
        <v>0.66666666666666663</v>
      </c>
      <c r="E26" s="134">
        <f>IFERROR(VLOOKUP(A26,Tabela1[#All],4,),"")</f>
        <v>57</v>
      </c>
      <c r="F26" s="131">
        <f>IFERROR(VLOOKUP(A26,Tabela1[#All],6,),"")</f>
        <v>4.8899999999999997</v>
      </c>
      <c r="H26" s="92" t="s">
        <v>239</v>
      </c>
      <c r="I26" s="131" t="str">
        <v>GAS</v>
      </c>
      <c r="J26" s="110">
        <v>12</v>
      </c>
      <c r="K26" s="106">
        <v>8</v>
      </c>
      <c r="L26" s="110">
        <v>0.66666666666666663</v>
      </c>
      <c r="M26" s="134">
        <v>83</v>
      </c>
      <c r="N26" s="131">
        <v>2.69</v>
      </c>
    </row>
    <row r="27" spans="1:14" x14ac:dyDescent="0.25">
      <c r="A27" s="92" t="s">
        <v>127</v>
      </c>
      <c r="B27" s="110">
        <f>IFERROR(VLOOKUP(A27,Tabela1[#All],2,),"")</f>
        <v>12</v>
      </c>
      <c r="C27" s="110">
        <f>IFERROR(VLOOKUP(A27,Tabela1[#All],3,),"")</f>
        <v>8</v>
      </c>
      <c r="D27" s="135">
        <f>IFERROR(VLOOKUP(A27,Tabela1[#All],5,),"")</f>
        <v>0.66666666666666663</v>
      </c>
      <c r="E27" s="134">
        <f>IFERROR(VLOOKUP(A27,Tabela1[#All],4,),"")</f>
        <v>74</v>
      </c>
      <c r="F27" s="131">
        <f>IFERROR(VLOOKUP(A27,Tabela1[#All],6,),"")</f>
        <v>3.28</v>
      </c>
      <c r="H27" s="92" t="s">
        <v>240</v>
      </c>
      <c r="I27" s="131" t="str">
        <v>DAD</v>
      </c>
      <c r="J27" s="110">
        <v>12</v>
      </c>
      <c r="K27" s="106">
        <v>8</v>
      </c>
      <c r="L27" s="110">
        <v>0.66666666666666663</v>
      </c>
      <c r="M27" s="134">
        <v>83</v>
      </c>
      <c r="N27" s="131">
        <v>2.69</v>
      </c>
    </row>
    <row r="28" spans="1:14" x14ac:dyDescent="0.25">
      <c r="A28" s="92" t="s">
        <v>128</v>
      </c>
      <c r="B28" s="110">
        <f>IFERROR(VLOOKUP(A28,Tabela1[#All],2,),"")</f>
        <v>12</v>
      </c>
      <c r="C28" s="110">
        <f>IFERROR(VLOOKUP(A28,Tabela1[#All],3,),"")</f>
        <v>9</v>
      </c>
      <c r="D28" s="135">
        <f>IFERROR(VLOOKUP(A28,Tabela1[#All],5,),"")</f>
        <v>0.75</v>
      </c>
      <c r="E28" s="134">
        <f>IFERROR(VLOOKUP(A28,Tabela1[#All],4,),"")</f>
        <v>78</v>
      </c>
      <c r="F28" s="131">
        <f>IFERROR(VLOOKUP(A28,Tabela1[#All],6,),"")</f>
        <v>3.64</v>
      </c>
      <c r="H28" s="92" t="s">
        <v>241</v>
      </c>
      <c r="I28" s="131" t="str">
        <v>HRQ</v>
      </c>
      <c r="J28" s="110">
        <v>12</v>
      </c>
      <c r="K28" s="106">
        <v>6</v>
      </c>
      <c r="L28" s="110">
        <v>0.5</v>
      </c>
      <c r="M28" s="134">
        <v>66</v>
      </c>
      <c r="N28" s="131">
        <v>2.42</v>
      </c>
    </row>
    <row r="29" spans="1:14" x14ac:dyDescent="0.25">
      <c r="A29" s="92" t="s">
        <v>129</v>
      </c>
      <c r="B29" s="110">
        <f>IFERROR(VLOOKUP(A29,Tabela1[#All],2,),"")</f>
        <v>12</v>
      </c>
      <c r="C29" s="110">
        <f>IFERROR(VLOOKUP(A29,Tabela1[#All],3,),"")</f>
        <v>8</v>
      </c>
      <c r="D29" s="135">
        <f>IFERROR(VLOOKUP(A29,Tabela1[#All],5,),"")</f>
        <v>0.66666666666666663</v>
      </c>
      <c r="E29" s="134">
        <f>IFERROR(VLOOKUP(A29,Tabela1[#All],4,),"")</f>
        <v>76</v>
      </c>
      <c r="F29" s="131">
        <f>IFERROR(VLOOKUP(A29,Tabela1[#All],6,),"")</f>
        <v>3.13</v>
      </c>
      <c r="H29" s="92" t="s">
        <v>242</v>
      </c>
      <c r="I29" s="131" t="str">
        <v>MON</v>
      </c>
      <c r="J29" s="110">
        <v>12</v>
      </c>
      <c r="K29" s="106">
        <v>7</v>
      </c>
      <c r="L29" s="110">
        <v>0.58333333333333337</v>
      </c>
      <c r="M29" s="134">
        <v>83</v>
      </c>
      <c r="N29" s="131">
        <v>2.09</v>
      </c>
    </row>
    <row r="30" spans="1:14" x14ac:dyDescent="0.25">
      <c r="A30" s="93" t="s">
        <v>130</v>
      </c>
      <c r="B30" s="111">
        <f>IFERROR(VLOOKUP(A30,Tabela1[#All],2,),"")</f>
        <v>12</v>
      </c>
      <c r="C30" s="111">
        <f>IFERROR(VLOOKUP(A30,Tabela1[#All],3,),"")</f>
        <v>11</v>
      </c>
      <c r="D30" s="136">
        <f>IFERROR(VLOOKUP(A30,Tabela1[#All],5,),"")</f>
        <v>0.91666666666666663</v>
      </c>
      <c r="E30" s="137">
        <f>IFERROR(VLOOKUP(A30,Tabela1[#All],4,),"")</f>
        <v>65</v>
      </c>
      <c r="F30" s="132">
        <f>IFERROR(VLOOKUP(A30,Tabela1[#All],6,),"")</f>
        <v>6.33</v>
      </c>
      <c r="H30" s="93" t="s">
        <v>243</v>
      </c>
      <c r="I30" s="132" t="str">
        <v>GVA</v>
      </c>
      <c r="J30" s="111">
        <v>12</v>
      </c>
      <c r="K30" s="107">
        <v>4</v>
      </c>
      <c r="L30" s="111">
        <v>0.33333333333333331</v>
      </c>
      <c r="M30" s="137">
        <v>66</v>
      </c>
      <c r="N30" s="132">
        <v>0.9</v>
      </c>
    </row>
  </sheetData>
  <mergeCells count="9">
    <mergeCell ref="A2:A3"/>
    <mergeCell ref="B2:F2"/>
    <mergeCell ref="H2:H3"/>
    <mergeCell ref="I2:I3"/>
    <mergeCell ref="J2:J3"/>
    <mergeCell ref="K2:K3"/>
    <mergeCell ref="L2:L3"/>
    <mergeCell ref="M2:M3"/>
    <mergeCell ref="N2:N3"/>
  </mergeCells>
  <phoneticPr fontId="1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Dados</vt:lpstr>
      <vt:lpstr>DB EMPREGOS</vt:lpstr>
      <vt:lpstr>DB TAP</vt:lpstr>
      <vt:lpstr>RESULTADOS AR-SOLO</vt:lpstr>
      <vt:lpstr>RESULTADOS TAP</vt:lpstr>
      <vt:lpstr>b</vt:lpstr>
      <vt:lpstr>MODALIDADES</vt:lpstr>
      <vt:lpstr>Modos</vt:lpstr>
      <vt:lpstr>TRIGRAMAS</vt:lpstr>
    </vt:vector>
  </TitlesOfParts>
  <Company>parccorp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Marcos Vinicius</cp:lastModifiedBy>
  <cp:lastPrinted>2022-07-29T18:27:27Z</cp:lastPrinted>
  <dcterms:created xsi:type="dcterms:W3CDTF">2010-02-01T21:22:07Z</dcterms:created>
  <dcterms:modified xsi:type="dcterms:W3CDTF">2022-09-22T00:55:37Z</dcterms:modified>
</cp:coreProperties>
</file>