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507a8597c10f1c/Documentos/Seleção UFBA/Fluxo de Caixa/"/>
    </mc:Choice>
  </mc:AlternateContent>
  <xr:revisionPtr revIDLastSave="356" documentId="8_{8E9F93F1-E167-4DE9-8EC1-05F18E0EEC46}" xr6:coauthVersionLast="46" xr6:coauthVersionMax="46" xr10:uidLastSave="{D5C7F159-E9AF-4CBA-B4D6-86DE4D79AF92}"/>
  <bookViews>
    <workbookView xWindow="810" yWindow="-120" windowWidth="28110" windowHeight="16440" tabRatio="634" xr2:uid="{00000000-000D-0000-FFFF-FFFF00000000}"/>
  </bookViews>
  <sheets>
    <sheet name="Fluxo" sheetId="1" r:id="rId1"/>
    <sheet name="Diagrama de Fluxo" sheetId="5" r:id="rId2"/>
  </sheets>
  <definedNames>
    <definedName name="_xlnm.Print_Area" localSheetId="0">Fluxo!$A$1:$N$45</definedName>
    <definedName name="ICMS">Fluxo!$B$26</definedName>
    <definedName name="IR">Fluxo!$B$28</definedName>
    <definedName name="ISS">Fluxo!$B$27</definedName>
    <definedName name="Pis">Fluxo!$B$25</definedName>
    <definedName name="TIR">Fluxo!$B$32</definedName>
    <definedName name="TMA">Fluxo!$E$25</definedName>
    <definedName name="TR">Fluxo!$B$33</definedName>
    <definedName name="VPL">Fluxo!$B$31</definedName>
  </definedNames>
  <calcPr calcId="191029" iterateCount="1000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21" i="1" l="1"/>
  <c r="B22" i="1" s="1"/>
  <c r="C21" i="1"/>
  <c r="C22" i="1" s="1"/>
  <c r="D21" i="1"/>
  <c r="F6" i="1"/>
  <c r="G6" i="1" s="1"/>
  <c r="H6" i="1" s="1"/>
  <c r="I6" i="1" s="1"/>
  <c r="J6" i="1" s="1"/>
  <c r="K6" i="1" s="1"/>
  <c r="L6" i="1" s="1"/>
  <c r="M6" i="1" s="1"/>
  <c r="N6" i="1" s="1"/>
  <c r="F7" i="1"/>
  <c r="G7" i="1" s="1"/>
  <c r="H7" i="1" s="1"/>
  <c r="I7" i="1" s="1"/>
  <c r="J7" i="1" s="1"/>
  <c r="K7" i="1" s="1"/>
  <c r="L7" i="1" s="1"/>
  <c r="M7" i="1" s="1"/>
  <c r="N7" i="1" s="1"/>
  <c r="N19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D22" i="1" l="1"/>
  <c r="E30" i="1"/>
  <c r="E11" i="1"/>
  <c r="E9" i="1" l="1"/>
  <c r="F5" i="1"/>
  <c r="F11" i="1" s="1"/>
  <c r="E10" i="1"/>
  <c r="F9" i="1" l="1"/>
  <c r="G5" i="1"/>
  <c r="G11" i="1" s="1"/>
  <c r="F10" i="1"/>
  <c r="E8" i="1"/>
  <c r="F8" i="1"/>
  <c r="F18" i="1" s="1"/>
  <c r="G8" i="1"/>
  <c r="G18" i="1" s="1"/>
  <c r="H8" i="1"/>
  <c r="H18" i="1" s="1"/>
  <c r="I8" i="1"/>
  <c r="I18" i="1" s="1"/>
  <c r="J8" i="1"/>
  <c r="J18" i="1" s="1"/>
  <c r="K8" i="1"/>
  <c r="K18" i="1" s="1"/>
  <c r="L8" i="1"/>
  <c r="L18" i="1" s="1"/>
  <c r="M8" i="1"/>
  <c r="M18" i="1" s="1"/>
  <c r="N8" i="1"/>
  <c r="N18" i="1" s="1"/>
  <c r="E18" i="1" l="1"/>
  <c r="E13" i="1"/>
  <c r="F13" i="1"/>
  <c r="G9" i="1"/>
  <c r="H5" i="1"/>
  <c r="H11" i="1" s="1"/>
  <c r="G10" i="1"/>
  <c r="G13" i="1" l="1"/>
  <c r="G14" i="1" s="1"/>
  <c r="G15" i="1" s="1"/>
  <c r="G21" i="1" s="1"/>
  <c r="G22" i="1" s="1"/>
  <c r="F14" i="1"/>
  <c r="F15" i="1" s="1"/>
  <c r="F21" i="1" s="1"/>
  <c r="F22" i="1" s="1"/>
  <c r="E14" i="1"/>
  <c r="E15" i="1" s="1"/>
  <c r="E21" i="1" s="1"/>
  <c r="H9" i="1"/>
  <c r="I5" i="1"/>
  <c r="I11" i="1" s="1"/>
  <c r="H10" i="1"/>
  <c r="E31" i="1" l="1"/>
  <c r="E32" i="1"/>
  <c r="E33" i="1"/>
  <c r="E22" i="1"/>
  <c r="H13" i="1"/>
  <c r="H14" i="1" s="1"/>
  <c r="H15" i="1" s="1"/>
  <c r="H21" i="1" s="1"/>
  <c r="H22" i="1" s="1"/>
  <c r="I9" i="1"/>
  <c r="J5" i="1"/>
  <c r="J11" i="1" s="1"/>
  <c r="I10" i="1"/>
  <c r="E34" i="1" l="1"/>
  <c r="I13" i="1"/>
  <c r="I14" i="1" s="1"/>
  <c r="I15" i="1" s="1"/>
  <c r="I21" i="1" s="1"/>
  <c r="J9" i="1"/>
  <c r="K5" i="1"/>
  <c r="K11" i="1" s="1"/>
  <c r="J10" i="1"/>
  <c r="I22" i="1" l="1"/>
  <c r="E35" i="1"/>
  <c r="F33" i="1"/>
  <c r="F32" i="1"/>
  <c r="J13" i="1"/>
  <c r="J14" i="1" s="1"/>
  <c r="J15" i="1" s="1"/>
  <c r="J21" i="1" s="1"/>
  <c r="J22" i="1" s="1"/>
  <c r="F31" i="1"/>
  <c r="F34" i="1"/>
  <c r="K9" i="1"/>
  <c r="L5" i="1"/>
  <c r="L11" i="1" s="1"/>
  <c r="K10" i="1"/>
  <c r="E36" i="1" l="1"/>
  <c r="K13" i="1"/>
  <c r="K14" i="1" s="1"/>
  <c r="K15" i="1" s="1"/>
  <c r="K21" i="1" s="1"/>
  <c r="K22" i="1" s="1"/>
  <c r="F35" i="1"/>
  <c r="L9" i="1"/>
  <c r="M5" i="1"/>
  <c r="M11" i="1" s="1"/>
  <c r="L10" i="1"/>
  <c r="E37" i="1" l="1"/>
  <c r="L13" i="1"/>
  <c r="L14" i="1" s="1"/>
  <c r="L15" i="1" s="1"/>
  <c r="L21" i="1" s="1"/>
  <c r="E38" i="1" s="1"/>
  <c r="F36" i="1"/>
  <c r="M9" i="1"/>
  <c r="M10" i="1"/>
  <c r="N5" i="1"/>
  <c r="N11" i="1" s="1"/>
  <c r="M13" i="1" l="1"/>
  <c r="M14" i="1" s="1"/>
  <c r="M15" i="1" s="1"/>
  <c r="M21" i="1" s="1"/>
  <c r="L22" i="1"/>
  <c r="F37" i="1"/>
  <c r="N10" i="1"/>
  <c r="N9" i="1"/>
  <c r="M22" i="1" l="1"/>
  <c r="E39" i="1"/>
  <c r="N13" i="1"/>
  <c r="N14" i="1" s="1"/>
  <c r="N15" i="1" s="1"/>
  <c r="N21" i="1" s="1"/>
  <c r="E40" i="1" s="1"/>
  <c r="F38" i="1"/>
  <c r="N22" i="1" l="1"/>
  <c r="B32" i="1"/>
  <c r="B31" i="1"/>
  <c r="F39" i="1"/>
  <c r="B34" i="1" l="1"/>
  <c r="F40" i="1"/>
  <c r="F41" i="1" s="1"/>
  <c r="B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tc={500A3417-EB9C-4FAA-94B5-5D5F16D6E16C}</author>
    <author>tc={4EDDC137-0D7B-4785-AF4E-56804911F3B3}</author>
  </authors>
  <commentList>
    <comment ref="B25" authorId="0" shapeId="0" xr:uid="{500A3417-EB9C-4FAA-94B5-5D5F16D6E1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Menor aliquota, 3,65%</t>
      </text>
    </comment>
    <comment ref="B27" authorId="1" shapeId="0" xr:uid="{4EDDC137-0D7B-4785-AF4E-56804911F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ISS Salvador 5%</t>
      </text>
    </comment>
  </commentList>
</comments>
</file>

<file path=xl/sharedStrings.xml><?xml version="1.0" encoding="utf-8"?>
<sst xmlns="http://schemas.openxmlformats.org/spreadsheetml/2006/main" count="36" uniqueCount="33">
  <si>
    <t>Valores Monetários</t>
  </si>
  <si>
    <t>Período de Construção</t>
  </si>
  <si>
    <t>Período de Operação</t>
  </si>
  <si>
    <t>Receita Operacional</t>
  </si>
  <si>
    <t>Custos Fixos</t>
  </si>
  <si>
    <t>Custos Variáveis</t>
  </si>
  <si>
    <t>Depreciação</t>
  </si>
  <si>
    <t>PIS/Cofins</t>
  </si>
  <si>
    <t>ICMS</t>
  </si>
  <si>
    <t>Juros de Empréstimos</t>
  </si>
  <si>
    <t>Lair</t>
  </si>
  <si>
    <t>Imposto de Renda</t>
  </si>
  <si>
    <t>Lajir</t>
  </si>
  <si>
    <t>Amortização Empréstimo</t>
  </si>
  <si>
    <t>Valor Residual</t>
  </si>
  <si>
    <t>Retorno da Depreciação</t>
  </si>
  <si>
    <t>Capital de Giro</t>
  </si>
  <si>
    <t>Investimento</t>
  </si>
  <si>
    <t>Fluxo de Caixa Líquido</t>
  </si>
  <si>
    <t>Impostos</t>
  </si>
  <si>
    <t>Taxa de Atratividade</t>
  </si>
  <si>
    <t>IR</t>
  </si>
  <si>
    <t>Ano</t>
  </si>
  <si>
    <t>VPL=0</t>
  </si>
  <si>
    <t>Índices</t>
  </si>
  <si>
    <t>VPL</t>
  </si>
  <si>
    <t>TIR</t>
  </si>
  <si>
    <t>TR</t>
  </si>
  <si>
    <t>IL</t>
  </si>
  <si>
    <t>Fluxo de caixa</t>
  </si>
  <si>
    <t>TMA (% a.a.)</t>
  </si>
  <si>
    <t>Pis/Cofins</t>
  </si>
  <si>
    <t>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</si>
</sst>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0.000"/>
    <numFmt numFmtId="166" formatCode="#,##0.00_ ;[Red]\-#,##0.00\ 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sz val="14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40" fontId="3" fillId="0" borderId="1" xfId="1" applyNumberFormat="1" applyFont="1" applyBorder="1" applyAlignment="1">
      <alignment horizontal="center"/>
    </xf>
    <xf numFmtId="40" fontId="3" fillId="0" borderId="2" xfId="1" applyNumberFormat="1" applyFont="1" applyBorder="1" applyAlignment="1">
      <alignment horizontal="center"/>
    </xf>
    <xf numFmtId="40" fontId="3" fillId="0" borderId="10" xfId="1" applyNumberFormat="1" applyFont="1" applyBorder="1" applyAlignment="1">
      <alignment horizontal="center"/>
    </xf>
    <xf numFmtId="0" fontId="3" fillId="0" borderId="14" xfId="0" applyFont="1" applyBorder="1"/>
    <xf numFmtId="40" fontId="3" fillId="0" borderId="3" xfId="1" applyNumberFormat="1" applyFont="1" applyBorder="1" applyAlignment="1">
      <alignment horizontal="center"/>
    </xf>
    <xf numFmtId="40" fontId="3" fillId="0" borderId="4" xfId="1" applyNumberFormat="1" applyFont="1" applyBorder="1" applyAlignment="1">
      <alignment horizontal="center"/>
    </xf>
    <xf numFmtId="40" fontId="3" fillId="0" borderId="11" xfId="1" applyNumberFormat="1" applyFont="1" applyBorder="1" applyAlignment="1">
      <alignment horizontal="center"/>
    </xf>
    <xf numFmtId="0" fontId="3" fillId="0" borderId="15" xfId="0" applyFont="1" applyBorder="1"/>
    <xf numFmtId="40" fontId="3" fillId="0" borderId="16" xfId="1" applyNumberFormat="1" applyFont="1" applyBorder="1" applyAlignment="1">
      <alignment horizontal="center"/>
    </xf>
    <xf numFmtId="40" fontId="3" fillId="0" borderId="17" xfId="1" applyNumberFormat="1" applyFont="1" applyBorder="1" applyAlignment="1">
      <alignment horizontal="center"/>
    </xf>
    <xf numFmtId="40" fontId="3" fillId="0" borderId="18" xfId="1" applyNumberFormat="1" applyFont="1" applyBorder="1" applyAlignment="1">
      <alignment horizontal="center"/>
    </xf>
    <xf numFmtId="0" fontId="4" fillId="0" borderId="19" xfId="0" applyFont="1" applyBorder="1"/>
    <xf numFmtId="40" fontId="4" fillId="0" borderId="7" xfId="1" applyNumberFormat="1" applyFont="1" applyBorder="1" applyAlignment="1">
      <alignment horizontal="center"/>
    </xf>
    <xf numFmtId="40" fontId="4" fillId="0" borderId="8" xfId="1" applyNumberFormat="1" applyFont="1" applyBorder="1" applyAlignment="1">
      <alignment horizontal="center"/>
    </xf>
    <xf numFmtId="40" fontId="4" fillId="0" borderId="9" xfId="1" applyNumberFormat="1" applyFont="1" applyBorder="1" applyAlignment="1">
      <alignment horizontal="center"/>
    </xf>
    <xf numFmtId="0" fontId="4" fillId="0" borderId="0" xfId="0" applyFont="1" applyBorder="1"/>
    <xf numFmtId="40" fontId="4" fillId="0" borderId="0" xfId="1" applyNumberFormat="1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165" fontId="3" fillId="0" borderId="22" xfId="0" applyNumberFormat="1" applyFont="1" applyBorder="1" applyAlignment="1">
      <alignment horizontal="center"/>
    </xf>
    <xf numFmtId="40" fontId="3" fillId="0" borderId="2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0" fontId="3" fillId="0" borderId="11" xfId="0" applyNumberFormat="1" applyFont="1" applyBorder="1" applyAlignment="1">
      <alignment horizontal="center"/>
    </xf>
    <xf numFmtId="40" fontId="3" fillId="0" borderId="12" xfId="0" applyNumberFormat="1" applyFont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0" fontId="3" fillId="0" borderId="4" xfId="0" applyFont="1" applyBorder="1"/>
    <xf numFmtId="10" fontId="3" fillId="0" borderId="4" xfId="0" applyNumberFormat="1" applyFont="1" applyBorder="1"/>
    <xf numFmtId="0" fontId="3" fillId="0" borderId="4" xfId="0" applyFont="1" applyBorder="1" applyAlignment="1">
      <alignment horizontal="left"/>
    </xf>
    <xf numFmtId="40" fontId="3" fillId="0" borderId="4" xfId="0" applyNumberFormat="1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166" fontId="3" fillId="0" borderId="0" xfId="0" applyNumberFormat="1" applyFont="1"/>
  </cellXfs>
  <cellStyles count="2">
    <cellStyle name="Moeda" xfId="1" builtinId="4"/>
    <cellStyle name="Normal" xfId="0" builtinId="0"/>
  </cellStyles>
  <dxfs count="6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Retorno</a:t>
            </a:r>
          </a:p>
        </c:rich>
      </c:tx>
      <c:layout>
        <c:manualLayout>
          <c:xMode val="edge"/>
          <c:yMode val="edge"/>
          <c:x val="0.46116292825641664"/>
          <c:y val="3.1414616437708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554566655358546"/>
          <c:y val="0.18063404451682261"/>
          <c:w val="0.79056501986814276"/>
          <c:h val="0.670178484004443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Fluxo!$E$29</c:f>
              <c:strCache>
                <c:ptCount val="1"/>
                <c:pt idx="0">
                  <c:v>VPL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Fluxo!$D$30:$D$40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Fluxo!$E$30:$E$40</c:f>
              <c:numCache>
                <c:formatCode>#,##0.00_);[Red]\(#,##0.00\)</c:formatCode>
                <c:ptCount val="11"/>
                <c:pt idx="0">
                  <c:v>-130</c:v>
                </c:pt>
                <c:pt idx="1">
                  <c:v>-90.267857142857139</c:v>
                </c:pt>
                <c:pt idx="2">
                  <c:v>-54.792729591836739</c:v>
                </c:pt>
                <c:pt idx="3">
                  <c:v>-23.118508564139955</c:v>
                </c:pt>
                <c:pt idx="4">
                  <c:v>5.1620459248750281</c:v>
                </c:pt>
                <c:pt idx="5">
                  <c:v>30.41254100435269</c:v>
                </c:pt>
                <c:pt idx="6">
                  <c:v>52.957625896743458</c:v>
                </c:pt>
                <c:pt idx="7">
                  <c:v>73.087165979235209</c:v>
                </c:pt>
                <c:pt idx="8">
                  <c:v>91.059969624317134</c:v>
                </c:pt>
                <c:pt idx="9">
                  <c:v>107.10711573599741</c:v>
                </c:pt>
                <c:pt idx="10">
                  <c:v>124.65465713019034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4-4D8F-80DD-FD5981BEE8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15179184"/>
        <c:axId val="1"/>
      </c:scatterChart>
      <c:valAx>
        <c:axId val="11151791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/ Anos</a:t>
                </a:r>
              </a:p>
            </c:rich>
          </c:tx>
          <c:layout>
            <c:manualLayout>
              <c:xMode val="edge"/>
              <c:yMode val="edge"/>
              <c:x val="0.52197562209242765"/>
              <c:y val="0.88484502966211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VPL / $ 1000,00</a:t>
                </a:r>
              </a:p>
            </c:rich>
          </c:tx>
          <c:layout>
            <c:manualLayout>
              <c:xMode val="edge"/>
              <c:yMode val="edge"/>
              <c:x val="2.7027863927115994E-2"/>
              <c:y val="0.45027616894048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1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Diagrama do Fluxo de Caixa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37-4B87-BB1C-033C82F644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Fluxo!$B$4:$N$4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cat>
          <c:val>
            <c:numRef>
              <c:f>Fluxo!$B$21:$N$21</c:f>
              <c:numCache>
                <c:formatCode>#,##0.00_);[Red]\(#,##0.00\)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-130</c:v>
                </c:pt>
                <c:pt idx="3">
                  <c:v>44.5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44.5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7-4B87-BB1C-033C82F6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630673224"/>
        <c:axId val="630678144"/>
      </c:barChart>
      <c:catAx>
        <c:axId val="63067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/ 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678144"/>
        <c:crosses val="autoZero"/>
        <c:auto val="1"/>
        <c:lblAlgn val="ctr"/>
        <c:lblOffset val="100"/>
        <c:noMultiLvlLbl val="0"/>
      </c:catAx>
      <c:valAx>
        <c:axId val="6306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/ $ 1000,00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67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C76E35-87AA-4249-8806-FB4FFD553300}">
  <sheetPr/>
  <sheetViews>
    <sheetView zoomScale="12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152400</xdr:rowOff>
    </xdr:from>
    <xdr:to>
      <xdr:col>12</xdr:col>
      <xdr:colOff>542925</xdr:colOff>
      <xdr:row>43</xdr:row>
      <xdr:rowOff>171450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0FEF614-3C18-4BF0-ADF3-66CF10E7C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1504" cy="60200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90E27-7FC1-4C42-A29E-EB61422331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os Narciso" id="{69F37C4B-A5B4-4B95-ACC0-C7186612A574}" userId="2f507a8597c10f1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1-01-25T16:19:21.26" personId="{69F37C4B-A5B4-4B95-ACC0-C7186612A574}" id="{500A3417-EB9C-4FAA-94B5-5D5F16D6E16C}">
    <text>Menor aliquota, 3,65%</text>
  </threadedComment>
  <threadedComment ref="B27" dT="2021-01-25T16:21:40.84" personId="{69F37C4B-A5B4-4B95-ACC0-C7186612A574}" id="{4EDDC137-0D7B-4785-AF4E-56804911F3B3}">
    <text>ISS Salvador 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3"/>
  <sheetViews>
    <sheetView showGridLines="0" tabSelected="1" topLeftCell="A10" zoomScaleNormal="100" workbookViewId="0">
      <selection activeCell="B37" sqref="B37"/>
    </sheetView>
  </sheetViews>
  <sheetFormatPr defaultRowHeight="18.75" x14ac:dyDescent="0.3"/>
  <cols>
    <col min="1" max="1" width="36.42578125" style="1" bestFit="1" customWidth="1"/>
    <col min="2" max="2" width="17.85546875" style="1" bestFit="1" customWidth="1"/>
    <col min="3" max="3" width="14.140625" style="1" bestFit="1" customWidth="1"/>
    <col min="4" max="4" width="19" style="1" customWidth="1"/>
    <col min="5" max="6" width="13" style="1" bestFit="1" customWidth="1"/>
    <col min="7" max="14" width="12.7109375" style="1" bestFit="1" customWidth="1"/>
    <col min="15" max="16384" width="9.140625" style="1"/>
  </cols>
  <sheetData>
    <row r="1" spans="1:14" x14ac:dyDescent="0.3">
      <c r="E1" s="40" t="s">
        <v>29</v>
      </c>
      <c r="F1" s="40"/>
      <c r="G1" s="40"/>
    </row>
    <row r="2" spans="1:14" ht="19.5" thickBot="1" x14ac:dyDescent="0.35"/>
    <row r="3" spans="1:14" x14ac:dyDescent="0.3">
      <c r="A3" s="43" t="s">
        <v>0</v>
      </c>
      <c r="B3" s="45" t="s">
        <v>1</v>
      </c>
      <c r="C3" s="46"/>
      <c r="D3" s="47"/>
      <c r="E3" s="49" t="s">
        <v>2</v>
      </c>
      <c r="F3" s="50"/>
      <c r="G3" s="50"/>
      <c r="H3" s="50"/>
      <c r="I3" s="50"/>
      <c r="J3" s="50"/>
      <c r="K3" s="50"/>
      <c r="L3" s="50"/>
      <c r="M3" s="50"/>
      <c r="N3" s="51"/>
    </row>
    <row r="4" spans="1:14" ht="19.5" thickBot="1" x14ac:dyDescent="0.35">
      <c r="A4" s="44"/>
      <c r="B4" s="2">
        <v>-2</v>
      </c>
      <c r="C4" s="3">
        <f>B4+1</f>
        <v>-1</v>
      </c>
      <c r="D4" s="4">
        <f t="shared" ref="D4:N4" si="0">C4+1</f>
        <v>0</v>
      </c>
      <c r="E4" s="2">
        <f t="shared" si="0"/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4">
        <f t="shared" si="0"/>
        <v>10</v>
      </c>
    </row>
    <row r="5" spans="1:14" x14ac:dyDescent="0.3">
      <c r="A5" s="5" t="s">
        <v>3</v>
      </c>
      <c r="B5" s="6"/>
      <c r="C5" s="7"/>
      <c r="D5" s="8"/>
      <c r="E5" s="6">
        <v>90</v>
      </c>
      <c r="F5" s="7">
        <f t="shared" ref="F5:N5" si="1">E5</f>
        <v>90</v>
      </c>
      <c r="G5" s="7">
        <f t="shared" si="1"/>
        <v>90</v>
      </c>
      <c r="H5" s="7">
        <f t="shared" si="1"/>
        <v>90</v>
      </c>
      <c r="I5" s="7">
        <f t="shared" si="1"/>
        <v>90</v>
      </c>
      <c r="J5" s="7">
        <f t="shared" si="1"/>
        <v>90</v>
      </c>
      <c r="K5" s="7">
        <f t="shared" si="1"/>
        <v>90</v>
      </c>
      <c r="L5" s="7">
        <f t="shared" si="1"/>
        <v>90</v>
      </c>
      <c r="M5" s="7">
        <f t="shared" si="1"/>
        <v>90</v>
      </c>
      <c r="N5" s="8">
        <f t="shared" si="1"/>
        <v>90</v>
      </c>
    </row>
    <row r="6" spans="1:14" x14ac:dyDescent="0.3">
      <c r="A6" s="9" t="s">
        <v>4</v>
      </c>
      <c r="B6" s="10"/>
      <c r="C6" s="11"/>
      <c r="D6" s="12"/>
      <c r="E6" s="10">
        <v>-18</v>
      </c>
      <c r="F6" s="11">
        <f>E6</f>
        <v>-18</v>
      </c>
      <c r="G6" s="11">
        <f t="shared" ref="G6:N6" si="2">F6</f>
        <v>-18</v>
      </c>
      <c r="H6" s="11">
        <f t="shared" si="2"/>
        <v>-18</v>
      </c>
      <c r="I6" s="11">
        <f t="shared" si="2"/>
        <v>-18</v>
      </c>
      <c r="J6" s="11">
        <f t="shared" si="2"/>
        <v>-18</v>
      </c>
      <c r="K6" s="11">
        <f t="shared" si="2"/>
        <v>-18</v>
      </c>
      <c r="L6" s="11">
        <f t="shared" si="2"/>
        <v>-18</v>
      </c>
      <c r="M6" s="11">
        <f t="shared" si="2"/>
        <v>-18</v>
      </c>
      <c r="N6" s="12">
        <f t="shared" si="2"/>
        <v>-18</v>
      </c>
    </row>
    <row r="7" spans="1:14" x14ac:dyDescent="0.3">
      <c r="A7" s="9" t="s">
        <v>5</v>
      </c>
      <c r="B7" s="10"/>
      <c r="C7" s="11"/>
      <c r="D7" s="12"/>
      <c r="E7" s="10">
        <v>-23</v>
      </c>
      <c r="F7" s="11">
        <f>E7</f>
        <v>-23</v>
      </c>
      <c r="G7" s="11">
        <f t="shared" ref="G7:N7" si="3">F7</f>
        <v>-23</v>
      </c>
      <c r="H7" s="11">
        <f t="shared" si="3"/>
        <v>-23</v>
      </c>
      <c r="I7" s="11">
        <f t="shared" si="3"/>
        <v>-23</v>
      </c>
      <c r="J7" s="11">
        <f t="shared" si="3"/>
        <v>-23</v>
      </c>
      <c r="K7" s="11">
        <f t="shared" si="3"/>
        <v>-23</v>
      </c>
      <c r="L7" s="11">
        <f t="shared" si="3"/>
        <v>-23</v>
      </c>
      <c r="M7" s="11">
        <f t="shared" si="3"/>
        <v>-23</v>
      </c>
      <c r="N7" s="12">
        <f t="shared" si="3"/>
        <v>-23</v>
      </c>
    </row>
    <row r="8" spans="1:14" x14ac:dyDescent="0.3">
      <c r="A8" s="9" t="s">
        <v>6</v>
      </c>
      <c r="B8" s="10"/>
      <c r="C8" s="11"/>
      <c r="D8" s="12"/>
      <c r="E8" s="10">
        <f>SLN($C$22,-$I$17,10)</f>
        <v>0</v>
      </c>
      <c r="F8" s="11">
        <f t="shared" ref="F8:N8" si="4">SLN($C$22,-$I$17,10)</f>
        <v>0</v>
      </c>
      <c r="G8" s="11">
        <f t="shared" si="4"/>
        <v>0</v>
      </c>
      <c r="H8" s="11">
        <f t="shared" si="4"/>
        <v>0</v>
      </c>
      <c r="I8" s="11">
        <f t="shared" si="4"/>
        <v>0</v>
      </c>
      <c r="J8" s="11">
        <f t="shared" si="4"/>
        <v>0</v>
      </c>
      <c r="K8" s="11">
        <f t="shared" si="4"/>
        <v>0</v>
      </c>
      <c r="L8" s="11">
        <f t="shared" si="4"/>
        <v>0</v>
      </c>
      <c r="M8" s="11">
        <f t="shared" si="4"/>
        <v>0</v>
      </c>
      <c r="N8" s="12">
        <f t="shared" si="4"/>
        <v>0</v>
      </c>
    </row>
    <row r="9" spans="1:14" x14ac:dyDescent="0.3">
      <c r="A9" s="9" t="s">
        <v>7</v>
      </c>
      <c r="B9" s="10"/>
      <c r="C9" s="11"/>
      <c r="D9" s="12"/>
      <c r="E9" s="10">
        <f t="shared" ref="E9:N9" si="5">-Pis*E5</f>
        <v>0</v>
      </c>
      <c r="F9" s="11">
        <f t="shared" si="5"/>
        <v>0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0</v>
      </c>
      <c r="M9" s="11">
        <f t="shared" si="5"/>
        <v>0</v>
      </c>
      <c r="N9" s="12">
        <f t="shared" si="5"/>
        <v>0</v>
      </c>
    </row>
    <row r="10" spans="1:14" x14ac:dyDescent="0.3">
      <c r="A10" s="9" t="s">
        <v>8</v>
      </c>
      <c r="B10" s="10"/>
      <c r="C10" s="11"/>
      <c r="D10" s="12"/>
      <c r="E10" s="10">
        <f t="shared" ref="E10:N10" si="6">-ICMS*E5</f>
        <v>0</v>
      </c>
      <c r="F10" s="11">
        <f t="shared" si="6"/>
        <v>0</v>
      </c>
      <c r="G10" s="11">
        <f t="shared" si="6"/>
        <v>0</v>
      </c>
      <c r="H10" s="11">
        <f t="shared" si="6"/>
        <v>0</v>
      </c>
      <c r="I10" s="11">
        <f t="shared" si="6"/>
        <v>0</v>
      </c>
      <c r="J10" s="11">
        <f t="shared" si="6"/>
        <v>0</v>
      </c>
      <c r="K10" s="11">
        <f t="shared" si="6"/>
        <v>0</v>
      </c>
      <c r="L10" s="11">
        <f t="shared" si="6"/>
        <v>0</v>
      </c>
      <c r="M10" s="11">
        <f t="shared" si="6"/>
        <v>0</v>
      </c>
      <c r="N10" s="12">
        <f t="shared" si="6"/>
        <v>0</v>
      </c>
    </row>
    <row r="11" spans="1:14" x14ac:dyDescent="0.3">
      <c r="A11" s="9" t="s">
        <v>32</v>
      </c>
      <c r="B11" s="10"/>
      <c r="C11" s="11"/>
      <c r="D11" s="12"/>
      <c r="E11" s="10">
        <f t="shared" ref="E11:N11" si="7">-ISS*E5</f>
        <v>-4.5</v>
      </c>
      <c r="F11" s="11">
        <f t="shared" si="7"/>
        <v>-4.5</v>
      </c>
      <c r="G11" s="11">
        <f t="shared" si="7"/>
        <v>-4.5</v>
      </c>
      <c r="H11" s="11">
        <f t="shared" si="7"/>
        <v>-4.5</v>
      </c>
      <c r="I11" s="11">
        <f t="shared" si="7"/>
        <v>-4.5</v>
      </c>
      <c r="J11" s="11">
        <f t="shared" si="7"/>
        <v>-4.5</v>
      </c>
      <c r="K11" s="11">
        <f t="shared" si="7"/>
        <v>-4.5</v>
      </c>
      <c r="L11" s="11">
        <f t="shared" si="7"/>
        <v>-4.5</v>
      </c>
      <c r="M11" s="11">
        <f t="shared" si="7"/>
        <v>-4.5</v>
      </c>
      <c r="N11" s="12">
        <f t="shared" si="7"/>
        <v>-4.5</v>
      </c>
    </row>
    <row r="12" spans="1:14" x14ac:dyDescent="0.3">
      <c r="A12" s="9" t="s">
        <v>9</v>
      </c>
      <c r="B12" s="10"/>
      <c r="C12" s="11"/>
      <c r="D12" s="12"/>
      <c r="E12" s="10"/>
      <c r="F12" s="11"/>
      <c r="G12" s="11"/>
      <c r="H12" s="11"/>
      <c r="I12" s="11"/>
      <c r="J12" s="11"/>
      <c r="K12" s="11"/>
      <c r="L12" s="11"/>
      <c r="M12" s="11"/>
      <c r="N12" s="12"/>
    </row>
    <row r="13" spans="1:14" x14ac:dyDescent="0.3">
      <c r="A13" s="9" t="s">
        <v>10</v>
      </c>
      <c r="B13" s="10"/>
      <c r="C13" s="11"/>
      <c r="D13" s="12"/>
      <c r="E13" s="10">
        <f t="shared" ref="E13:N13" si="8">SUM(E5:E12)</f>
        <v>44.5</v>
      </c>
      <c r="F13" s="11">
        <f t="shared" si="8"/>
        <v>44.5</v>
      </c>
      <c r="G13" s="11">
        <f t="shared" si="8"/>
        <v>44.5</v>
      </c>
      <c r="H13" s="11">
        <f t="shared" si="8"/>
        <v>44.5</v>
      </c>
      <c r="I13" s="11">
        <f t="shared" si="8"/>
        <v>44.5</v>
      </c>
      <c r="J13" s="11">
        <f t="shared" si="8"/>
        <v>44.5</v>
      </c>
      <c r="K13" s="11">
        <f t="shared" si="8"/>
        <v>44.5</v>
      </c>
      <c r="L13" s="11">
        <f t="shared" si="8"/>
        <v>44.5</v>
      </c>
      <c r="M13" s="11">
        <f t="shared" si="8"/>
        <v>44.5</v>
      </c>
      <c r="N13" s="12">
        <f t="shared" si="8"/>
        <v>44.5</v>
      </c>
    </row>
    <row r="14" spans="1:14" x14ac:dyDescent="0.3">
      <c r="A14" s="9" t="s">
        <v>11</v>
      </c>
      <c r="B14" s="10"/>
      <c r="C14" s="11"/>
      <c r="D14" s="12"/>
      <c r="E14" s="10">
        <f t="shared" ref="E14:N14" si="9">-IR*E13</f>
        <v>0</v>
      </c>
      <c r="F14" s="11">
        <f t="shared" si="9"/>
        <v>0</v>
      </c>
      <c r="G14" s="11">
        <f t="shared" si="9"/>
        <v>0</v>
      </c>
      <c r="H14" s="11">
        <f t="shared" si="9"/>
        <v>0</v>
      </c>
      <c r="I14" s="11">
        <f t="shared" si="9"/>
        <v>0</v>
      </c>
      <c r="J14" s="11">
        <f t="shared" si="9"/>
        <v>0</v>
      </c>
      <c r="K14" s="11">
        <f t="shared" si="9"/>
        <v>0</v>
      </c>
      <c r="L14" s="11">
        <f t="shared" si="9"/>
        <v>0</v>
      </c>
      <c r="M14" s="11">
        <f t="shared" si="9"/>
        <v>0</v>
      </c>
      <c r="N14" s="12">
        <f t="shared" si="9"/>
        <v>0</v>
      </c>
    </row>
    <row r="15" spans="1:14" x14ac:dyDescent="0.3">
      <c r="A15" s="9" t="s">
        <v>12</v>
      </c>
      <c r="B15" s="10"/>
      <c r="C15" s="11"/>
      <c r="D15" s="12"/>
      <c r="E15" s="10">
        <f t="shared" ref="E15:N15" si="10">SUM(E13:E14)</f>
        <v>44.5</v>
      </c>
      <c r="F15" s="11">
        <f t="shared" si="10"/>
        <v>44.5</v>
      </c>
      <c r="G15" s="11">
        <f t="shared" si="10"/>
        <v>44.5</v>
      </c>
      <c r="H15" s="11">
        <f t="shared" si="10"/>
        <v>44.5</v>
      </c>
      <c r="I15" s="11">
        <f t="shared" si="10"/>
        <v>44.5</v>
      </c>
      <c r="J15" s="11">
        <f t="shared" si="10"/>
        <v>44.5</v>
      </c>
      <c r="K15" s="11">
        <f t="shared" si="10"/>
        <v>44.5</v>
      </c>
      <c r="L15" s="11">
        <f t="shared" si="10"/>
        <v>44.5</v>
      </c>
      <c r="M15" s="11">
        <f t="shared" si="10"/>
        <v>44.5</v>
      </c>
      <c r="N15" s="12">
        <f t="shared" si="10"/>
        <v>44.5</v>
      </c>
    </row>
    <row r="16" spans="1:14" x14ac:dyDescent="0.3">
      <c r="A16" s="9" t="s">
        <v>13</v>
      </c>
      <c r="B16" s="10"/>
      <c r="C16" s="11"/>
      <c r="D16" s="12"/>
      <c r="E16" s="10"/>
      <c r="F16" s="11"/>
      <c r="G16" s="11"/>
      <c r="H16" s="11"/>
      <c r="I16" s="11"/>
      <c r="J16" s="11"/>
      <c r="K16" s="11"/>
      <c r="L16" s="11"/>
      <c r="M16" s="11"/>
      <c r="N16" s="12"/>
    </row>
    <row r="17" spans="1:14" x14ac:dyDescent="0.3">
      <c r="A17" s="9" t="s">
        <v>14</v>
      </c>
      <c r="B17" s="10"/>
      <c r="C17" s="11"/>
      <c r="D17" s="12"/>
      <c r="E17" s="10"/>
      <c r="F17" s="11"/>
      <c r="G17" s="11"/>
      <c r="H17" s="11"/>
      <c r="I17" s="11"/>
      <c r="J17" s="11"/>
      <c r="K17" s="11"/>
      <c r="L17" s="11"/>
      <c r="M17" s="11"/>
      <c r="N17" s="12"/>
    </row>
    <row r="18" spans="1:14" x14ac:dyDescent="0.3">
      <c r="A18" s="9" t="s">
        <v>15</v>
      </c>
      <c r="B18" s="10"/>
      <c r="C18" s="11"/>
      <c r="D18" s="12"/>
      <c r="E18" s="10">
        <f t="shared" ref="E18:N18" si="11">-E8</f>
        <v>0</v>
      </c>
      <c r="F18" s="11">
        <f t="shared" si="11"/>
        <v>0</v>
      </c>
      <c r="G18" s="11">
        <f t="shared" si="11"/>
        <v>0</v>
      </c>
      <c r="H18" s="11">
        <f t="shared" si="11"/>
        <v>0</v>
      </c>
      <c r="I18" s="11">
        <f t="shared" si="11"/>
        <v>0</v>
      </c>
      <c r="J18" s="11">
        <f t="shared" si="11"/>
        <v>0</v>
      </c>
      <c r="K18" s="11">
        <f t="shared" si="11"/>
        <v>0</v>
      </c>
      <c r="L18" s="11">
        <f t="shared" si="11"/>
        <v>0</v>
      </c>
      <c r="M18" s="11">
        <f t="shared" si="11"/>
        <v>0</v>
      </c>
      <c r="N18" s="12">
        <f t="shared" si="11"/>
        <v>0</v>
      </c>
    </row>
    <row r="19" spans="1:14" x14ac:dyDescent="0.3">
      <c r="A19" s="9" t="s">
        <v>16</v>
      </c>
      <c r="B19" s="10"/>
      <c r="C19" s="11"/>
      <c r="D19" s="12">
        <v>-10</v>
      </c>
      <c r="E19" s="10"/>
      <c r="F19" s="11"/>
      <c r="G19" s="11"/>
      <c r="H19" s="11"/>
      <c r="I19" s="11"/>
      <c r="J19" s="11"/>
      <c r="K19" s="11"/>
      <c r="L19" s="11"/>
      <c r="M19" s="11"/>
      <c r="N19" s="12">
        <f>-D19</f>
        <v>10</v>
      </c>
    </row>
    <row r="20" spans="1:14" ht="19.5" thickBot="1" x14ac:dyDescent="0.35">
      <c r="A20" s="13" t="s">
        <v>17</v>
      </c>
      <c r="B20" s="14"/>
      <c r="C20" s="15"/>
      <c r="D20" s="16">
        <v>-120</v>
      </c>
      <c r="E20" s="14"/>
      <c r="F20" s="15"/>
      <c r="G20" s="15"/>
      <c r="H20" s="15"/>
      <c r="I20" s="15"/>
      <c r="J20" s="15"/>
      <c r="K20" s="15"/>
      <c r="L20" s="15"/>
      <c r="M20" s="15"/>
      <c r="N20" s="16"/>
    </row>
    <row r="21" spans="1:14" ht="18" customHeight="1" thickBot="1" x14ac:dyDescent="0.35">
      <c r="A21" s="17" t="s">
        <v>18</v>
      </c>
      <c r="B21" s="18">
        <f>SUM(B15:B20)</f>
        <v>0</v>
      </c>
      <c r="C21" s="19">
        <f>SUM(C15:C20)</f>
        <v>0</v>
      </c>
      <c r="D21" s="20">
        <f t="shared" ref="D21:I21" si="12">SUM(D15:D20)</f>
        <v>-130</v>
      </c>
      <c r="E21" s="18">
        <f t="shared" si="12"/>
        <v>44.5</v>
      </c>
      <c r="F21" s="19">
        <f t="shared" si="12"/>
        <v>44.5</v>
      </c>
      <c r="G21" s="19">
        <f t="shared" si="12"/>
        <v>44.5</v>
      </c>
      <c r="H21" s="19">
        <f t="shared" si="12"/>
        <v>44.5</v>
      </c>
      <c r="I21" s="19">
        <f t="shared" si="12"/>
        <v>44.5</v>
      </c>
      <c r="J21" s="19">
        <f>SUM(J15:J20)</f>
        <v>44.5</v>
      </c>
      <c r="K21" s="19">
        <f>SUM(K15:K20)</f>
        <v>44.5</v>
      </c>
      <c r="L21" s="19">
        <f>SUM(L15:L20)</f>
        <v>44.5</v>
      </c>
      <c r="M21" s="19">
        <f>SUM(M15:M20)</f>
        <v>44.5</v>
      </c>
      <c r="N21" s="20">
        <f>SUM(N15:N20)</f>
        <v>54.5</v>
      </c>
    </row>
    <row r="22" spans="1:14" ht="18.75" hidden="1" customHeight="1" x14ac:dyDescent="0.3">
      <c r="A22" s="21"/>
      <c r="B22" s="22">
        <f>B21*(1+TMA)^2</f>
        <v>0</v>
      </c>
      <c r="C22" s="22">
        <f>C21*(1+TMA)</f>
        <v>0</v>
      </c>
      <c r="D22" s="22">
        <f>D21</f>
        <v>-130</v>
      </c>
      <c r="E22" s="22">
        <f>E21*(1+TMA)^(-1)</f>
        <v>39.732142857142854</v>
      </c>
      <c r="F22" s="22">
        <f>F21*(1+TMA)^(-2)</f>
        <v>35.475127551020407</v>
      </c>
      <c r="G22" s="22">
        <f>G21*(1+TMA)^(-3)</f>
        <v>31.674221027696785</v>
      </c>
      <c r="H22" s="22">
        <f>H21*(1+TMA)^(-4)</f>
        <v>28.280554489014989</v>
      </c>
      <c r="I22" s="22">
        <f>I21*(1+TMA)^(-5)</f>
        <v>25.250495079477663</v>
      </c>
      <c r="J22" s="22">
        <f>J21*(1+TMA)^(-6)</f>
        <v>22.545084892390769</v>
      </c>
      <c r="K22" s="22">
        <f>K21*(1+TMA)^(-7)</f>
        <v>20.129540082491758</v>
      </c>
      <c r="L22" s="22">
        <f>L21*(1+TMA)^(-8)</f>
        <v>17.972803645081925</v>
      </c>
      <c r="M22" s="22">
        <f>M21*(1+TMA)^(-9)</f>
        <v>16.047146111680291</v>
      </c>
      <c r="N22" s="22">
        <f>N21*(1+TMA)^(-10)</f>
        <v>17.54754139419293</v>
      </c>
    </row>
    <row r="24" spans="1:14" x14ac:dyDescent="0.3">
      <c r="A24" s="48" t="s">
        <v>19</v>
      </c>
      <c r="B24" s="48"/>
      <c r="D24" s="48" t="s">
        <v>20</v>
      </c>
      <c r="E24" s="48"/>
    </row>
    <row r="25" spans="1:14" x14ac:dyDescent="0.3">
      <c r="A25" s="30" t="s">
        <v>31</v>
      </c>
      <c r="B25" s="31">
        <v>0</v>
      </c>
      <c r="D25" s="39" t="s">
        <v>30</v>
      </c>
      <c r="E25" s="31">
        <v>0.12</v>
      </c>
    </row>
    <row r="26" spans="1:14" x14ac:dyDescent="0.3">
      <c r="A26" s="30" t="s">
        <v>8</v>
      </c>
      <c r="B26" s="31">
        <v>0</v>
      </c>
    </row>
    <row r="27" spans="1:14" x14ac:dyDescent="0.3">
      <c r="A27" s="30" t="s">
        <v>32</v>
      </c>
      <c r="B27" s="31">
        <v>0.05</v>
      </c>
    </row>
    <row r="28" spans="1:14" ht="19.5" thickBot="1" x14ac:dyDescent="0.35">
      <c r="A28" s="30" t="s">
        <v>21</v>
      </c>
      <c r="B28" s="31">
        <v>0</v>
      </c>
    </row>
    <row r="29" spans="1:14" ht="19.5" thickBot="1" x14ac:dyDescent="0.35">
      <c r="D29" s="37" t="s">
        <v>22</v>
      </c>
      <c r="E29" s="38" t="s">
        <v>25</v>
      </c>
      <c r="F29" s="23" t="s">
        <v>23</v>
      </c>
    </row>
    <row r="30" spans="1:14" x14ac:dyDescent="0.3">
      <c r="A30" s="41" t="s">
        <v>24</v>
      </c>
      <c r="B30" s="42"/>
      <c r="D30" s="36">
        <v>0</v>
      </c>
      <c r="E30" s="25">
        <f>NPV(TMA,D21)*(1+TMA)</f>
        <v>-130</v>
      </c>
      <c r="F30" s="24">
        <v>0</v>
      </c>
    </row>
    <row r="31" spans="1:14" x14ac:dyDescent="0.3">
      <c r="A31" s="32" t="s">
        <v>25</v>
      </c>
      <c r="B31" s="33">
        <f>NPV(TMA,B21:N21)*(1+TMA)^3</f>
        <v>124.65465713019034</v>
      </c>
      <c r="D31" s="26">
        <v>1</v>
      </c>
      <c r="E31" s="27">
        <f>NPV(TMA,D21:E21)*(1+TMA)</f>
        <v>-90.267857142857139</v>
      </c>
      <c r="F31" s="24">
        <f t="shared" ref="F31:F40" si="13">IF(E30*E31&lt;0,D30-(D30-D31)*(E30-0)/(E30-E31),0)</f>
        <v>0</v>
      </c>
    </row>
    <row r="32" spans="1:14" x14ac:dyDescent="0.3">
      <c r="A32" s="32" t="s">
        <v>26</v>
      </c>
      <c r="B32" s="34">
        <f>IF(SUM(B21:N21)=0,0,IRR(B21:N21,TMA))</f>
        <v>0.32298102555086294</v>
      </c>
      <c r="D32" s="26">
        <v>2</v>
      </c>
      <c r="E32" s="27">
        <f>NPV(TMA,D21:F21)*(1+TMA)</f>
        <v>-54.792729591836739</v>
      </c>
      <c r="F32" s="24">
        <f t="shared" si="13"/>
        <v>0</v>
      </c>
    </row>
    <row r="33" spans="1:6" x14ac:dyDescent="0.3">
      <c r="A33" s="30" t="s">
        <v>27</v>
      </c>
      <c r="B33" s="35" t="str">
        <f>IF(F41=0,"&gt; 10",IF(F41&lt;10,FIXED(F41,2),))&amp;" anos"</f>
        <v>3,82 anos</v>
      </c>
      <c r="D33" s="26">
        <v>3</v>
      </c>
      <c r="E33" s="27">
        <f>NPV(TMA,D21:G21)*(1+TMA)</f>
        <v>-23.118508564139955</v>
      </c>
      <c r="F33" s="24">
        <f t="shared" si="13"/>
        <v>0</v>
      </c>
    </row>
    <row r="34" spans="1:6" x14ac:dyDescent="0.3">
      <c r="A34" s="32" t="s">
        <v>28</v>
      </c>
      <c r="B34" s="33">
        <f>ABS((VPL-D20)/D20)</f>
        <v>2.0387888094182527</v>
      </c>
      <c r="D34" s="26">
        <v>4</v>
      </c>
      <c r="E34" s="27">
        <f>NPV(TMA,D21:H21)*(1+TMA)</f>
        <v>5.1620459248750281</v>
      </c>
      <c r="F34" s="24">
        <f t="shared" si="13"/>
        <v>3.8174701303370795</v>
      </c>
    </row>
    <row r="35" spans="1:6" x14ac:dyDescent="0.3">
      <c r="D35" s="26">
        <v>5</v>
      </c>
      <c r="E35" s="27">
        <f>NPV(TMA,D21:I21)*(1+TMA)</f>
        <v>30.41254100435269</v>
      </c>
      <c r="F35" s="24">
        <f t="shared" si="13"/>
        <v>0</v>
      </c>
    </row>
    <row r="36" spans="1:6" x14ac:dyDescent="0.3">
      <c r="D36" s="26">
        <v>6</v>
      </c>
      <c r="E36" s="27">
        <f>NPV(TMA,D21:J21)*(1+TMA)</f>
        <v>52.957625896743458</v>
      </c>
      <c r="F36" s="24">
        <f t="shared" si="13"/>
        <v>0</v>
      </c>
    </row>
    <row r="37" spans="1:6" x14ac:dyDescent="0.3">
      <c r="B37" s="52"/>
      <c r="D37" s="26">
        <v>7</v>
      </c>
      <c r="E37" s="27">
        <f>NPV(TMA,D21:K21)*(1+TMA)</f>
        <v>73.087165979235209</v>
      </c>
      <c r="F37" s="24">
        <f t="shared" si="13"/>
        <v>0</v>
      </c>
    </row>
    <row r="38" spans="1:6" x14ac:dyDescent="0.3">
      <c r="D38" s="26">
        <v>8</v>
      </c>
      <c r="E38" s="27">
        <f>NPV(TMA,D21:L21)*(1+TMA)</f>
        <v>91.059969624317134</v>
      </c>
      <c r="F38" s="24">
        <f t="shared" si="13"/>
        <v>0</v>
      </c>
    </row>
    <row r="39" spans="1:6" x14ac:dyDescent="0.3">
      <c r="A39"/>
      <c r="B39"/>
      <c r="D39" s="26">
        <v>9</v>
      </c>
      <c r="E39" s="27">
        <f>NPV(TMA,D21:M21)*(1+TMA)</f>
        <v>107.10711573599741</v>
      </c>
      <c r="F39" s="24">
        <f t="shared" si="13"/>
        <v>0</v>
      </c>
    </row>
    <row r="40" spans="1:6" ht="19.5" thickBot="1" x14ac:dyDescent="0.35">
      <c r="A40"/>
      <c r="B40"/>
      <c r="D40" s="2">
        <v>10</v>
      </c>
      <c r="E40" s="28">
        <f>NPV(TMA,D21:N21)*(1+TMA)</f>
        <v>124.65465713019034</v>
      </c>
      <c r="F40" s="24">
        <f t="shared" si="13"/>
        <v>0</v>
      </c>
    </row>
    <row r="41" spans="1:6" x14ac:dyDescent="0.3">
      <c r="A41"/>
      <c r="B41"/>
      <c r="F41" s="29">
        <f>SUM(F31:F40)</f>
        <v>3.8174701303370795</v>
      </c>
    </row>
    <row r="42" spans="1:6" x14ac:dyDescent="0.3">
      <c r="A42"/>
      <c r="B42"/>
    </row>
    <row r="43" spans="1:6" x14ac:dyDescent="0.3">
      <c r="A43"/>
      <c r="B43"/>
    </row>
  </sheetData>
  <mergeCells count="7">
    <mergeCell ref="E1:G1"/>
    <mergeCell ref="A30:B30"/>
    <mergeCell ref="A3:A4"/>
    <mergeCell ref="B3:D3"/>
    <mergeCell ref="A24:B24"/>
    <mergeCell ref="D24:E24"/>
    <mergeCell ref="E3:N3"/>
  </mergeCells>
  <phoneticPr fontId="2" type="noConversion"/>
  <conditionalFormatting sqref="B32">
    <cfRule type="cellIs" dxfId="5" priority="1" stopIfTrue="1" operator="lessThanOrEqual">
      <formula>$E$25</formula>
    </cfRule>
    <cfRule type="cellIs" dxfId="4" priority="2" stopIfTrue="1" operator="greaterThan">
      <formula>$E$25</formula>
    </cfRule>
  </conditionalFormatting>
  <conditionalFormatting sqref="B31 B34">
    <cfRule type="cellIs" dxfId="3" priority="3" stopIfTrue="1" operator="lessThanOrEqual">
      <formula>0</formula>
    </cfRule>
    <cfRule type="cellIs" dxfId="2" priority="4" stopIfTrue="1" operator="greaterThan">
      <formula>0</formula>
    </cfRule>
  </conditionalFormatting>
  <conditionalFormatting sqref="B33">
    <cfRule type="cellIs" dxfId="1" priority="5" stopIfTrue="1" operator="equal">
      <formula>"&gt; 10 anos"</formula>
    </cfRule>
    <cfRule type="cellIs" dxfId="0" priority="6" stopIfTrue="1" operator="notEqual">
      <formula>"&gt; 10 anos"</formula>
    </cfRule>
  </conditionalFormatting>
  <pageMargins left="0.75" right="0.75" top="1" bottom="1" header="0.49212598499999999" footer="0.49212598499999999"/>
  <pageSetup paperSize="9" scale="58" orientation="landscape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Fluxo</vt:lpstr>
      <vt:lpstr>Diagrama de Fluxo</vt:lpstr>
      <vt:lpstr>Fluxo!Area_de_impressao</vt:lpstr>
      <vt:lpstr>ICMS</vt:lpstr>
      <vt:lpstr>IR</vt:lpstr>
      <vt:lpstr>ISS</vt:lpstr>
      <vt:lpstr>Pis</vt:lpstr>
      <vt:lpstr>TIR</vt:lpstr>
      <vt:lpstr>TMA</vt:lpstr>
      <vt:lpstr>TR</vt:lpstr>
      <vt:lpstr>VPL</vt:lpstr>
    </vt:vector>
  </TitlesOfParts>
  <Manager/>
  <Company>UFBa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cp:keywords/>
  <dc:description/>
  <cp:lastModifiedBy>Marcos Narciso</cp:lastModifiedBy>
  <cp:revision/>
  <dcterms:created xsi:type="dcterms:W3CDTF">2005-10-23T01:49:30Z</dcterms:created>
  <dcterms:modified xsi:type="dcterms:W3CDTF">2021-01-26T01:02:34Z</dcterms:modified>
  <cp:category/>
  <cp:contentStatus/>
</cp:coreProperties>
</file>