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360" yWindow="420" windowWidth="17775" windowHeight="7185"/>
  </bookViews>
  <sheets>
    <sheet name="Massa" sheetId="1" r:id="rId1"/>
    <sheet name="Massa e Energia" sheetId="4" r:id="rId2"/>
  </sheets>
  <definedNames>
    <definedName name="Destination" localSheetId="0" hidden="1">Massa!$H$6:$I$11</definedName>
    <definedName name="Destination" localSheetId="1" hidden="1">'Massa e Energia'!$G$6:$H$18</definedName>
    <definedName name="GlobalQIDest" localSheetId="0" hidden="1">Massa!$I$12</definedName>
    <definedName name="GlobalQIDest" localSheetId="1" hidden="1">'Massa e Energia'!$H$19</definedName>
    <definedName name="HessApp" localSheetId="0" hidden="1">"exact"</definedName>
    <definedName name="HessApp" localSheetId="1" hidden="1">"exact"</definedName>
    <definedName name="Label" localSheetId="0" hidden="1">Massa!$B$6:$B$11</definedName>
    <definedName name="Label" localSheetId="1" hidden="1">'Massa e Energia'!$B$6:$B$18</definedName>
    <definedName name="Lower" localSheetId="0" hidden="1">Massa!$D$6:$D$11</definedName>
    <definedName name="Lower" localSheetId="1" hidden="1">'Massa e Energia'!$E$6:$E$18</definedName>
    <definedName name="MapVar" localSheetId="0" hidden="1">Massa!$C$6:$C$11</definedName>
    <definedName name="MapVar" localSheetId="1" hidden="1">'Massa e Energia'!$C$6:$C$18</definedName>
    <definedName name="MaxIter" localSheetId="0" hidden="1">5000</definedName>
    <definedName name="MaxIter" localSheetId="1" hidden="1">3000</definedName>
    <definedName name="Module" localSheetId="0" hidden="1">"Optimization"</definedName>
    <definedName name="Module" localSheetId="1" hidden="1">"Optimization"</definedName>
    <definedName name="OutputFile" localSheetId="0" hidden="1">TRUE</definedName>
    <definedName name="OutputFile" localSheetId="1" hidden="1">TRUE</definedName>
    <definedName name="Quality" localSheetId="0" hidden="1">Massa!$F$6:$F$11</definedName>
    <definedName name="Quality" localSheetId="1" hidden="1">'Massa e Energia'!$D$6:$D$18</definedName>
    <definedName name="RelAcc" localSheetId="0" hidden="1">0.0000000001</definedName>
    <definedName name="RelAcc" localSheetId="1" hidden="1">0.00000001</definedName>
    <definedName name="Restrictions" localSheetId="0" hidden="1">Massa!$M$6:$M$9</definedName>
    <definedName name="Restrictions" localSheetId="1" hidden="1">'Massa e Energia'!$L$12:$L$20</definedName>
    <definedName name="solver_adj" localSheetId="0" hidden="1">Massa!$H$6:$H$11</definedName>
    <definedName name="solver_adj" localSheetId="1" hidden="1">'Massa e Energia'!$G$6:$G$18</definedName>
    <definedName name="solver_cvg" localSheetId="0" hidden="1">0.000001</definedName>
    <definedName name="solver_cvg" localSheetId="1" hidden="1">0.0000001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10000</definedName>
    <definedName name="solver_lhs1" localSheetId="0" hidden="1">Massa!$N$7</definedName>
    <definedName name="solver_lhs1" localSheetId="1" hidden="1">'Massa e Energia'!$M$13</definedName>
    <definedName name="solver_lhs2" localSheetId="0" hidden="1">Massa!$N$8</definedName>
    <definedName name="solver_lhs2" localSheetId="1" hidden="1">'Massa e Energia'!$M$14</definedName>
    <definedName name="solver_lhs3" localSheetId="0" hidden="1">Massa!$N$6</definedName>
    <definedName name="solver_lhs3" localSheetId="1" hidden="1">'Massa e Energia'!$M$12</definedName>
    <definedName name="solver_lhs4" localSheetId="0" hidden="1">Massa!$N$9</definedName>
    <definedName name="solver_lhs4" localSheetId="1" hidden="1">'Massa e Energia'!$M$15</definedName>
    <definedName name="solver_lhs5" localSheetId="1" hidden="1">'Massa e Energia'!$M$16</definedName>
    <definedName name="solver_lhs6" localSheetId="1" hidden="1">'Massa e Energia'!$M$17</definedName>
    <definedName name="solver_lhs7" localSheetId="1" hidden="1">'Massa e Energia'!$M$18</definedName>
    <definedName name="solver_lhs8" localSheetId="1" hidden="1">'Massa e Energia'!$M$19</definedName>
    <definedName name="solver_lhs9" localSheetId="1" hidden="1">'Massa e Energia'!$M$20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4</definedName>
    <definedName name="solver_num" localSheetId="1" hidden="1">9</definedName>
    <definedName name="solver_nwt" localSheetId="0" hidden="1">1</definedName>
    <definedName name="solver_nwt" localSheetId="1" hidden="1">1</definedName>
    <definedName name="solver_opt" localSheetId="0" hidden="1">Massa!$F$20</definedName>
    <definedName name="solver_opt" localSheetId="1" hidden="1">'Massa e Energia'!$I$33</definedName>
    <definedName name="solver_pre" localSheetId="0" hidden="1">0.000000001</definedName>
    <definedName name="solver_pre" localSheetId="1" hidden="1">0.00000000001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el2" localSheetId="1" hidden="1">2</definedName>
    <definedName name="solver_rel3" localSheetId="0" hidden="1">2</definedName>
    <definedName name="solver_rel3" localSheetId="1" hidden="1">2</definedName>
    <definedName name="solver_rel4" localSheetId="0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hs2" localSheetId="1" hidden="1">0</definedName>
    <definedName name="solver_rhs3" localSheetId="0" hidden="1">0</definedName>
    <definedName name="solver_rhs3" localSheetId="1" hidden="1">0</definedName>
    <definedName name="solver_rhs4" localSheetId="0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hs9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1000</definedName>
    <definedName name="solver_tol" localSheetId="0" hidden="1">0.05</definedName>
    <definedName name="solver_tol" localSheetId="1" hidden="1">0.05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Name" localSheetId="0" hidden="1">"ipopt_emso"</definedName>
    <definedName name="SolverName" localSheetId="1" hidden="1">"ipopt_emso"</definedName>
    <definedName name="Upper" localSheetId="0" hidden="1">Massa!$E$6:$E$11</definedName>
    <definedName name="Upper" localSheetId="1" hidden="1">'Massa e Energia'!$F$6:$F$18</definedName>
  </definedNames>
  <calcPr calcId="124519"/>
</workbook>
</file>

<file path=xl/calcChain.xml><?xml version="1.0" encoding="utf-8"?>
<calcChain xmlns="http://schemas.openxmlformats.org/spreadsheetml/2006/main">
  <c r="E7" i="1"/>
  <c r="E8"/>
  <c r="E9"/>
  <c r="E10"/>
  <c r="E11"/>
  <c r="E6"/>
  <c r="D7"/>
  <c r="D8"/>
  <c r="D9"/>
  <c r="D10"/>
  <c r="D11"/>
  <c r="D6"/>
  <c r="G11"/>
  <c r="G10"/>
  <c r="G9"/>
  <c r="G8"/>
  <c r="G7"/>
  <c r="G6"/>
  <c r="J11"/>
  <c r="J10"/>
  <c r="J9"/>
  <c r="J8"/>
  <c r="J7"/>
  <c r="J6"/>
  <c r="G13"/>
  <c r="F12"/>
  <c r="J13" l="1"/>
  <c r="M16" i="4"/>
  <c r="M17" l="1"/>
  <c r="F18"/>
  <c r="F17"/>
  <c r="F16"/>
  <c r="F15"/>
  <c r="F14"/>
  <c r="F13"/>
  <c r="F12"/>
  <c r="F11"/>
  <c r="F10"/>
  <c r="F9"/>
  <c r="F8"/>
  <c r="F7"/>
  <c r="F6"/>
  <c r="I6" l="1"/>
  <c r="M12"/>
  <c r="M20"/>
  <c r="M19"/>
  <c r="M18"/>
  <c r="I12"/>
  <c r="I26" s="1"/>
  <c r="I13"/>
  <c r="I27" s="1"/>
  <c r="I14"/>
  <c r="I28" s="1"/>
  <c r="I15"/>
  <c r="I29" s="1"/>
  <c r="I16"/>
  <c r="I30" s="1"/>
  <c r="I17"/>
  <c r="I31" s="1"/>
  <c r="I18"/>
  <c r="I32" s="1"/>
  <c r="M15"/>
  <c r="M14"/>
  <c r="M13"/>
  <c r="I11"/>
  <c r="I25" s="1"/>
  <c r="I10"/>
  <c r="J10" s="1"/>
  <c r="I9"/>
  <c r="I23" s="1"/>
  <c r="I8"/>
  <c r="J8" s="1"/>
  <c r="I7"/>
  <c r="I21" s="1"/>
  <c r="J6"/>
  <c r="N9" i="1"/>
  <c r="N8"/>
  <c r="N7"/>
  <c r="N6"/>
  <c r="K7"/>
  <c r="L7" s="1"/>
  <c r="K8"/>
  <c r="L8" s="1"/>
  <c r="K9"/>
  <c r="L9" s="1"/>
  <c r="K10"/>
  <c r="L10" s="1"/>
  <c r="K11"/>
  <c r="L11" s="1"/>
  <c r="K6"/>
  <c r="L6" s="1"/>
  <c r="F15" l="1"/>
  <c r="J15" i="4"/>
  <c r="J18"/>
  <c r="J17"/>
  <c r="J16"/>
  <c r="J14"/>
  <c r="J13"/>
  <c r="J12"/>
  <c r="I20"/>
  <c r="I22"/>
  <c r="I24"/>
  <c r="J7"/>
  <c r="J9"/>
  <c r="J11"/>
  <c r="F14" i="1"/>
  <c r="F17"/>
  <c r="F16"/>
  <c r="F19"/>
  <c r="F18"/>
  <c r="I33" i="4" l="1"/>
  <c r="F20" i="1"/>
</calcChain>
</file>

<file path=xl/sharedStrings.xml><?xml version="1.0" encoding="utf-8"?>
<sst xmlns="http://schemas.openxmlformats.org/spreadsheetml/2006/main" count="58" uniqueCount="43">
  <si>
    <t>VM</t>
  </si>
  <si>
    <t>QI</t>
  </si>
  <si>
    <t>FO</t>
  </si>
  <si>
    <t>VR - VM</t>
  </si>
  <si>
    <t>VR</t>
  </si>
  <si>
    <t>Desvio % MATLAB</t>
  </si>
  <si>
    <t>Restrições</t>
  </si>
  <si>
    <t>V1</t>
  </si>
  <si>
    <t>V2</t>
  </si>
  <si>
    <t>V3</t>
  </si>
  <si>
    <t>V4</t>
  </si>
  <si>
    <t>V5</t>
  </si>
  <si>
    <t>V6</t>
  </si>
  <si>
    <t>T1</t>
  </si>
  <si>
    <t>T2</t>
  </si>
  <si>
    <t>T3</t>
  </si>
  <si>
    <t>T4</t>
  </si>
  <si>
    <t>T5</t>
  </si>
  <si>
    <t>T6</t>
  </si>
  <si>
    <t>QR</t>
  </si>
  <si>
    <t>V2 - V4 = 0</t>
  </si>
  <si>
    <t>V4 + V5 - V6 = 0</t>
  </si>
  <si>
    <t>Mínimo</t>
  </si>
  <si>
    <t>Máximo</t>
  </si>
  <si>
    <t>Label</t>
  </si>
  <si>
    <t>QIR</t>
  </si>
  <si>
    <t>Desvio %</t>
  </si>
  <si>
    <t>V1 - V2 - V3 = 0</t>
  </si>
  <si>
    <t>V3 - V5 = 0</t>
  </si>
  <si>
    <t>V1*1*(T1-25) - ( V2*1*(T2-25) + V3*1*(T3-25) ) = 0</t>
  </si>
  <si>
    <t>V2*1*(T2-25) - V4*1*(T4-25) + QR = 0</t>
  </si>
  <si>
    <t>V3*1*(T3-25) - V5*1*(T5-25) = 0</t>
  </si>
  <si>
    <t>V6*1*(T6-25) - ( V4*1*(T4-25) + V5*1*(T5-25) ) = 0</t>
  </si>
  <si>
    <t>T1 - T3 = 0</t>
  </si>
  <si>
    <t>uR</t>
  </si>
  <si>
    <t>u</t>
  </si>
  <si>
    <t>QI Global</t>
  </si>
  <si>
    <t>Incerteza</t>
  </si>
  <si>
    <t>V1 - (V2 + V3)</t>
  </si>
  <si>
    <t>V2 - V4</t>
  </si>
  <si>
    <t>V3 - V5</t>
  </si>
  <si>
    <t>V4 + V5 - V6</t>
  </si>
  <si>
    <t>Última reconciliação executada em 20/02/2014 15:45:33.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</si>
</sst>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2" fontId="0" fillId="0" borderId="0" xfId="0" applyNumberFormat="1"/>
    <xf numFmtId="164" fontId="2" fillId="3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0" fillId="0" borderId="0" xfId="0" applyNumberFormat="1"/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B5:N20"/>
  <sheetViews>
    <sheetView tabSelected="1" workbookViewId="0">
      <selection activeCell="L12" sqref="L12:L13"/>
    </sheetView>
  </sheetViews>
  <sheetFormatPr defaultRowHeight="15"/>
  <cols>
    <col min="5" max="5" width="11.28515625" bestFit="1" customWidth="1"/>
    <col min="6" max="6" width="16.140625" bestFit="1" customWidth="1"/>
    <col min="7" max="7" width="16.140625" customWidth="1"/>
    <col min="8" max="10" width="8.28515625" customWidth="1"/>
    <col min="11" max="11" width="8.140625" bestFit="1" customWidth="1"/>
    <col min="12" max="12" width="17" bestFit="1" customWidth="1"/>
    <col min="13" max="13" width="14.28515625" bestFit="1" customWidth="1"/>
    <col min="14" max="14" width="8" customWidth="1"/>
  </cols>
  <sheetData>
    <row r="5" spans="2:14" ht="15.75" thickBot="1">
      <c r="B5" t="s">
        <v>24</v>
      </c>
      <c r="C5" s="1" t="s">
        <v>0</v>
      </c>
      <c r="D5" s="1" t="s">
        <v>22</v>
      </c>
      <c r="E5" s="1" t="s">
        <v>23</v>
      </c>
      <c r="F5" s="1" t="s">
        <v>1</v>
      </c>
      <c r="G5" s="1" t="s">
        <v>35</v>
      </c>
      <c r="H5" s="1" t="s">
        <v>4</v>
      </c>
      <c r="I5" s="1" t="s">
        <v>25</v>
      </c>
      <c r="J5" s="1" t="s">
        <v>34</v>
      </c>
      <c r="K5" s="1" t="s">
        <v>3</v>
      </c>
      <c r="L5" s="1" t="s">
        <v>26</v>
      </c>
      <c r="M5" t="s">
        <v>6</v>
      </c>
    </row>
    <row r="6" spans="2:14">
      <c r="B6" t="s">
        <v>7</v>
      </c>
      <c r="C6" s="2">
        <v>101.91</v>
      </c>
      <c r="D6" s="2">
        <f>0.8*C6</f>
        <v>81.528000000000006</v>
      </c>
      <c r="E6" s="2">
        <f>1.2*C6</f>
        <v>122.29199999999999</v>
      </c>
      <c r="F6" s="2">
        <v>100</v>
      </c>
      <c r="G6" s="5">
        <f>C6/F6*0.1</f>
        <v>0.10191</v>
      </c>
      <c r="H6" s="2">
        <v>101.90646533443845</v>
      </c>
      <c r="I6" s="2">
        <v>100.07876383154837</v>
      </c>
      <c r="J6" s="5">
        <f t="shared" ref="J6:J11" si="0">H6/I6*0.1</f>
        <v>0.10182626306812348</v>
      </c>
      <c r="K6" s="2">
        <f t="shared" ref="K6:K11" si="1">H6-C6</f>
        <v>-3.5346655615455802E-3</v>
      </c>
      <c r="L6" s="2">
        <f t="shared" ref="L6:L11" si="2">K6/C6*100</f>
        <v>-3.4684187631690514E-3</v>
      </c>
      <c r="M6" t="s">
        <v>38</v>
      </c>
      <c r="N6" s="4">
        <f>H6-H7-H8</f>
        <v>0</v>
      </c>
    </row>
    <row r="7" spans="2:14">
      <c r="B7" t="s">
        <v>8</v>
      </c>
      <c r="C7" s="3">
        <v>64.45</v>
      </c>
      <c r="D7" s="3">
        <f t="shared" ref="D7:D11" si="3">0.8*C7</f>
        <v>51.56</v>
      </c>
      <c r="E7" s="3">
        <f t="shared" ref="E7:E11" si="4">1.2*C7</f>
        <v>77.34</v>
      </c>
      <c r="F7" s="3">
        <v>2</v>
      </c>
      <c r="G7" s="6">
        <f t="shared" ref="G7:G11" si="5">C7/F7*0.1</f>
        <v>3.2225000000000001</v>
      </c>
      <c r="H7" s="3">
        <v>65.920189355673784</v>
      </c>
      <c r="I7" s="3">
        <v>5.982372812905786</v>
      </c>
      <c r="J7" s="6">
        <f t="shared" si="0"/>
        <v>1.1019070762936074</v>
      </c>
      <c r="K7" s="3">
        <f t="shared" si="1"/>
        <v>1.4701893556737815</v>
      </c>
      <c r="L7" s="3">
        <f t="shared" si="2"/>
        <v>2.2811316612471395</v>
      </c>
      <c r="M7" t="s">
        <v>39</v>
      </c>
      <c r="N7" s="4">
        <f>H7-H9</f>
        <v>0</v>
      </c>
    </row>
    <row r="8" spans="2:14">
      <c r="B8" t="s">
        <v>9</v>
      </c>
      <c r="C8" s="2">
        <v>34.65</v>
      </c>
      <c r="D8" s="2">
        <f t="shared" si="3"/>
        <v>27.72</v>
      </c>
      <c r="E8" s="2">
        <f t="shared" si="4"/>
        <v>41.58</v>
      </c>
      <c r="F8" s="2">
        <v>2</v>
      </c>
      <c r="G8" s="5">
        <f t="shared" si="5"/>
        <v>1.7324999999999999</v>
      </c>
      <c r="H8" s="2">
        <v>35.986275978764667</v>
      </c>
      <c r="I8" s="2">
        <v>3.2732730273090893</v>
      </c>
      <c r="J8" s="5">
        <f t="shared" si="0"/>
        <v>1.0993973212295238</v>
      </c>
      <c r="K8" s="2">
        <f t="shared" si="1"/>
        <v>1.3362759787646681</v>
      </c>
      <c r="L8" s="2">
        <f t="shared" si="2"/>
        <v>3.8564963312111638</v>
      </c>
      <c r="M8" t="s">
        <v>40</v>
      </c>
      <c r="N8" s="4">
        <f>H8-H10</f>
        <v>0</v>
      </c>
    </row>
    <row r="9" spans="2:14">
      <c r="B9" t="s">
        <v>10</v>
      </c>
      <c r="C9" s="3">
        <v>64.2</v>
      </c>
      <c r="D9" s="3">
        <f t="shared" si="3"/>
        <v>51.360000000000007</v>
      </c>
      <c r="E9" s="3">
        <f t="shared" si="4"/>
        <v>77.040000000000006</v>
      </c>
      <c r="F9" s="3">
        <v>2</v>
      </c>
      <c r="G9" s="6">
        <f t="shared" si="5"/>
        <v>3.2100000000000004</v>
      </c>
      <c r="H9" s="3">
        <v>65.920189355673784</v>
      </c>
      <c r="I9" s="3">
        <v>5.982372812905786</v>
      </c>
      <c r="J9" s="6">
        <f t="shared" si="0"/>
        <v>1.1019070762936074</v>
      </c>
      <c r="K9" s="3">
        <f t="shared" si="1"/>
        <v>1.7201893556737815</v>
      </c>
      <c r="L9" s="3">
        <f t="shared" si="2"/>
        <v>2.6794226723890677</v>
      </c>
      <c r="M9" t="s">
        <v>41</v>
      </c>
      <c r="N9" s="4">
        <f>H9+H10-H11</f>
        <v>0</v>
      </c>
    </row>
    <row r="10" spans="2:14">
      <c r="B10" t="s">
        <v>11</v>
      </c>
      <c r="C10" s="2">
        <v>36.44</v>
      </c>
      <c r="D10" s="2">
        <f t="shared" si="3"/>
        <v>29.152000000000001</v>
      </c>
      <c r="E10" s="2">
        <f t="shared" si="4"/>
        <v>43.727999999999994</v>
      </c>
      <c r="F10" s="2">
        <v>2</v>
      </c>
      <c r="G10" s="5">
        <f t="shared" si="5"/>
        <v>1.8220000000000001</v>
      </c>
      <c r="H10" s="2">
        <v>35.986275978764667</v>
      </c>
      <c r="I10" s="2">
        <v>3.2732730273090893</v>
      </c>
      <c r="J10" s="5">
        <f t="shared" si="0"/>
        <v>1.0993973212295238</v>
      </c>
      <c r="K10" s="2">
        <f t="shared" si="1"/>
        <v>-0.45372402123533107</v>
      </c>
      <c r="L10" s="2">
        <f t="shared" si="2"/>
        <v>-1.2451262931814795</v>
      </c>
    </row>
    <row r="11" spans="2:14">
      <c r="B11" t="s">
        <v>12</v>
      </c>
      <c r="C11" s="3">
        <v>98.8</v>
      </c>
      <c r="D11" s="3">
        <f t="shared" si="3"/>
        <v>79.040000000000006</v>
      </c>
      <c r="E11" s="3">
        <f t="shared" si="4"/>
        <v>118.55999999999999</v>
      </c>
      <c r="F11" s="3">
        <v>1</v>
      </c>
      <c r="G11" s="6">
        <f t="shared" si="5"/>
        <v>9.8800000000000008</v>
      </c>
      <c r="H11" s="3">
        <v>101.90646533443845</v>
      </c>
      <c r="I11" s="3">
        <v>100.07876383154839</v>
      </c>
      <c r="J11" s="6">
        <f t="shared" si="0"/>
        <v>0.10182626306812347</v>
      </c>
      <c r="K11" s="3">
        <f t="shared" si="1"/>
        <v>3.1064653344384539</v>
      </c>
      <c r="L11" s="3">
        <f t="shared" si="2"/>
        <v>3.1441956826300141</v>
      </c>
    </row>
    <row r="12" spans="2:14">
      <c r="E12" t="s">
        <v>36</v>
      </c>
      <c r="F12" s="7">
        <f>SUMPRODUCT(C6:C11,F6:F11)/SUM(C6:C11)</f>
        <v>26.693170183543504</v>
      </c>
      <c r="I12">
        <v>52.552235508805737</v>
      </c>
      <c r="L12" s="8"/>
    </row>
    <row r="13" spans="2:14">
      <c r="E13" t="s">
        <v>37</v>
      </c>
      <c r="F13" s="7"/>
      <c r="G13" s="5">
        <f>SQRT(SUMSQ(G6:G11))</f>
        <v>11.163988182907577</v>
      </c>
      <c r="I13" t="s">
        <v>42</v>
      </c>
      <c r="J13" s="5">
        <f>SQRT(SUMSQ(J6:J11))</f>
        <v>2.2060109984145582</v>
      </c>
      <c r="L13" s="8"/>
    </row>
    <row r="14" spans="2:14">
      <c r="F14">
        <f t="shared" ref="F14:F19" si="6">(F6*K6/C6)^2</f>
        <v>1.2029928716703132E-5</v>
      </c>
    </row>
    <row r="15" spans="2:14">
      <c r="F15">
        <f t="shared" si="6"/>
        <v>2.0814246623776537E-3</v>
      </c>
    </row>
    <row r="16" spans="2:14">
      <c r="F16">
        <f t="shared" si="6"/>
        <v>5.9490255810580655E-3</v>
      </c>
    </row>
    <row r="17" spans="5:6">
      <c r="F17">
        <f t="shared" si="6"/>
        <v>2.8717223429250292E-3</v>
      </c>
    </row>
    <row r="18" spans="5:6">
      <c r="F18">
        <f t="shared" si="6"/>
        <v>6.2013579438874062E-4</v>
      </c>
    </row>
    <row r="19" spans="5:6">
      <c r="F19">
        <f t="shared" si="6"/>
        <v>9.8859664906692196E-4</v>
      </c>
    </row>
    <row r="20" spans="5:6">
      <c r="E20" t="s">
        <v>2</v>
      </c>
      <c r="F20">
        <f>SUM(F14:F19)</f>
        <v>1.2522934958533113E-2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B5:M33"/>
  <sheetViews>
    <sheetView topLeftCell="B4" workbookViewId="0">
      <selection activeCell="G18" sqref="G18"/>
    </sheetView>
  </sheetViews>
  <sheetFormatPr defaultRowHeight="15"/>
  <cols>
    <col min="7" max="7" width="11.28515625" bestFit="1" customWidth="1"/>
    <col min="8" max="8" width="11.28515625" customWidth="1"/>
    <col min="9" max="9" width="16.140625" bestFit="1" customWidth="1"/>
    <col min="10" max="10" width="17" bestFit="1" customWidth="1"/>
    <col min="12" max="12" width="45" bestFit="1" customWidth="1"/>
    <col min="14" max="14" width="12.42578125" bestFit="1" customWidth="1"/>
  </cols>
  <sheetData>
    <row r="5" spans="2:13" ht="15.75" thickBot="1">
      <c r="C5" s="1" t="s">
        <v>0</v>
      </c>
      <c r="D5" s="1" t="s">
        <v>1</v>
      </c>
      <c r="E5" s="1" t="s">
        <v>22</v>
      </c>
      <c r="F5" s="1" t="s">
        <v>23</v>
      </c>
      <c r="G5" s="1" t="s">
        <v>4</v>
      </c>
      <c r="H5" s="1" t="s">
        <v>25</v>
      </c>
      <c r="I5" s="1" t="s">
        <v>3</v>
      </c>
      <c r="J5" s="1" t="s">
        <v>5</v>
      </c>
    </row>
    <row r="6" spans="2:13">
      <c r="B6" t="s">
        <v>7</v>
      </c>
      <c r="C6" s="2">
        <v>101.91</v>
      </c>
      <c r="D6" s="2">
        <v>100</v>
      </c>
      <c r="E6" s="2">
        <v>0</v>
      </c>
      <c r="F6" s="2">
        <f>C6*2</f>
        <v>203.82</v>
      </c>
      <c r="G6" s="2">
        <v>101.90679200433964</v>
      </c>
      <c r="H6" s="2">
        <v>124.94572204182599</v>
      </c>
      <c r="I6" s="2">
        <f>G6-C6</f>
        <v>-3.2079956603610071E-3</v>
      </c>
      <c r="J6" s="2">
        <f t="shared" ref="J6:J11" si="0">I6/C6*100</f>
        <v>-3.1478713181836986E-3</v>
      </c>
    </row>
    <row r="7" spans="2:13">
      <c r="B7" t="s">
        <v>8</v>
      </c>
      <c r="C7" s="3">
        <v>64.45</v>
      </c>
      <c r="D7" s="3">
        <v>2</v>
      </c>
      <c r="E7" s="3">
        <v>0</v>
      </c>
      <c r="F7" s="3">
        <f t="shared" ref="F7:F18" si="1">C7*2</f>
        <v>128.9</v>
      </c>
      <c r="G7" s="3">
        <v>65.920431222189421</v>
      </c>
      <c r="H7" s="3">
        <v>7.3519090922002421</v>
      </c>
      <c r="I7" s="3">
        <f t="shared" ref="I7:I12" si="2">G7-C7</f>
        <v>1.4704312221894185</v>
      </c>
      <c r="J7" s="3">
        <f t="shared" si="0"/>
        <v>2.2815069390060798</v>
      </c>
    </row>
    <row r="8" spans="2:13">
      <c r="B8" t="s">
        <v>9</v>
      </c>
      <c r="C8" s="2">
        <v>34.65</v>
      </c>
      <c r="D8" s="2">
        <v>2</v>
      </c>
      <c r="E8" s="2">
        <v>0</v>
      </c>
      <c r="F8" s="2">
        <f t="shared" si="1"/>
        <v>69.3</v>
      </c>
      <c r="G8" s="2">
        <v>35.986360782150221</v>
      </c>
      <c r="H8" s="2">
        <v>4.0224614139855888</v>
      </c>
      <c r="I8" s="2">
        <f t="shared" si="2"/>
        <v>1.3363607821502228</v>
      </c>
      <c r="J8" s="2">
        <f t="shared" si="0"/>
        <v>3.8567410740266173</v>
      </c>
    </row>
    <row r="9" spans="2:13">
      <c r="B9" t="s">
        <v>10</v>
      </c>
      <c r="C9" s="3">
        <v>64.2</v>
      </c>
      <c r="D9" s="3">
        <v>2</v>
      </c>
      <c r="E9" s="3">
        <v>0</v>
      </c>
      <c r="F9" s="3">
        <f t="shared" si="1"/>
        <v>128.4</v>
      </c>
      <c r="G9" s="3">
        <v>65.920431222189421</v>
      </c>
      <c r="H9" s="3">
        <v>7.351909092200243</v>
      </c>
      <c r="I9" s="3">
        <f t="shared" si="2"/>
        <v>1.7204312221894185</v>
      </c>
      <c r="J9" s="3">
        <f t="shared" si="0"/>
        <v>2.6797994115099972</v>
      </c>
    </row>
    <row r="10" spans="2:13">
      <c r="B10" t="s">
        <v>11</v>
      </c>
      <c r="C10" s="2">
        <v>36.44</v>
      </c>
      <c r="D10" s="2">
        <v>2</v>
      </c>
      <c r="E10" s="2">
        <v>0</v>
      </c>
      <c r="F10" s="2">
        <f t="shared" si="1"/>
        <v>72.88</v>
      </c>
      <c r="G10" s="2">
        <v>35.986360782150221</v>
      </c>
      <c r="H10" s="2">
        <v>4.0224614139855879</v>
      </c>
      <c r="I10" s="2">
        <f t="shared" si="2"/>
        <v>-0.45363921784977634</v>
      </c>
      <c r="J10" s="2">
        <f t="shared" si="0"/>
        <v>-1.2448935725844577</v>
      </c>
    </row>
    <row r="11" spans="2:13">
      <c r="B11" t="s">
        <v>12</v>
      </c>
      <c r="C11" s="3">
        <v>98.8</v>
      </c>
      <c r="D11" s="3">
        <v>0.1</v>
      </c>
      <c r="E11" s="3">
        <v>0</v>
      </c>
      <c r="F11" s="3">
        <f t="shared" si="1"/>
        <v>197.6</v>
      </c>
      <c r="G11" s="3">
        <v>101.90679200433964</v>
      </c>
      <c r="H11" s="3">
        <v>124.94572204182599</v>
      </c>
      <c r="I11" s="3">
        <f t="shared" si="2"/>
        <v>3.1067920043396384</v>
      </c>
      <c r="J11" s="3">
        <f t="shared" si="0"/>
        <v>3.1445263201818201</v>
      </c>
      <c r="L11" t="s">
        <v>6</v>
      </c>
    </row>
    <row r="12" spans="2:13">
      <c r="B12" t="s">
        <v>13</v>
      </c>
      <c r="C12" s="2">
        <v>45.1</v>
      </c>
      <c r="D12" s="2">
        <v>0.1</v>
      </c>
      <c r="E12" s="2">
        <v>0</v>
      </c>
      <c r="F12" s="2">
        <f t="shared" si="1"/>
        <v>90.2</v>
      </c>
      <c r="G12" s="2">
        <v>46.274602599284194</v>
      </c>
      <c r="H12" s="2">
        <v>1.3038907769502228</v>
      </c>
      <c r="I12" s="2">
        <f t="shared" si="2"/>
        <v>1.1746025992841922</v>
      </c>
      <c r="J12" s="2">
        <f t="shared" ref="J12:J18" si="3">I12/C12*100</f>
        <v>2.6044403531800273</v>
      </c>
      <c r="L12" t="s">
        <v>27</v>
      </c>
      <c r="M12" s="4">
        <f>G6-G7-G8</f>
        <v>0</v>
      </c>
    </row>
    <row r="13" spans="2:13">
      <c r="B13" t="s">
        <v>14</v>
      </c>
      <c r="C13" s="3">
        <v>47.3</v>
      </c>
      <c r="D13" s="3">
        <v>0.2</v>
      </c>
      <c r="E13" s="3">
        <v>0</v>
      </c>
      <c r="F13" s="3">
        <f t="shared" si="1"/>
        <v>94.6</v>
      </c>
      <c r="G13" s="3">
        <v>46.274602599284201</v>
      </c>
      <c r="H13" s="3">
        <v>1.3038907769502233</v>
      </c>
      <c r="I13" s="3">
        <f t="shared" ref="I13:I18" si="4">G13-C13</f>
        <v>-1.0253974007157964</v>
      </c>
      <c r="J13" s="3">
        <f t="shared" si="3"/>
        <v>-2.1678591981306483</v>
      </c>
      <c r="L13" t="s">
        <v>20</v>
      </c>
      <c r="M13" s="4">
        <f>G7-G9</f>
        <v>0</v>
      </c>
    </row>
    <row r="14" spans="2:13">
      <c r="B14" t="s">
        <v>15</v>
      </c>
      <c r="C14" s="2">
        <v>43</v>
      </c>
      <c r="D14" s="2">
        <v>0.2</v>
      </c>
      <c r="E14" s="2">
        <v>0</v>
      </c>
      <c r="F14" s="2">
        <f t="shared" si="1"/>
        <v>86</v>
      </c>
      <c r="G14" s="2">
        <v>46.274602599284194</v>
      </c>
      <c r="H14" s="2">
        <v>1.3038907769502226</v>
      </c>
      <c r="I14" s="2">
        <f t="shared" si="4"/>
        <v>3.2746025992841936</v>
      </c>
      <c r="J14" s="2">
        <f t="shared" si="3"/>
        <v>7.6153548820562644</v>
      </c>
      <c r="L14" t="s">
        <v>28</v>
      </c>
      <c r="M14" s="4">
        <f>G8-G10</f>
        <v>0</v>
      </c>
    </row>
    <row r="15" spans="2:13">
      <c r="B15" t="s">
        <v>16</v>
      </c>
      <c r="C15" s="3">
        <v>78.099999999999994</v>
      </c>
      <c r="D15" s="3">
        <v>0.03</v>
      </c>
      <c r="E15" s="3">
        <v>0</v>
      </c>
      <c r="F15" s="3">
        <f t="shared" si="1"/>
        <v>156.19999999999999</v>
      </c>
      <c r="G15" s="3">
        <v>77.078156553302946</v>
      </c>
      <c r="H15" s="3">
        <v>0.91539938023546752</v>
      </c>
      <c r="I15" s="3">
        <f t="shared" si="4"/>
        <v>-1.0218434466970479</v>
      </c>
      <c r="J15" s="3">
        <f t="shared" si="3"/>
        <v>-1.3083782928259255</v>
      </c>
      <c r="L15" t="s">
        <v>21</v>
      </c>
      <c r="M15" s="4">
        <f>G9+G10-G11</f>
        <v>0</v>
      </c>
    </row>
    <row r="16" spans="2:13">
      <c r="B16" t="s">
        <v>17</v>
      </c>
      <c r="C16" s="2">
        <v>46.4</v>
      </c>
      <c r="D16" s="2">
        <v>1</v>
      </c>
      <c r="E16" s="2">
        <v>0</v>
      </c>
      <c r="F16" s="2">
        <f t="shared" si="1"/>
        <v>92.8</v>
      </c>
      <c r="G16" s="2">
        <v>46.274602599284194</v>
      </c>
      <c r="H16" s="2">
        <v>1.3038907769502224</v>
      </c>
      <c r="I16" s="2">
        <f t="shared" si="4"/>
        <v>-0.12539740071580496</v>
      </c>
      <c r="J16" s="2">
        <f t="shared" si="3"/>
        <v>-0.27025301878406244</v>
      </c>
      <c r="L16" t="s">
        <v>29</v>
      </c>
      <c r="M16" s="4">
        <f>G6*1*(G12-25) - ( G7*1*(G13-25) + G8*1*(G14-25) )</f>
        <v>0</v>
      </c>
    </row>
    <row r="17" spans="2:13">
      <c r="B17" t="s">
        <v>18</v>
      </c>
      <c r="C17" s="3">
        <v>66.2</v>
      </c>
      <c r="D17" s="3">
        <v>1</v>
      </c>
      <c r="E17" s="3">
        <v>0</v>
      </c>
      <c r="F17" s="3">
        <f t="shared" si="1"/>
        <v>132.4</v>
      </c>
      <c r="G17" s="3">
        <v>66.20049291421455</v>
      </c>
      <c r="H17" s="3">
        <v>1.2502150589863654</v>
      </c>
      <c r="I17" s="3">
        <f t="shared" si="4"/>
        <v>4.9291421454711326E-4</v>
      </c>
      <c r="J17" s="3">
        <f t="shared" si="3"/>
        <v>7.4458340566029187E-4</v>
      </c>
      <c r="L17" t="s">
        <v>30</v>
      </c>
      <c r="M17" s="4">
        <f>G7*1*(G13-25) - G9*1*(G15-25) + G18</f>
        <v>0</v>
      </c>
    </row>
    <row r="18" spans="2:13">
      <c r="B18" t="s">
        <v>19</v>
      </c>
      <c r="C18" s="2">
        <v>1984</v>
      </c>
      <c r="D18" s="2">
        <v>0.01</v>
      </c>
      <c r="E18" s="2">
        <v>0</v>
      </c>
      <c r="F18" s="2">
        <f t="shared" si="1"/>
        <v>3968</v>
      </c>
      <c r="G18" s="2">
        <v>2030.583559824893</v>
      </c>
      <c r="H18" s="2">
        <v>0.31275024623547143</v>
      </c>
      <c r="I18" s="2">
        <f t="shared" si="4"/>
        <v>46.583559824892973</v>
      </c>
      <c r="J18" s="2">
        <f t="shared" si="3"/>
        <v>2.3479616847224283</v>
      </c>
      <c r="L18" t="s">
        <v>31</v>
      </c>
      <c r="M18" s="4">
        <f>G8*1*(G14-25) - G10*1*(G16-25)</f>
        <v>0</v>
      </c>
    </row>
    <row r="19" spans="2:13">
      <c r="H19">
        <v>10.031910369255026</v>
      </c>
      <c r="L19" t="s">
        <v>32</v>
      </c>
      <c r="M19" s="4">
        <f>G11*1*(G17-25) - ( G9*1*(G15-25) + G10*1*(G16-25) )</f>
        <v>0</v>
      </c>
    </row>
    <row r="20" spans="2:13">
      <c r="I20">
        <f t="shared" ref="I20:I25" si="5">(D6*I6/C6)^2</f>
        <v>9.9090938358435765E-6</v>
      </c>
      <c r="L20" t="s">
        <v>33</v>
      </c>
      <c r="M20" s="4">
        <f>G12-G14</f>
        <v>0</v>
      </c>
    </row>
    <row r="21" spans="2:13">
      <c r="I21">
        <f t="shared" si="5"/>
        <v>2.0821095650931567E-3</v>
      </c>
    </row>
    <row r="22" spans="2:13">
      <c r="I22">
        <f t="shared" si="5"/>
        <v>5.9497806848335935E-3</v>
      </c>
    </row>
    <row r="23" spans="2:13">
      <c r="I23">
        <f t="shared" si="5"/>
        <v>2.8725299543717314E-3</v>
      </c>
    </row>
    <row r="24" spans="2:13">
      <c r="I24">
        <f t="shared" si="5"/>
        <v>6.199040028248377E-4</v>
      </c>
    </row>
    <row r="25" spans="2:13">
      <c r="I25">
        <f t="shared" si="5"/>
        <v>9.8880457783162227E-6</v>
      </c>
    </row>
    <row r="26" spans="2:13">
      <c r="I26">
        <f t="shared" ref="I26:I32" si="6">(D12*I12/C12)^2</f>
        <v>6.7831095532725055E-6</v>
      </c>
    </row>
    <row r="27" spans="2:13">
      <c r="I27">
        <f t="shared" si="6"/>
        <v>1.8798454011678627E-5</v>
      </c>
    </row>
    <row r="28" spans="2:13">
      <c r="I28">
        <f t="shared" si="6"/>
        <v>2.3197451991863272E-4</v>
      </c>
    </row>
    <row r="29" spans="2:13">
      <c r="I29">
        <f t="shared" si="6"/>
        <v>1.5406683814242753E-7</v>
      </c>
    </row>
    <row r="30" spans="2:13">
      <c r="I30">
        <f t="shared" si="6"/>
        <v>7.3036694161898811E-6</v>
      </c>
    </row>
    <row r="31" spans="2:13">
      <c r="I31">
        <f t="shared" si="6"/>
        <v>5.5440444798467877E-11</v>
      </c>
    </row>
    <row r="32" spans="2:13">
      <c r="I32">
        <f t="shared" si="6"/>
        <v>5.512924072924583E-8</v>
      </c>
    </row>
    <row r="33" spans="7:9">
      <c r="G33" t="s">
        <v>2</v>
      </c>
      <c r="I33">
        <f>SUM(I20:I32)</f>
        <v>1.1809190351156571E-2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Massa</vt:lpstr>
      <vt:lpstr>Massa e Energia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Narciso</dc:creator>
  <cp:lastModifiedBy>mnarciso</cp:lastModifiedBy>
  <dcterms:created xsi:type="dcterms:W3CDTF">2009-08-18T17:44:59Z</dcterms:created>
  <dcterms:modified xsi:type="dcterms:W3CDTF">2014-02-20T18:45:58Z</dcterms:modified>
</cp:coreProperties>
</file>